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2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3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theme/themeOverride1.xml" ContentType="application/vnd.openxmlformats-officedocument.themeOverrid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4.xml" ContentType="application/vnd.openxmlformats-officedocument.drawing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theme/themeOverride2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14" codeName="{296A6A55-71EF-3FAC-97E6-161027D96622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/Users/corawent/Documents/GitHub/corawent.github.io/files/"/>
    </mc:Choice>
  </mc:AlternateContent>
  <xr:revisionPtr revIDLastSave="0" documentId="13_ncr:1_{B10ECE14-D7B3-0144-9B89-357057E002C9}" xr6:coauthVersionLast="47" xr6:coauthVersionMax="47" xr10:uidLastSave="{00000000-0000-0000-0000-000000000000}"/>
  <bookViews>
    <workbookView xWindow="-38400" yWindow="500" windowWidth="38400" windowHeight="19880" xr2:uid="{4BA7D75B-BD4B-47C0-8BEF-50D174D9FA1C}"/>
  </bookViews>
  <sheets>
    <sheet name="Main" sheetId="1" r:id="rId1"/>
    <sheet name="Results" sheetId="10" r:id="rId2"/>
    <sheet name="Cash flow analysis" sheetId="9" r:id="rId3"/>
    <sheet name="Process and cost assumptions" sheetId="3" r:id="rId4"/>
    <sheet name="Equipment reference" sheetId="8" r:id="rId5"/>
    <sheet name="Carbonate acidity" sheetId="4" r:id="rId6"/>
    <sheet name="Eisaman" sheetId="16" r:id="rId7"/>
  </sheets>
  <externalReferences>
    <externalReference r:id="rId8"/>
  </externalReferences>
  <definedNames>
    <definedName name="acid_concH">Main!$B$13</definedName>
    <definedName name="acid_pH">Main!$B$12</definedName>
    <definedName name="adiabatic_const">'Equipment reference'!$B$40</definedName>
    <definedName name="adiabatic_N2">'Equipment reference'!$B$41</definedName>
    <definedName name="also_calc">Results!$B$54</definedName>
    <definedName name="anal_period">Main!$B$77</definedName>
    <definedName name="anal_year">Main!$B$70</definedName>
    <definedName name="avg_prod">Main!$B$7</definedName>
    <definedName name="bar_to_fthead">'Equipment reference'!$B$53</definedName>
    <definedName name="bar_to_pa">'Equipment reference'!$B$51</definedName>
    <definedName name="baseline_cap">Main!$B$37</definedName>
    <definedName name="basis_year">Main!$B$69</definedName>
    <definedName name="breakdown_param">Results!$B$87</definedName>
    <definedName name="breakdown_table">Results!$A$89:$F$97</definedName>
    <definedName name="cap_co2">'Process and cost assumptions'!$G$105</definedName>
    <definedName name="cap_co2_scaled">Main!$E$59</definedName>
    <definedName name="cap_ed">'Process and cost assumptions'!$G$87</definedName>
    <definedName name="cap_ed_scaled">Main!$E$58</definedName>
    <definedName name="cap_factor">Main!$B$8</definedName>
    <definedName name="cap_intake">'Process and cost assumptions'!$G$8</definedName>
    <definedName name="cap_intake_scaled">Main!$E$54</definedName>
    <definedName name="cap_micro">'Process and cost assumptions'!$G$43</definedName>
    <definedName name="cap_micro_scaled">Main!$E$56</definedName>
    <definedName name="cap_nano">'Process and cost assumptions'!$G$65</definedName>
    <definedName name="cap_nano_scaled">Main!$E$57</definedName>
    <definedName name="cap_o2n2">'Process and cost assumptions'!#REF!</definedName>
    <definedName name="cap_screening">'Process and cost assumptions'!$G$29</definedName>
    <definedName name="cap_screening_scaled">Main!$E$55</definedName>
    <definedName name="cashflow_table">Results!$A$5:$I$23</definedName>
    <definedName name="CEPCI_inflator">Main!$B$46</definedName>
    <definedName name="chem_inflator">Main!$B$49</definedName>
    <definedName name="co2_per_DIC">Main!$B$16</definedName>
    <definedName name="construct_period">Main!$B$67</definedName>
    <definedName name="cost_factors">'Equipment reference'!$A$109:$C$117</definedName>
    <definedName name="CPI_inflator">Main!$B$47</definedName>
    <definedName name="ctf">Main!$B$29</definedName>
    <definedName name="ctf_calc">Main!$B$30</definedName>
    <definedName name="ctn">Main!$B$31</definedName>
    <definedName name="ctn_calc">Main!$B$32</definedName>
    <definedName name="current_density">Main!$B$34</definedName>
    <definedName name="day_to_min">'Equipment reference'!$B$48</definedName>
    <definedName name="debt_financing">Main!$B$80</definedName>
    <definedName name="debt_interest_rate">Main!$B$82</definedName>
    <definedName name="decom_prct">Main!$B$87</definedName>
    <definedName name="density">'Equipment reference'!$B$6</definedName>
    <definedName name="depr_cap">Main!#REF!</definedName>
    <definedName name="depr_cap_infl">Main!$E$108</definedName>
    <definedName name="depr_length">'Cash flow analysis'!$B$67</definedName>
    <definedName name="design_cap">Main!$B$6</definedName>
    <definedName name="DIC_concentration">'Equipment reference'!$B$4</definedName>
    <definedName name="direct_cap">Main!$E$102</definedName>
    <definedName name="elec_cost">Main!$B$43</definedName>
    <definedName name="elec_usage">Main!#REF!</definedName>
    <definedName name="energy_co2">'Process and cost assumptions'!$G$106</definedName>
    <definedName name="energy_ed">'Process and cost assumptions'!$G$88</definedName>
    <definedName name="energy_intake">'Process and cost assumptions'!$G$9</definedName>
    <definedName name="energy_micro">'Process and cost assumptions'!$G$44</definedName>
    <definedName name="energy_nano">'Process and cost assumptions'!$G$66</definedName>
    <definedName name="energy_o2n2">'Process and cost assumptions'!#REF!</definedName>
    <definedName name="energy_screening">'Process and cost assumptions'!$G$30</definedName>
    <definedName name="energy_total">Main!$B$134</definedName>
    <definedName name="equity_financing">Main!$B$81</definedName>
    <definedName name="extraction_efficiency">Main!$B$27</definedName>
    <definedName name="extraction_efficiency_calc">Main!$B$28</definedName>
    <definedName name="extraction_efficiency_eq">Main!#REF!</definedName>
    <definedName name="faraday">'Equipment reference'!$B$42</definedName>
    <definedName name="fraction_oceanwater">Main!$B$17</definedName>
    <definedName name="ft3_min">'[1]Equipment reference'!$B$20</definedName>
    <definedName name="ft3_to_m3">'Equipment reference'!$B$56</definedName>
    <definedName name="g_const">'Equipment reference'!#REF!</definedName>
    <definedName name="gal_min">'Equipment reference'!$B$12</definedName>
    <definedName name="gal_to_m3">'Equipment reference'!$B$55</definedName>
    <definedName name="gas_const">'Equipment reference'!$B$38</definedName>
    <definedName name="H2_cost">'Cash flow analysis'!$B$5</definedName>
    <definedName name="H2_cost_infl">'Cash flow analysis'!$B$7</definedName>
    <definedName name="how">Main!$B$4</definedName>
    <definedName name="hr_to_s">'Equipment reference'!$B$47</definedName>
    <definedName name="hyield">'Equipment reference'!$B$31</definedName>
    <definedName name="inflation_factor">Main!$B$96</definedName>
    <definedName name="inflation_rate">Main!$B$89</definedName>
    <definedName name="intake_motor_eff">'Process and cost assumptions'!#REF!</definedName>
    <definedName name="intake_pressure">'Process and cost assumptions'!#REF!</definedName>
    <definedName name="intake_pump_eff">'Process and cost assumptions'!#REF!</definedName>
    <definedName name="kg_s">'Equipment reference'!$B$23</definedName>
    <definedName name="kWh_to_Ws">'Equipment reference'!$B$49</definedName>
    <definedName name="l_s">'Equipment reference'!$B$14</definedName>
    <definedName name="l_to_m3">'Equipment reference'!$B$46</definedName>
    <definedName name="labor_baseline_cap">Main!$B$38</definedName>
    <definedName name="labor_inflator">Main!$B$48</definedName>
    <definedName name="labor_scale_ratio">Main!$B$41</definedName>
    <definedName name="lfr">Main!$B$22</definedName>
    <definedName name="lfr_gfr">Main!$B$25</definedName>
    <definedName name="lfr_multiplier">'Process and cost assumptions'!$E$122</definedName>
    <definedName name="LOW_to_kgCO2">'Equipment reference'!$B$27</definedName>
    <definedName name="LOW_to_kgCO2_eq">'Equipment reference'!#REF!</definedName>
    <definedName name="m3_day">'Equipment reference'!$B$10</definedName>
    <definedName name="m3_h">'Equipment reference'!$B$11</definedName>
    <definedName name="m3co2_h">'Equipment reference'!$B$20</definedName>
    <definedName name="m3OW_to_kgCO2">'Equipment reference'!$B$29</definedName>
    <definedName name="m3OW_to_kgCO2_eq">'Equipment reference'!#REF!</definedName>
    <definedName name="MACRS_table">'Cash flow analysis'!$A$139:$G$160</definedName>
    <definedName name="mc_efficiency">Main!$B$11</definedName>
    <definedName name="mc_types">'Equipment reference'!$A$128:$K$130</definedName>
    <definedName name="MGD">'Equipment reference'!$B$13</definedName>
    <definedName name="micro_motor_eff">'Process and cost assumptions'!#REF!</definedName>
    <definedName name="micro_pressure">'Process and cost assumptions'!#REF!</definedName>
    <definedName name="micro_pump_eff">'Process and cost assumptions'!#REF!</definedName>
    <definedName name="micro_recovery">'Process and cost assumptions'!#REF!</definedName>
    <definedName name="min_n_MCs">'Process and cost assumptions'!$B$122</definedName>
    <definedName name="min_n_VPs">'Process and cost assumptions'!$A$122</definedName>
    <definedName name="mol_s">'Equipment reference'!$B$21</definedName>
    <definedName name="molar_mass">'Equipment reference'!$B$5</definedName>
    <definedName name="molh_to_kgco2">'Equipment reference'!$B$34</definedName>
    <definedName name="molh_to_molco2eq">'Equipment reference'!$B$32</definedName>
    <definedName name="molh_to_molco2ex">'Equipment reference'!$B$33</definedName>
    <definedName name="motor_types">'Equipment reference'!$A$89:$F$95</definedName>
    <definedName name="multiplier">Main!$B$18</definedName>
    <definedName name="n_MCs">'Process and cost assumptions'!$D$115</definedName>
    <definedName name="n_VPs">'Process and cost assumptions'!$D$117</definedName>
    <definedName name="nano_motor_eff">'Process and cost assumptions'!#REF!</definedName>
    <definedName name="nano_pressure">'Process and cost assumptions'!#REF!</definedName>
    <definedName name="nano_pump_eff">'Process and cost assumptions'!#REF!</definedName>
    <definedName name="nano_recovery">'Process and cost assumptions'!#REF!</definedName>
    <definedName name="nominal_irr">Main!$B$95</definedName>
    <definedName name="non_depr_cap">Main!$E$111</definedName>
    <definedName name="OW_pH">Main!$B$10</definedName>
    <definedName name="param_to_vary">Results!$B$53</definedName>
    <definedName name="param1">Results!$B$115</definedName>
    <definedName name="param2">Results!$B$116</definedName>
    <definedName name="plant_life">Main!$B$76</definedName>
    <definedName name="pressure_ss">Main!$B$21</definedName>
    <definedName name="process_table">Results!$A$31:$G$39</definedName>
    <definedName name="pump_materials">'Equipment reference'!$A$74:$B$83</definedName>
    <definedName name="pump_types">'Equipment reference'!$A$62:$J$68</definedName>
    <definedName name="r_const">'Equipment reference'!$B$38</definedName>
    <definedName name="real_irr">Main!$B$94</definedName>
    <definedName name="recovery_period">'Cash flow analysis'!$A$139:$G$139</definedName>
    <definedName name="recovery_year">'Cash flow analysis'!$A$139:$A$160</definedName>
    <definedName name="ref_year">Main!$B$69</definedName>
    <definedName name="salvage">Main!$B$88</definedName>
    <definedName name="scale_factor">Main!$B$63</definedName>
    <definedName name="scale_ratio">Main!$B$40</definedName>
    <definedName name="scaling_factor_exponent">Main!$B$39</definedName>
    <definedName name="secondary">Results!$B$117</definedName>
    <definedName name="startup_perct_revs">Main!$B$85</definedName>
    <definedName name="startup_time">Main!$B$75</definedName>
    <definedName name="startup_year">Main!$B$68</definedName>
    <definedName name="sweep_table">Results!$A$56:$C$72</definedName>
    <definedName name="sweep_table_2D">Results!$A$120:$AA$139</definedName>
    <definedName name="table_costindex">Main!$A$147:$E$174</definedName>
    <definedName name="tax_rate">Main!$B$92</definedName>
    <definedName name="temp">'Equipment reference'!$B$39</definedName>
    <definedName name="test_cell">Results!$P$59</definedName>
    <definedName name="tons_to_kg">'Equipment reference'!$B$50</definedName>
    <definedName name="torr_to_pa">'Equipment reference'!$B$52</definedName>
    <definedName name="total_cap">Main!#REF!</definedName>
    <definedName name="total_capital">Main!$E$112</definedName>
    <definedName name="vacuum_pump_types">'Equipment reference'!$A$101:$G$106</definedName>
    <definedName name="vol_mol">'Equipment reference'!$B$54</definedName>
    <definedName name="voltage">Main!$B$35</definedName>
    <definedName name="when">Main!$B$3</definedName>
    <definedName name="working_cap_perct">Main!$B$93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127" i="3" l="1"/>
  <c r="B136" i="8"/>
  <c r="D6" i="1" a="1"/>
  <c r="D6" i="1" s="1"/>
  <c r="C54" i="1"/>
  <c r="C122" i="3" l="1"/>
  <c r="B122" i="3"/>
  <c r="I130" i="8"/>
  <c r="I129" i="8"/>
  <c r="A122" i="3"/>
  <c r="D122" i="3" s="1"/>
  <c r="B115" i="3" s="1"/>
  <c r="B25" i="1"/>
  <c r="Q7" i="4"/>
  <c r="Q8" i="4"/>
  <c r="Q9" i="4"/>
  <c r="Q10" i="4"/>
  <c r="Q11" i="4"/>
  <c r="Q12" i="4"/>
  <c r="Q13" i="4"/>
  <c r="Q14" i="4"/>
  <c r="Q15" i="4"/>
  <c r="Q16" i="4"/>
  <c r="Q17" i="4"/>
  <c r="Q18" i="4"/>
  <c r="Q19" i="4"/>
  <c r="Q20" i="4"/>
  <c r="Q21" i="4"/>
  <c r="Q22" i="4"/>
  <c r="Q23" i="4"/>
  <c r="Q24" i="4"/>
  <c r="Q25" i="4"/>
  <c r="Q26" i="4"/>
  <c r="Q27" i="4"/>
  <c r="Q28" i="4"/>
  <c r="Q29" i="4"/>
  <c r="Q30" i="4"/>
  <c r="Q31" i="4"/>
  <c r="Q32" i="4"/>
  <c r="Q33" i="4"/>
  <c r="Q34" i="4"/>
  <c r="Q35" i="4"/>
  <c r="Q36" i="4"/>
  <c r="Q37" i="4"/>
  <c r="Q38" i="4"/>
  <c r="Q39" i="4"/>
  <c r="Q40" i="4"/>
  <c r="Q41" i="4"/>
  <c r="Q42" i="4"/>
  <c r="Q43" i="4"/>
  <c r="Q44" i="4"/>
  <c r="Q45" i="4"/>
  <c r="Q46" i="4"/>
  <c r="Q47" i="4"/>
  <c r="Q48" i="4"/>
  <c r="Q49" i="4"/>
  <c r="Q50" i="4"/>
  <c r="Q51" i="4"/>
  <c r="Q52" i="4"/>
  <c r="Q53" i="4"/>
  <c r="Q54" i="4"/>
  <c r="Q55" i="4"/>
  <c r="Q56" i="4"/>
  <c r="Q57" i="4"/>
  <c r="Q58" i="4"/>
  <c r="Q59" i="4"/>
  <c r="Q60" i="4"/>
  <c r="Q61" i="4"/>
  <c r="Q62" i="4"/>
  <c r="Q63" i="4"/>
  <c r="Q64" i="4"/>
  <c r="Q65" i="4"/>
  <c r="Q66" i="4"/>
  <c r="Q67" i="4"/>
  <c r="Q68" i="4"/>
  <c r="Q69" i="4"/>
  <c r="Q70" i="4"/>
  <c r="Q71" i="4"/>
  <c r="Q72" i="4"/>
  <c r="Q73" i="4"/>
  <c r="Q74" i="4"/>
  <c r="Q75" i="4"/>
  <c r="Q76" i="4"/>
  <c r="Q77" i="4"/>
  <c r="Q78" i="4"/>
  <c r="Q79" i="4"/>
  <c r="Q80" i="4"/>
  <c r="Q81" i="4"/>
  <c r="Q82" i="4"/>
  <c r="Q83" i="4"/>
  <c r="Q84" i="4"/>
  <c r="Q85" i="4"/>
  <c r="Q86" i="4"/>
  <c r="Q87" i="4"/>
  <c r="Q88" i="4"/>
  <c r="Q89" i="4"/>
  <c r="Q90" i="4"/>
  <c r="Q91" i="4"/>
  <c r="Q92" i="4"/>
  <c r="Q93" i="4"/>
  <c r="Q94" i="4"/>
  <c r="Q95" i="4"/>
  <c r="Q96" i="4"/>
  <c r="Q97" i="4"/>
  <c r="Q98" i="4"/>
  <c r="Q99" i="4"/>
  <c r="Q100" i="4"/>
  <c r="Q101" i="4"/>
  <c r="Q102" i="4"/>
  <c r="Q103" i="4"/>
  <c r="Q104" i="4"/>
  <c r="Q105" i="4"/>
  <c r="Q106" i="4"/>
  <c r="Q107" i="4"/>
  <c r="Q108" i="4"/>
  <c r="Q109" i="4"/>
  <c r="Q110" i="4"/>
  <c r="Q111" i="4"/>
  <c r="Q112" i="4"/>
  <c r="Q113" i="4"/>
  <c r="Q114" i="4"/>
  <c r="Q115" i="4"/>
  <c r="Q116" i="4"/>
  <c r="Q117" i="4"/>
  <c r="Q118" i="4"/>
  <c r="Q119" i="4"/>
  <c r="Q120" i="4"/>
  <c r="Q121" i="4"/>
  <c r="Q122" i="4"/>
  <c r="Q123" i="4"/>
  <c r="Q124" i="4"/>
  <c r="Q125" i="4"/>
  <c r="Q126" i="4"/>
  <c r="Q127" i="4"/>
  <c r="Q128" i="4"/>
  <c r="Q129" i="4"/>
  <c r="Q130" i="4"/>
  <c r="Q131" i="4"/>
  <c r="Q132" i="4"/>
  <c r="Q133" i="4"/>
  <c r="Q134" i="4"/>
  <c r="Q135" i="4"/>
  <c r="Q136" i="4"/>
  <c r="Q137" i="4"/>
  <c r="Q138" i="4"/>
  <c r="Q139" i="4"/>
  <c r="Q140" i="4"/>
  <c r="Q141" i="4"/>
  <c r="Q142" i="4"/>
  <c r="Q143" i="4"/>
  <c r="Q144" i="4"/>
  <c r="Q145" i="4"/>
  <c r="Q146" i="4"/>
  <c r="Q6" i="4"/>
  <c r="A131" i="3" a="1"/>
  <c r="A131" i="3" s="1"/>
  <c r="A130" i="3" a="1"/>
  <c r="A130" i="3" s="1"/>
  <c r="B10" i="8" l="1"/>
  <c r="B43" i="1"/>
  <c r="A167" i="16" l="1"/>
  <c r="B167" i="16"/>
  <c r="C167" i="16"/>
  <c r="A169" i="16"/>
  <c r="A170" i="16"/>
  <c r="A171" i="16"/>
  <c r="A172" i="16"/>
  <c r="A173" i="16"/>
  <c r="A154" i="16"/>
  <c r="B156" i="16"/>
  <c r="C156" i="16"/>
  <c r="D156" i="16"/>
  <c r="E156" i="16"/>
  <c r="F156" i="16"/>
  <c r="G156" i="16"/>
  <c r="A157" i="16"/>
  <c r="G157" i="16"/>
  <c r="A158" i="16"/>
  <c r="G158" i="16"/>
  <c r="A159" i="16"/>
  <c r="A160" i="16"/>
  <c r="G160" i="16"/>
  <c r="A161" i="16"/>
  <c r="A162" i="16"/>
  <c r="A163" i="16"/>
  <c r="E163" i="16"/>
  <c r="F163" i="16"/>
  <c r="A164" i="16"/>
  <c r="C165" i="16"/>
  <c r="B120" i="16"/>
  <c r="B121" i="16"/>
  <c r="B123" i="16"/>
  <c r="C126" i="16"/>
  <c r="D126" i="16"/>
  <c r="B122" i="16"/>
  <c r="B119" i="16"/>
  <c r="B126" i="16" s="1"/>
  <c r="E126" i="16" s="1"/>
  <c r="F109" i="16"/>
  <c r="D66" i="16"/>
  <c r="C66" i="16"/>
  <c r="B66" i="16"/>
  <c r="D68" i="16"/>
  <c r="D67" i="16" s="1"/>
  <c r="E68" i="16"/>
  <c r="E150" i="16"/>
  <c r="D150" i="16"/>
  <c r="C150" i="16"/>
  <c r="B150" i="16"/>
  <c r="F151" i="16" s="1"/>
  <c r="D133" i="16"/>
  <c r="B133" i="16"/>
  <c r="G133" i="16" s="1"/>
  <c r="D110" i="16"/>
  <c r="F110" i="16" s="1"/>
  <c r="D108" i="16"/>
  <c r="F108" i="16" s="1"/>
  <c r="D107" i="16"/>
  <c r="F107" i="16" s="1"/>
  <c r="D106" i="16"/>
  <c r="F106" i="16" s="1"/>
  <c r="D105" i="16"/>
  <c r="F105" i="16" s="1"/>
  <c r="D104" i="16"/>
  <c r="F104" i="16" s="1"/>
  <c r="D103" i="16"/>
  <c r="F103" i="16" s="1"/>
  <c r="D96" i="16"/>
  <c r="F96" i="16" s="1"/>
  <c r="D95" i="16"/>
  <c r="F95" i="16" s="1"/>
  <c r="D94" i="16"/>
  <c r="F94" i="16" s="1"/>
  <c r="D93" i="16"/>
  <c r="F93" i="16" s="1"/>
  <c r="D92" i="16"/>
  <c r="F92" i="16" s="1"/>
  <c r="D91" i="16"/>
  <c r="F91" i="16" s="1"/>
  <c r="D90" i="16"/>
  <c r="F90" i="16" s="1"/>
  <c r="D89" i="16"/>
  <c r="F89" i="16" s="1"/>
  <c r="F88" i="16"/>
  <c r="D88" i="16"/>
  <c r="B77" i="16"/>
  <c r="B76" i="16"/>
  <c r="C75" i="16"/>
  <c r="E60" i="16"/>
  <c r="D60" i="16"/>
  <c r="C60" i="16"/>
  <c r="B60" i="16"/>
  <c r="F38" i="16"/>
  <c r="B38" i="16"/>
  <c r="F61" i="16" l="1"/>
  <c r="F97" i="16"/>
  <c r="G92" i="16"/>
  <c r="E127" i="16"/>
  <c r="C68" i="16"/>
  <c r="C67" i="16" s="1"/>
  <c r="F111" i="16"/>
  <c r="B68" i="16" l="1"/>
  <c r="B67" i="16" l="1"/>
  <c r="F69" i="16"/>
  <c r="H127" i="3" l="1"/>
  <c r="D127" i="3"/>
  <c r="N87" i="4"/>
  <c r="N10" i="4"/>
  <c r="O10" i="4" s="1"/>
  <c r="I102" i="8" l="1" a="1"/>
  <c r="I102" i="8" s="1"/>
  <c r="C103" i="8" l="1"/>
  <c r="C104" i="8"/>
  <c r="C105" i="8"/>
  <c r="C106" i="8"/>
  <c r="J102" i="8"/>
  <c r="B52" i="8" l="1"/>
  <c r="B13" i="1"/>
  <c r="B164" i="10" l="1"/>
  <c r="C164" i="10"/>
  <c r="B165" i="10"/>
  <c r="C165" i="10"/>
  <c r="B166" i="10"/>
  <c r="C166" i="10"/>
  <c r="B167" i="10"/>
  <c r="C167" i="10"/>
  <c r="B168" i="10"/>
  <c r="C168" i="10"/>
  <c r="B169" i="10"/>
  <c r="C169" i="10"/>
  <c r="B170" i="10"/>
  <c r="C170" i="10"/>
  <c r="B204" i="10"/>
  <c r="C204" i="10"/>
  <c r="B205" i="10"/>
  <c r="C205" i="10"/>
  <c r="B206" i="10"/>
  <c r="C206" i="10"/>
  <c r="B207" i="10"/>
  <c r="C207" i="10"/>
  <c r="B208" i="10"/>
  <c r="C208" i="10"/>
  <c r="B209" i="10"/>
  <c r="C209" i="10"/>
  <c r="B210" i="10"/>
  <c r="C210" i="10"/>
  <c r="C115" i="3"/>
  <c r="N11" i="4" l="1"/>
  <c r="O11" i="4" s="1"/>
  <c r="N12" i="4"/>
  <c r="O12" i="4" s="1"/>
  <c r="N13" i="4"/>
  <c r="O13" i="4" s="1"/>
  <c r="N14" i="4"/>
  <c r="O14" i="4" s="1"/>
  <c r="N15" i="4"/>
  <c r="O15" i="4" s="1"/>
  <c r="N16" i="4"/>
  <c r="O16" i="4" s="1"/>
  <c r="N17" i="4"/>
  <c r="O17" i="4" s="1"/>
  <c r="N18" i="4"/>
  <c r="O18" i="4" s="1"/>
  <c r="N19" i="4"/>
  <c r="O19" i="4" s="1"/>
  <c r="N20" i="4"/>
  <c r="O20" i="4" s="1"/>
  <c r="N21" i="4"/>
  <c r="O21" i="4" s="1"/>
  <c r="N22" i="4"/>
  <c r="O22" i="4" s="1"/>
  <c r="N23" i="4"/>
  <c r="O23" i="4" s="1"/>
  <c r="N24" i="4"/>
  <c r="O24" i="4" s="1"/>
  <c r="N25" i="4"/>
  <c r="O25" i="4" s="1"/>
  <c r="N26" i="4"/>
  <c r="O26" i="4" s="1"/>
  <c r="N27" i="4"/>
  <c r="O27" i="4" s="1"/>
  <c r="N28" i="4"/>
  <c r="O28" i="4" s="1"/>
  <c r="N29" i="4"/>
  <c r="O29" i="4" s="1"/>
  <c r="N30" i="4"/>
  <c r="O30" i="4" s="1"/>
  <c r="N31" i="4"/>
  <c r="O31" i="4" s="1"/>
  <c r="N32" i="4"/>
  <c r="O32" i="4" s="1"/>
  <c r="N33" i="4"/>
  <c r="O33" i="4" s="1"/>
  <c r="N34" i="4"/>
  <c r="O34" i="4" s="1"/>
  <c r="N35" i="4"/>
  <c r="O35" i="4" s="1"/>
  <c r="N36" i="4"/>
  <c r="O36" i="4" s="1"/>
  <c r="N37" i="4"/>
  <c r="O37" i="4" s="1"/>
  <c r="N38" i="4"/>
  <c r="O38" i="4" s="1"/>
  <c r="N39" i="4"/>
  <c r="O39" i="4" s="1"/>
  <c r="N40" i="4"/>
  <c r="O40" i="4" s="1"/>
  <c r="N41" i="4"/>
  <c r="O41" i="4" s="1"/>
  <c r="N42" i="4"/>
  <c r="O42" i="4" s="1"/>
  <c r="N43" i="4"/>
  <c r="O43" i="4" s="1"/>
  <c r="N44" i="4"/>
  <c r="O44" i="4" s="1"/>
  <c r="N45" i="4"/>
  <c r="O45" i="4" s="1"/>
  <c r="N46" i="4"/>
  <c r="O46" i="4" s="1"/>
  <c r="N47" i="4"/>
  <c r="O47" i="4" s="1"/>
  <c r="N48" i="4"/>
  <c r="O48" i="4" s="1"/>
  <c r="N49" i="4"/>
  <c r="O49" i="4" s="1"/>
  <c r="N50" i="4"/>
  <c r="O50" i="4" s="1"/>
  <c r="N51" i="4"/>
  <c r="O51" i="4" s="1"/>
  <c r="N52" i="4"/>
  <c r="O52" i="4" s="1"/>
  <c r="N53" i="4"/>
  <c r="O53" i="4" s="1"/>
  <c r="N54" i="4"/>
  <c r="O54" i="4" s="1"/>
  <c r="N55" i="4"/>
  <c r="O55" i="4" s="1"/>
  <c r="N56" i="4"/>
  <c r="O56" i="4" s="1"/>
  <c r="N57" i="4"/>
  <c r="O57" i="4" s="1"/>
  <c r="N58" i="4"/>
  <c r="O58" i="4" s="1"/>
  <c r="N59" i="4"/>
  <c r="O59" i="4" s="1"/>
  <c r="N60" i="4"/>
  <c r="O60" i="4" s="1"/>
  <c r="N61" i="4"/>
  <c r="O61" i="4" s="1"/>
  <c r="N62" i="4"/>
  <c r="O62" i="4" s="1"/>
  <c r="N63" i="4"/>
  <c r="O63" i="4" s="1"/>
  <c r="N64" i="4"/>
  <c r="O64" i="4" s="1"/>
  <c r="N65" i="4"/>
  <c r="O65" i="4" s="1"/>
  <c r="N66" i="4"/>
  <c r="O66" i="4" s="1"/>
  <c r="N67" i="4"/>
  <c r="O67" i="4" s="1"/>
  <c r="N68" i="4"/>
  <c r="O68" i="4" s="1"/>
  <c r="N69" i="4"/>
  <c r="O69" i="4" s="1"/>
  <c r="N70" i="4"/>
  <c r="O70" i="4" s="1"/>
  <c r="N71" i="4"/>
  <c r="O71" i="4" s="1"/>
  <c r="N72" i="4"/>
  <c r="O72" i="4" s="1"/>
  <c r="N73" i="4"/>
  <c r="O73" i="4" s="1"/>
  <c r="N74" i="4"/>
  <c r="O74" i="4" s="1"/>
  <c r="N75" i="4"/>
  <c r="O75" i="4" s="1"/>
  <c r="N76" i="4"/>
  <c r="O76" i="4" s="1"/>
  <c r="N77" i="4"/>
  <c r="O77" i="4" s="1"/>
  <c r="N78" i="4"/>
  <c r="O78" i="4" s="1"/>
  <c r="N79" i="4"/>
  <c r="O79" i="4" s="1"/>
  <c r="N80" i="4"/>
  <c r="O80" i="4" s="1"/>
  <c r="N81" i="4"/>
  <c r="O81" i="4" s="1"/>
  <c r="N82" i="4"/>
  <c r="O82" i="4" s="1"/>
  <c r="N83" i="4"/>
  <c r="O83" i="4" s="1"/>
  <c r="N84" i="4"/>
  <c r="O84" i="4" s="1"/>
  <c r="N85" i="4"/>
  <c r="O85" i="4" s="1"/>
  <c r="N86" i="4"/>
  <c r="O86" i="4" s="1"/>
  <c r="D10" i="4"/>
  <c r="B48" i="8"/>
  <c r="B42" i="16" l="1"/>
  <c r="F42" i="16"/>
  <c r="V142" i="10"/>
  <c r="U142" i="10"/>
  <c r="A143" i="10" a="1"/>
  <c r="A143" i="10" s="1"/>
  <c r="C142" i="10" l="1"/>
  <c r="D142" i="10"/>
  <c r="E142" i="10"/>
  <c r="F142" i="10"/>
  <c r="G142" i="10"/>
  <c r="H142" i="10"/>
  <c r="I142" i="10"/>
  <c r="J142" i="10"/>
  <c r="K142" i="10"/>
  <c r="L142" i="10"/>
  <c r="M142" i="10"/>
  <c r="N142" i="10"/>
  <c r="O142" i="10"/>
  <c r="P142" i="10"/>
  <c r="Q142" i="10"/>
  <c r="R142" i="10"/>
  <c r="S142" i="10"/>
  <c r="T142" i="10"/>
  <c r="B142" i="10"/>
  <c r="C75" i="3"/>
  <c r="B55" i="8"/>
  <c r="B75" i="3" l="1"/>
  <c r="F52" i="3" l="1"/>
  <c r="G129" i="8"/>
  <c r="H130" i="8"/>
  <c r="J130" i="8" s="1"/>
  <c r="E130" i="8"/>
  <c r="E129" i="8"/>
  <c r="P46" i="4"/>
  <c r="H45" i="4"/>
  <c r="L7" i="4"/>
  <c r="L8" i="4"/>
  <c r="L9" i="4"/>
  <c r="L10" i="4"/>
  <c r="L11" i="4"/>
  <c r="L12" i="4"/>
  <c r="L13" i="4"/>
  <c r="L14" i="4"/>
  <c r="L15" i="4"/>
  <c r="L16" i="4"/>
  <c r="L17" i="4"/>
  <c r="L18" i="4"/>
  <c r="L19" i="4"/>
  <c r="L20" i="4"/>
  <c r="L21" i="4"/>
  <c r="L22" i="4"/>
  <c r="L23" i="4"/>
  <c r="L24" i="4"/>
  <c r="L25" i="4"/>
  <c r="L26" i="4"/>
  <c r="L27" i="4"/>
  <c r="L28" i="4"/>
  <c r="L29" i="4"/>
  <c r="L30" i="4"/>
  <c r="L31" i="4"/>
  <c r="L32" i="4"/>
  <c r="L33" i="4"/>
  <c r="L34" i="4"/>
  <c r="L35" i="4"/>
  <c r="L36" i="4"/>
  <c r="L37" i="4"/>
  <c r="L38" i="4"/>
  <c r="L39" i="4"/>
  <c r="L40" i="4"/>
  <c r="L41" i="4"/>
  <c r="L42" i="4"/>
  <c r="L43" i="4"/>
  <c r="L44" i="4"/>
  <c r="L45" i="4"/>
  <c r="L46" i="4"/>
  <c r="L47" i="4"/>
  <c r="L48" i="4"/>
  <c r="L49" i="4"/>
  <c r="L50" i="4"/>
  <c r="L51" i="4"/>
  <c r="L52" i="4"/>
  <c r="L53" i="4"/>
  <c r="L54" i="4"/>
  <c r="L55" i="4"/>
  <c r="L56" i="4"/>
  <c r="L57" i="4"/>
  <c r="L58" i="4"/>
  <c r="L59" i="4"/>
  <c r="L60" i="4"/>
  <c r="L61" i="4"/>
  <c r="L62" i="4"/>
  <c r="L63" i="4"/>
  <c r="L64" i="4"/>
  <c r="L65" i="4"/>
  <c r="L66" i="4"/>
  <c r="L67" i="4"/>
  <c r="L68" i="4"/>
  <c r="L69" i="4"/>
  <c r="L70" i="4"/>
  <c r="L71" i="4"/>
  <c r="L72" i="4"/>
  <c r="L73" i="4"/>
  <c r="L74" i="4"/>
  <c r="L75" i="4"/>
  <c r="L76" i="4"/>
  <c r="L77" i="4"/>
  <c r="L78" i="4"/>
  <c r="L79" i="4"/>
  <c r="L80" i="4"/>
  <c r="L81" i="4"/>
  <c r="L82" i="4"/>
  <c r="L83" i="4"/>
  <c r="L84" i="4"/>
  <c r="L85" i="4"/>
  <c r="L86" i="4"/>
  <c r="L87" i="4"/>
  <c r="L88" i="4"/>
  <c r="L89" i="4"/>
  <c r="L90" i="4"/>
  <c r="L91" i="4"/>
  <c r="L92" i="4"/>
  <c r="L93" i="4"/>
  <c r="L94" i="4"/>
  <c r="L95" i="4"/>
  <c r="L96" i="4"/>
  <c r="L97" i="4"/>
  <c r="L98" i="4"/>
  <c r="L99" i="4"/>
  <c r="L100" i="4"/>
  <c r="L101" i="4"/>
  <c r="L102" i="4"/>
  <c r="L103" i="4"/>
  <c r="L104" i="4"/>
  <c r="L105" i="4"/>
  <c r="L106" i="4"/>
  <c r="L107" i="4"/>
  <c r="L108" i="4"/>
  <c r="L109" i="4"/>
  <c r="L110" i="4"/>
  <c r="L111" i="4"/>
  <c r="L112" i="4"/>
  <c r="L113" i="4"/>
  <c r="L114" i="4"/>
  <c r="L115" i="4"/>
  <c r="L116" i="4"/>
  <c r="L117" i="4"/>
  <c r="L118" i="4"/>
  <c r="L119" i="4"/>
  <c r="L120" i="4"/>
  <c r="L121" i="4"/>
  <c r="L122" i="4"/>
  <c r="L123" i="4"/>
  <c r="L124" i="4"/>
  <c r="L125" i="4"/>
  <c r="L126" i="4"/>
  <c r="L127" i="4"/>
  <c r="L128" i="4"/>
  <c r="L129" i="4"/>
  <c r="L130" i="4"/>
  <c r="L131" i="4"/>
  <c r="L132" i="4"/>
  <c r="L133" i="4"/>
  <c r="L134" i="4"/>
  <c r="L135" i="4"/>
  <c r="L136" i="4"/>
  <c r="L137" i="4"/>
  <c r="L138" i="4"/>
  <c r="L139" i="4"/>
  <c r="L140" i="4"/>
  <c r="L141" i="4"/>
  <c r="L142" i="4"/>
  <c r="L143" i="4"/>
  <c r="L144" i="4"/>
  <c r="L145" i="4"/>
  <c r="L146" i="4"/>
  <c r="L6" i="4"/>
  <c r="K7" i="4"/>
  <c r="K8" i="4"/>
  <c r="K9" i="4"/>
  <c r="K10" i="4"/>
  <c r="K11" i="4"/>
  <c r="K12" i="4"/>
  <c r="K13" i="4"/>
  <c r="K14" i="4"/>
  <c r="K15" i="4"/>
  <c r="K16" i="4"/>
  <c r="K17" i="4"/>
  <c r="K18" i="4"/>
  <c r="K19" i="4"/>
  <c r="K20" i="4"/>
  <c r="K21" i="4"/>
  <c r="K22" i="4"/>
  <c r="K23" i="4"/>
  <c r="K24" i="4"/>
  <c r="K25" i="4"/>
  <c r="K26" i="4"/>
  <c r="K27" i="4"/>
  <c r="K28" i="4"/>
  <c r="K29" i="4"/>
  <c r="K30" i="4"/>
  <c r="K31" i="4"/>
  <c r="K32" i="4"/>
  <c r="K33" i="4"/>
  <c r="K34" i="4"/>
  <c r="K35" i="4"/>
  <c r="K36" i="4"/>
  <c r="K37" i="4"/>
  <c r="K38" i="4"/>
  <c r="K39" i="4"/>
  <c r="K40" i="4"/>
  <c r="K41" i="4"/>
  <c r="K42" i="4"/>
  <c r="K43" i="4"/>
  <c r="K44" i="4"/>
  <c r="K45" i="4"/>
  <c r="K46" i="4"/>
  <c r="K47" i="4"/>
  <c r="K48" i="4"/>
  <c r="K49" i="4"/>
  <c r="K50" i="4"/>
  <c r="K51" i="4"/>
  <c r="K52" i="4"/>
  <c r="K53" i="4"/>
  <c r="K54" i="4"/>
  <c r="K55" i="4"/>
  <c r="K56" i="4"/>
  <c r="K57" i="4"/>
  <c r="K58" i="4"/>
  <c r="K59" i="4"/>
  <c r="K60" i="4"/>
  <c r="K61" i="4"/>
  <c r="K62" i="4"/>
  <c r="K63" i="4"/>
  <c r="K64" i="4"/>
  <c r="K65" i="4"/>
  <c r="K66" i="4"/>
  <c r="K67" i="4"/>
  <c r="K68" i="4"/>
  <c r="K69" i="4"/>
  <c r="K70" i="4"/>
  <c r="K71" i="4"/>
  <c r="K72" i="4"/>
  <c r="K73" i="4"/>
  <c r="K74" i="4"/>
  <c r="K75" i="4"/>
  <c r="K76" i="4"/>
  <c r="K77" i="4"/>
  <c r="K78" i="4"/>
  <c r="K79" i="4"/>
  <c r="K80" i="4"/>
  <c r="K81" i="4"/>
  <c r="K82" i="4"/>
  <c r="K83" i="4"/>
  <c r="K84" i="4"/>
  <c r="K85" i="4"/>
  <c r="K86" i="4"/>
  <c r="K87" i="4"/>
  <c r="K88" i="4"/>
  <c r="K89" i="4"/>
  <c r="K90" i="4"/>
  <c r="K91" i="4"/>
  <c r="K92" i="4"/>
  <c r="K93" i="4"/>
  <c r="K94" i="4"/>
  <c r="K95" i="4"/>
  <c r="K96" i="4"/>
  <c r="K97" i="4"/>
  <c r="K98" i="4"/>
  <c r="K99" i="4"/>
  <c r="K100" i="4"/>
  <c r="K101" i="4"/>
  <c r="K102" i="4"/>
  <c r="K103" i="4"/>
  <c r="K104" i="4"/>
  <c r="K105" i="4"/>
  <c r="K106" i="4"/>
  <c r="K107" i="4"/>
  <c r="K108" i="4"/>
  <c r="K109" i="4"/>
  <c r="K110" i="4"/>
  <c r="K111" i="4"/>
  <c r="K112" i="4"/>
  <c r="K113" i="4"/>
  <c r="K114" i="4"/>
  <c r="K115" i="4"/>
  <c r="K116" i="4"/>
  <c r="K117" i="4"/>
  <c r="K118" i="4"/>
  <c r="K119" i="4"/>
  <c r="K120" i="4"/>
  <c r="K121" i="4"/>
  <c r="K122" i="4"/>
  <c r="K123" i="4"/>
  <c r="K124" i="4"/>
  <c r="K125" i="4"/>
  <c r="K126" i="4"/>
  <c r="K127" i="4"/>
  <c r="K128" i="4"/>
  <c r="K129" i="4"/>
  <c r="K130" i="4"/>
  <c r="K131" i="4"/>
  <c r="K132" i="4"/>
  <c r="K133" i="4"/>
  <c r="K134" i="4"/>
  <c r="K135" i="4"/>
  <c r="K136" i="4"/>
  <c r="K137" i="4"/>
  <c r="K138" i="4"/>
  <c r="K139" i="4"/>
  <c r="K140" i="4"/>
  <c r="K141" i="4"/>
  <c r="K142" i="4"/>
  <c r="K143" i="4"/>
  <c r="K144" i="4"/>
  <c r="K145" i="4"/>
  <c r="K146" i="4"/>
  <c r="K6" i="4"/>
  <c r="J7" i="4"/>
  <c r="J8" i="4"/>
  <c r="J9" i="4"/>
  <c r="J10" i="4"/>
  <c r="J11" i="4"/>
  <c r="J12" i="4"/>
  <c r="J13" i="4"/>
  <c r="J14" i="4"/>
  <c r="J15" i="4"/>
  <c r="J16" i="4"/>
  <c r="J17" i="4"/>
  <c r="J18" i="4"/>
  <c r="J19" i="4"/>
  <c r="J20" i="4"/>
  <c r="J21" i="4"/>
  <c r="J22" i="4"/>
  <c r="J23" i="4"/>
  <c r="J24" i="4"/>
  <c r="J25" i="4"/>
  <c r="J26" i="4"/>
  <c r="J27" i="4"/>
  <c r="J28" i="4"/>
  <c r="J29" i="4"/>
  <c r="J30" i="4"/>
  <c r="J31" i="4"/>
  <c r="J32" i="4"/>
  <c r="J33" i="4"/>
  <c r="J34" i="4"/>
  <c r="J35" i="4"/>
  <c r="J36" i="4"/>
  <c r="J37" i="4"/>
  <c r="J38" i="4"/>
  <c r="J39" i="4"/>
  <c r="J40" i="4"/>
  <c r="J41" i="4"/>
  <c r="J42" i="4"/>
  <c r="J43" i="4"/>
  <c r="J44" i="4"/>
  <c r="J45" i="4"/>
  <c r="J46" i="4"/>
  <c r="J47" i="4"/>
  <c r="J48" i="4"/>
  <c r="J49" i="4"/>
  <c r="J50" i="4"/>
  <c r="J51" i="4"/>
  <c r="J52" i="4"/>
  <c r="J53" i="4"/>
  <c r="J54" i="4"/>
  <c r="J55" i="4"/>
  <c r="J56" i="4"/>
  <c r="J57" i="4"/>
  <c r="J58" i="4"/>
  <c r="J59" i="4"/>
  <c r="J60" i="4"/>
  <c r="J61" i="4"/>
  <c r="J62" i="4"/>
  <c r="J63" i="4"/>
  <c r="J64" i="4"/>
  <c r="J65" i="4"/>
  <c r="J66" i="4"/>
  <c r="J67" i="4"/>
  <c r="J68" i="4"/>
  <c r="J69" i="4"/>
  <c r="J70" i="4"/>
  <c r="J71" i="4"/>
  <c r="J72" i="4"/>
  <c r="J73" i="4"/>
  <c r="J74" i="4"/>
  <c r="J75" i="4"/>
  <c r="J76" i="4"/>
  <c r="J77" i="4"/>
  <c r="J78" i="4"/>
  <c r="J79" i="4"/>
  <c r="J80" i="4"/>
  <c r="J81" i="4"/>
  <c r="J82" i="4"/>
  <c r="J83" i="4"/>
  <c r="J84" i="4"/>
  <c r="J85" i="4"/>
  <c r="J86" i="4"/>
  <c r="J87" i="4"/>
  <c r="J88" i="4"/>
  <c r="J89" i="4"/>
  <c r="J90" i="4"/>
  <c r="J91" i="4"/>
  <c r="J92" i="4"/>
  <c r="J93" i="4"/>
  <c r="J94" i="4"/>
  <c r="J95" i="4"/>
  <c r="J96" i="4"/>
  <c r="J97" i="4"/>
  <c r="J98" i="4"/>
  <c r="J99" i="4"/>
  <c r="J100" i="4"/>
  <c r="J101" i="4"/>
  <c r="J102" i="4"/>
  <c r="J103" i="4"/>
  <c r="J104" i="4"/>
  <c r="J105" i="4"/>
  <c r="J106" i="4"/>
  <c r="J107" i="4"/>
  <c r="J108" i="4"/>
  <c r="J109" i="4"/>
  <c r="J110" i="4"/>
  <c r="J111" i="4"/>
  <c r="J112" i="4"/>
  <c r="J113" i="4"/>
  <c r="J114" i="4"/>
  <c r="J115" i="4"/>
  <c r="J116" i="4"/>
  <c r="J117" i="4"/>
  <c r="J118" i="4"/>
  <c r="J119" i="4"/>
  <c r="J120" i="4"/>
  <c r="J121" i="4"/>
  <c r="J122" i="4"/>
  <c r="J123" i="4"/>
  <c r="J124" i="4"/>
  <c r="J125" i="4"/>
  <c r="J126" i="4"/>
  <c r="J127" i="4"/>
  <c r="J128" i="4"/>
  <c r="J129" i="4"/>
  <c r="J130" i="4"/>
  <c r="J131" i="4"/>
  <c r="J132" i="4"/>
  <c r="J133" i="4"/>
  <c r="J134" i="4"/>
  <c r="J135" i="4"/>
  <c r="J136" i="4"/>
  <c r="J137" i="4"/>
  <c r="J138" i="4"/>
  <c r="J139" i="4"/>
  <c r="J140" i="4"/>
  <c r="J141" i="4"/>
  <c r="J142" i="4"/>
  <c r="J143" i="4"/>
  <c r="J144" i="4"/>
  <c r="J145" i="4"/>
  <c r="J146" i="4"/>
  <c r="J6" i="4"/>
  <c r="I7" i="4"/>
  <c r="I8" i="4"/>
  <c r="I9" i="4"/>
  <c r="I10" i="4"/>
  <c r="I11" i="4"/>
  <c r="I12" i="4"/>
  <c r="I13" i="4"/>
  <c r="I14" i="4"/>
  <c r="I15" i="4"/>
  <c r="I16" i="4"/>
  <c r="I17" i="4"/>
  <c r="I18" i="4"/>
  <c r="I19" i="4"/>
  <c r="I20" i="4"/>
  <c r="I21" i="4"/>
  <c r="I22" i="4"/>
  <c r="I23" i="4"/>
  <c r="I24" i="4"/>
  <c r="I25" i="4"/>
  <c r="I26" i="4"/>
  <c r="I27" i="4"/>
  <c r="I28" i="4"/>
  <c r="I29" i="4"/>
  <c r="I30" i="4"/>
  <c r="I31" i="4"/>
  <c r="I32" i="4"/>
  <c r="I33" i="4"/>
  <c r="I34" i="4"/>
  <c r="I35" i="4"/>
  <c r="I36" i="4"/>
  <c r="I37" i="4"/>
  <c r="I38" i="4"/>
  <c r="I39" i="4"/>
  <c r="I40" i="4"/>
  <c r="I41" i="4"/>
  <c r="I42" i="4"/>
  <c r="I43" i="4"/>
  <c r="I44" i="4"/>
  <c r="I45" i="4"/>
  <c r="I46" i="4"/>
  <c r="I47" i="4"/>
  <c r="I48" i="4"/>
  <c r="I49" i="4"/>
  <c r="I50" i="4"/>
  <c r="I51" i="4"/>
  <c r="I52" i="4"/>
  <c r="I53" i="4"/>
  <c r="I54" i="4"/>
  <c r="I55" i="4"/>
  <c r="I56" i="4"/>
  <c r="I57" i="4"/>
  <c r="I58" i="4"/>
  <c r="I59" i="4"/>
  <c r="I60" i="4"/>
  <c r="I61" i="4"/>
  <c r="I62" i="4"/>
  <c r="I63" i="4"/>
  <c r="I64" i="4"/>
  <c r="I65" i="4"/>
  <c r="I66" i="4"/>
  <c r="I67" i="4"/>
  <c r="I68" i="4"/>
  <c r="I69" i="4"/>
  <c r="I70" i="4"/>
  <c r="I71" i="4"/>
  <c r="I72" i="4"/>
  <c r="I73" i="4"/>
  <c r="I74" i="4"/>
  <c r="I75" i="4"/>
  <c r="I76" i="4"/>
  <c r="I77" i="4"/>
  <c r="I78" i="4"/>
  <c r="I79" i="4"/>
  <c r="I80" i="4"/>
  <c r="I81" i="4"/>
  <c r="I82" i="4"/>
  <c r="I83" i="4"/>
  <c r="I84" i="4"/>
  <c r="I85" i="4"/>
  <c r="I86" i="4"/>
  <c r="I87" i="4"/>
  <c r="I6" i="4"/>
  <c r="H7" i="4"/>
  <c r="H8" i="4"/>
  <c r="H9" i="4"/>
  <c r="H10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H92" i="4"/>
  <c r="H93" i="4"/>
  <c r="H94" i="4"/>
  <c r="H95" i="4"/>
  <c r="H96" i="4"/>
  <c r="H97" i="4"/>
  <c r="H98" i="4"/>
  <c r="H99" i="4"/>
  <c r="H100" i="4"/>
  <c r="H101" i="4"/>
  <c r="H102" i="4"/>
  <c r="H103" i="4"/>
  <c r="H104" i="4"/>
  <c r="H105" i="4"/>
  <c r="H106" i="4"/>
  <c r="H107" i="4"/>
  <c r="H108" i="4"/>
  <c r="H109" i="4"/>
  <c r="H110" i="4"/>
  <c r="H111" i="4"/>
  <c r="H112" i="4"/>
  <c r="H113" i="4"/>
  <c r="H114" i="4"/>
  <c r="H115" i="4"/>
  <c r="H116" i="4"/>
  <c r="H117" i="4"/>
  <c r="H118" i="4"/>
  <c r="H119" i="4"/>
  <c r="H120" i="4"/>
  <c r="H121" i="4"/>
  <c r="H122" i="4"/>
  <c r="H123" i="4"/>
  <c r="H124" i="4"/>
  <c r="H125" i="4"/>
  <c r="H126" i="4"/>
  <c r="H127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6" i="4"/>
  <c r="C97" i="10" l="1"/>
  <c r="D97" i="10"/>
  <c r="E97" i="10"/>
  <c r="B97" i="10"/>
  <c r="C171" i="9" l="1"/>
  <c r="C172" i="9" s="1"/>
  <c r="C173" i="9" s="1"/>
  <c r="C174" i="9" s="1"/>
  <c r="C175" i="9" s="1"/>
  <c r="C176" i="9" s="1"/>
  <c r="C177" i="9" s="1"/>
  <c r="C178" i="9" s="1"/>
  <c r="C179" i="9" s="1"/>
  <c r="C180" i="9" s="1"/>
  <c r="C181" i="9" s="1"/>
  <c r="C182" i="9" s="1"/>
  <c r="C183" i="9" s="1"/>
  <c r="C184" i="9" s="1"/>
  <c r="C185" i="9" s="1"/>
  <c r="C186" i="9" s="1"/>
  <c r="C187" i="9" s="1"/>
  <c r="C188" i="9" s="1"/>
  <c r="C189" i="9" s="1"/>
  <c r="C190" i="9" s="1"/>
  <c r="C191" i="9" s="1"/>
  <c r="C192" i="9" s="1"/>
  <c r="C193" i="9" s="1"/>
  <c r="C194" i="9" s="1"/>
  <c r="C195" i="9" s="1"/>
  <c r="C196" i="9" s="1"/>
  <c r="C197" i="9" s="1"/>
  <c r="C198" i="9" s="1"/>
  <c r="C199" i="9" s="1"/>
  <c r="C200" i="9" s="1"/>
  <c r="C201" i="9" s="1"/>
  <c r="C202" i="9" s="1"/>
  <c r="C203" i="9" s="1"/>
  <c r="C204" i="9" s="1"/>
  <c r="C205" i="9" s="1"/>
  <c r="C206" i="9" s="1"/>
  <c r="C207" i="9" s="1"/>
  <c r="C208" i="9" s="1"/>
  <c r="C209" i="9" s="1"/>
  <c r="B170" i="9"/>
  <c r="A170" i="9"/>
  <c r="A171" i="9" s="1"/>
  <c r="A172" i="9" s="1"/>
  <c r="A173" i="9" s="1"/>
  <c r="A174" i="9" s="1"/>
  <c r="A175" i="9" s="1"/>
  <c r="A176" i="9" s="1"/>
  <c r="A177" i="9" s="1"/>
  <c r="A178" i="9" s="1"/>
  <c r="A179" i="9" s="1"/>
  <c r="A180" i="9" s="1"/>
  <c r="A181" i="9" s="1"/>
  <c r="A182" i="9" s="1"/>
  <c r="A183" i="9" s="1"/>
  <c r="A184" i="9" s="1"/>
  <c r="A185" i="9" s="1"/>
  <c r="A186" i="9" s="1"/>
  <c r="A187" i="9" s="1"/>
  <c r="A188" i="9" s="1"/>
  <c r="A189" i="9" s="1"/>
  <c r="A190" i="9" s="1"/>
  <c r="A191" i="9" s="1"/>
  <c r="A192" i="9" s="1"/>
  <c r="A193" i="9" s="1"/>
  <c r="A194" i="9" s="1"/>
  <c r="A195" i="9" s="1"/>
  <c r="A196" i="9" s="1"/>
  <c r="A197" i="9" s="1"/>
  <c r="A198" i="9" s="1"/>
  <c r="A199" i="9" s="1"/>
  <c r="A200" i="9" s="1"/>
  <c r="A201" i="9" s="1"/>
  <c r="A202" i="9" s="1"/>
  <c r="A203" i="9" s="1"/>
  <c r="A204" i="9" s="1"/>
  <c r="A205" i="9" s="1"/>
  <c r="A206" i="9" s="1"/>
  <c r="A207" i="9" s="1"/>
  <c r="A208" i="9" s="1"/>
  <c r="A209" i="9" s="1"/>
  <c r="D209" i="9" s="1"/>
  <c r="A169" i="9"/>
  <c r="D169" i="9" s="1"/>
  <c r="D170" i="9" l="1"/>
  <c r="D178" i="9"/>
  <c r="D186" i="9"/>
  <c r="D194" i="9"/>
  <c r="D202" i="9"/>
  <c r="D171" i="9"/>
  <c r="D179" i="9"/>
  <c r="D187" i="9"/>
  <c r="D195" i="9"/>
  <c r="D203" i="9"/>
  <c r="D172" i="9"/>
  <c r="D180" i="9"/>
  <c r="D188" i="9"/>
  <c r="D196" i="9"/>
  <c r="D204" i="9"/>
  <c r="D173" i="9"/>
  <c r="D181" i="9"/>
  <c r="D189" i="9"/>
  <c r="D197" i="9"/>
  <c r="D205" i="9"/>
  <c r="D174" i="9"/>
  <c r="D182" i="9"/>
  <c r="D190" i="9"/>
  <c r="D198" i="9"/>
  <c r="D206" i="9"/>
  <c r="D175" i="9"/>
  <c r="D183" i="9"/>
  <c r="D191" i="9"/>
  <c r="D199" i="9"/>
  <c r="D207" i="9"/>
  <c r="D176" i="9"/>
  <c r="D184" i="9"/>
  <c r="D192" i="9"/>
  <c r="D200" i="9"/>
  <c r="D208" i="9"/>
  <c r="D177" i="9"/>
  <c r="D185" i="9"/>
  <c r="D193" i="9"/>
  <c r="D201" i="9"/>
  <c r="F121" i="8" l="1"/>
  <c r="F117" i="8"/>
  <c r="F17" i="3"/>
  <c r="F38" i="3"/>
  <c r="F53" i="3"/>
  <c r="F122" i="8" l="1"/>
  <c r="F117" i="3"/>
  <c r="F116" i="3"/>
  <c r="F115" i="3"/>
  <c r="F95" i="3"/>
  <c r="F75" i="3"/>
  <c r="F74" i="3"/>
  <c r="F73" i="3"/>
  <c r="F51" i="3"/>
  <c r="F16" i="3"/>
  <c r="F15" i="3"/>
  <c r="C22" i="3"/>
  <c r="E133" i="1"/>
  <c r="E103" i="1"/>
  <c r="G162" i="9" l="1"/>
  <c r="F162" i="9"/>
  <c r="E162" i="9"/>
  <c r="D162" i="9"/>
  <c r="C162" i="9"/>
  <c r="B162" i="9"/>
  <c r="B73" i="9"/>
  <c r="B67" i="9"/>
  <c r="B66" i="9"/>
  <c r="C21" i="9"/>
  <c r="T20" i="9"/>
  <c r="L20" i="9" a="1"/>
  <c r="L20" i="9" s="1"/>
  <c r="J20" i="9"/>
  <c r="B20" i="9"/>
  <c r="A20" i="9"/>
  <c r="T19" i="9"/>
  <c r="L19" i="9" a="1"/>
  <c r="L19" i="9" s="1"/>
  <c r="A19" i="9"/>
  <c r="F14" i="9"/>
  <c r="B127" i="3"/>
  <c r="C116" i="3"/>
  <c r="G96" i="3"/>
  <c r="H83" i="3"/>
  <c r="G80" i="3"/>
  <c r="F80" i="3"/>
  <c r="C80" i="3"/>
  <c r="H61" i="3"/>
  <c r="G58" i="3"/>
  <c r="F58" i="3"/>
  <c r="C58" i="3"/>
  <c r="G20" i="9" l="1" a="1"/>
  <c r="G20" i="9" s="1"/>
  <c r="H73" i="9"/>
  <c r="A21" i="9"/>
  <c r="A22" i="9" s="1"/>
  <c r="U73" i="9"/>
  <c r="T73" i="9"/>
  <c r="D20" i="9"/>
  <c r="D19" i="9"/>
  <c r="T21" i="9"/>
  <c r="V73" i="9"/>
  <c r="N73" i="9"/>
  <c r="F73" i="9"/>
  <c r="W73" i="9"/>
  <c r="M73" i="9"/>
  <c r="D73" i="9"/>
  <c r="S73" i="9"/>
  <c r="I73" i="9"/>
  <c r="R73" i="9"/>
  <c r="G73" i="9"/>
  <c r="Q73" i="9"/>
  <c r="E73" i="9"/>
  <c r="P73" i="9"/>
  <c r="C73" i="9"/>
  <c r="O73" i="9"/>
  <c r="L73" i="9"/>
  <c r="J21" i="9"/>
  <c r="C22" i="9"/>
  <c r="J73" i="9"/>
  <c r="L21" i="9" a="1"/>
  <c r="L21" i="9" s="1"/>
  <c r="K73" i="9"/>
  <c r="C83" i="3"/>
  <c r="C61" i="3"/>
  <c r="E127" i="3" l="1"/>
  <c r="G21" i="9" a="1"/>
  <c r="G21" i="9" s="1"/>
  <c r="D21" i="9"/>
  <c r="D22" i="9"/>
  <c r="A23" i="9"/>
  <c r="G22" i="9" a="1"/>
  <c r="G22" i="9" s="1"/>
  <c r="T22" i="9"/>
  <c r="J22" i="9"/>
  <c r="C23" i="9"/>
  <c r="L22" i="9" a="1"/>
  <c r="L22" i="9" s="1"/>
  <c r="C117" i="3" l="1"/>
  <c r="H137" i="3"/>
  <c r="L23" i="9" a="1"/>
  <c r="L23" i="9" s="1"/>
  <c r="T23" i="9"/>
  <c r="J23" i="9"/>
  <c r="C24" i="9"/>
  <c r="G23" i="9" a="1"/>
  <c r="G23" i="9" s="1"/>
  <c r="D23" i="9"/>
  <c r="A24" i="9"/>
  <c r="J24" i="9" l="1"/>
  <c r="C25" i="9"/>
  <c r="L24" i="9" a="1"/>
  <c r="L24" i="9" s="1"/>
  <c r="T24" i="9"/>
  <c r="A25" i="9"/>
  <c r="G24" i="9" a="1"/>
  <c r="G24" i="9" s="1"/>
  <c r="D24" i="9"/>
  <c r="D25" i="9" l="1"/>
  <c r="G25" i="9" a="1"/>
  <c r="G25" i="9" s="1"/>
  <c r="A26" i="9"/>
  <c r="L25" i="9" a="1"/>
  <c r="L25" i="9" s="1"/>
  <c r="J25" i="9"/>
  <c r="T25" i="9"/>
  <c r="C26" i="9"/>
  <c r="L26" i="9" l="1" a="1"/>
  <c r="L26" i="9" s="1"/>
  <c r="C27" i="9"/>
  <c r="J26" i="9"/>
  <c r="T26" i="9"/>
  <c r="A27" i="9"/>
  <c r="D26" i="9"/>
  <c r="G26" i="9" a="1"/>
  <c r="G26" i="9" s="1"/>
  <c r="C28" i="9" l="1"/>
  <c r="L27" i="9" a="1"/>
  <c r="L27" i="9" s="1"/>
  <c r="J27" i="9"/>
  <c r="T27" i="9"/>
  <c r="A28" i="9"/>
  <c r="G27" i="9" a="1"/>
  <c r="G27" i="9" s="1"/>
  <c r="D27" i="9"/>
  <c r="D28" i="9" l="1"/>
  <c r="G28" i="9" a="1"/>
  <c r="G28" i="9" s="1"/>
  <c r="A29" i="9"/>
  <c r="T28" i="9"/>
  <c r="L28" i="9" a="1"/>
  <c r="L28" i="9" s="1"/>
  <c r="C29" i="9"/>
  <c r="J28" i="9"/>
  <c r="C30" i="9" l="1"/>
  <c r="J29" i="9"/>
  <c r="L29" i="9" a="1"/>
  <c r="L29" i="9" s="1"/>
  <c r="T29" i="9"/>
  <c r="G29" i="9" a="1"/>
  <c r="G29" i="9" s="1"/>
  <c r="A30" i="9"/>
  <c r="D29" i="9"/>
  <c r="A31" i="9" l="1"/>
  <c r="D30" i="9"/>
  <c r="G30" i="9" a="1"/>
  <c r="G30" i="9" s="1"/>
  <c r="T30" i="9"/>
  <c r="J30" i="9"/>
  <c r="C31" i="9"/>
  <c r="L30" i="9" a="1"/>
  <c r="L30" i="9" s="1"/>
  <c r="L31" i="9" l="1" a="1"/>
  <c r="L31" i="9" s="1"/>
  <c r="T31" i="9"/>
  <c r="C32" i="9"/>
  <c r="J31" i="9"/>
  <c r="G31" i="9" a="1"/>
  <c r="G31" i="9" s="1"/>
  <c r="D31" i="9"/>
  <c r="A32" i="9"/>
  <c r="A33" i="9" l="1"/>
  <c r="G32" i="9" a="1"/>
  <c r="G32" i="9" s="1"/>
  <c r="D32" i="9"/>
  <c r="J32" i="9"/>
  <c r="C33" i="9"/>
  <c r="T32" i="9"/>
  <c r="L32" i="9" a="1"/>
  <c r="L32" i="9" s="1"/>
  <c r="D33" i="9" l="1"/>
  <c r="A34" i="9"/>
  <c r="G33" i="9" a="1"/>
  <c r="G33" i="9" s="1"/>
  <c r="L33" i="9" a="1"/>
  <c r="L33" i="9" s="1"/>
  <c r="J33" i="9"/>
  <c r="C34" i="9"/>
  <c r="T33" i="9"/>
  <c r="A35" i="9" l="1"/>
  <c r="D34" i="9"/>
  <c r="G34" i="9" a="1"/>
  <c r="G34" i="9" s="1"/>
  <c r="L34" i="9" a="1"/>
  <c r="L34" i="9" s="1"/>
  <c r="T34" i="9"/>
  <c r="J34" i="9"/>
  <c r="C35" i="9"/>
  <c r="C36" i="9" l="1"/>
  <c r="J35" i="9"/>
  <c r="T35" i="9"/>
  <c r="L35" i="9" a="1"/>
  <c r="L35" i="9" s="1"/>
  <c r="A36" i="9"/>
  <c r="G35" i="9" a="1"/>
  <c r="G35" i="9" s="1"/>
  <c r="D35" i="9"/>
  <c r="D36" i="9" l="1"/>
  <c r="G36" i="9" a="1"/>
  <c r="G36" i="9" s="1"/>
  <c r="A37" i="9"/>
  <c r="T36" i="9"/>
  <c r="J36" i="9"/>
  <c r="L36" i="9" a="1"/>
  <c r="L36" i="9" s="1"/>
  <c r="C37" i="9"/>
  <c r="C38" i="9" l="1"/>
  <c r="L37" i="9" a="1"/>
  <c r="L37" i="9" s="1"/>
  <c r="J37" i="9"/>
  <c r="T37" i="9"/>
  <c r="G37" i="9" a="1"/>
  <c r="G37" i="9" s="1"/>
  <c r="D37" i="9"/>
  <c r="A38" i="9"/>
  <c r="T38" i="9" l="1"/>
  <c r="J38" i="9"/>
  <c r="C39" i="9"/>
  <c r="L38" i="9" a="1"/>
  <c r="L38" i="9" s="1"/>
  <c r="A39" i="9"/>
  <c r="G38" i="9" a="1"/>
  <c r="G38" i="9" s="1"/>
  <c r="D38" i="9"/>
  <c r="L39" i="9" l="1" a="1"/>
  <c r="L39" i="9" s="1"/>
  <c r="T39" i="9"/>
  <c r="J39" i="9"/>
  <c r="C40" i="9"/>
  <c r="A40" i="9"/>
  <c r="G39" i="9" a="1"/>
  <c r="G39" i="9" s="1"/>
  <c r="D39" i="9"/>
  <c r="G40" i="9" l="1" a="1"/>
  <c r="G40" i="9" s="1"/>
  <c r="A41" i="9"/>
  <c r="D40" i="9"/>
  <c r="C41" i="9"/>
  <c r="T40" i="9"/>
  <c r="L40" i="9" a="1"/>
  <c r="L40" i="9" s="1"/>
  <c r="J40" i="9"/>
  <c r="C42" i="9" l="1"/>
  <c r="L41" i="9" a="1"/>
  <c r="L41" i="9" s="1"/>
  <c r="J41" i="9"/>
  <c r="T41" i="9"/>
  <c r="G41" i="9" a="1"/>
  <c r="G41" i="9" s="1"/>
  <c r="A42" i="9"/>
  <c r="D41" i="9"/>
  <c r="C43" i="9" l="1"/>
  <c r="L42" i="9" a="1"/>
  <c r="L42" i="9" s="1"/>
  <c r="T42" i="9"/>
  <c r="J42" i="9"/>
  <c r="A43" i="9"/>
  <c r="G42" i="9" a="1"/>
  <c r="G42" i="9" s="1"/>
  <c r="D42" i="9"/>
  <c r="G43" i="9" l="1" a="1"/>
  <c r="G43" i="9" s="1"/>
  <c r="A44" i="9"/>
  <c r="D43" i="9"/>
  <c r="T43" i="9"/>
  <c r="L43" i="9" a="1"/>
  <c r="L43" i="9" s="1"/>
  <c r="J43" i="9"/>
  <c r="C44" i="9"/>
  <c r="G44" i="9" l="1" a="1"/>
  <c r="G44" i="9" s="1"/>
  <c r="A45" i="9"/>
  <c r="D44" i="9"/>
  <c r="J44" i="9"/>
  <c r="C45" i="9"/>
  <c r="T44" i="9"/>
  <c r="L44" i="9" a="1"/>
  <c r="L44" i="9" s="1"/>
  <c r="J45" i="9" l="1"/>
  <c r="C46" i="9"/>
  <c r="L45" i="9" a="1"/>
  <c r="L45" i="9" s="1"/>
  <c r="T45" i="9"/>
  <c r="G45" i="9" a="1"/>
  <c r="G45" i="9" s="1"/>
  <c r="A46" i="9"/>
  <c r="D45" i="9"/>
  <c r="D46" i="9" l="1"/>
  <c r="G46" i="9" a="1"/>
  <c r="G46" i="9" s="1"/>
  <c r="A47" i="9"/>
  <c r="L46" i="9" a="1"/>
  <c r="L46" i="9" s="1"/>
  <c r="T46" i="9"/>
  <c r="J46" i="9"/>
  <c r="C47" i="9"/>
  <c r="T47" i="9" l="1"/>
  <c r="J47" i="9"/>
  <c r="C48" i="9"/>
  <c r="L47" i="9" a="1"/>
  <c r="L47" i="9" s="1"/>
  <c r="A48" i="9"/>
  <c r="G47" i="9" a="1"/>
  <c r="G47" i="9" s="1"/>
  <c r="D47" i="9"/>
  <c r="C49" i="9" l="1"/>
  <c r="L48" i="9" a="1"/>
  <c r="L48" i="9" s="1"/>
  <c r="T48" i="9"/>
  <c r="J48" i="9"/>
  <c r="G48" i="9" a="1"/>
  <c r="G48" i="9" s="1"/>
  <c r="A49" i="9"/>
  <c r="D48" i="9"/>
  <c r="A50" i="9" l="1"/>
  <c r="D49" i="9"/>
  <c r="G49" i="9" a="1"/>
  <c r="G49" i="9" s="1"/>
  <c r="L49" i="9" a="1"/>
  <c r="L49" i="9" s="1"/>
  <c r="T49" i="9"/>
  <c r="J49" i="9"/>
  <c r="C50" i="9"/>
  <c r="G50" i="9" l="1" a="1"/>
  <c r="G50" i="9" s="1"/>
  <c r="D50" i="9"/>
  <c r="A51" i="9"/>
  <c r="C51" i="9"/>
  <c r="T50" i="9"/>
  <c r="J50" i="9"/>
  <c r="L50" i="9" a="1"/>
  <c r="L50" i="9" s="1"/>
  <c r="G51" i="9" l="1" a="1"/>
  <c r="G51" i="9" s="1"/>
  <c r="A52" i="9"/>
  <c r="D51" i="9"/>
  <c r="T51" i="9"/>
  <c r="C52" i="9"/>
  <c r="J51" i="9"/>
  <c r="L51" i="9" a="1"/>
  <c r="L51" i="9" s="1"/>
  <c r="C53" i="9" l="1"/>
  <c r="L52" i="9" a="1"/>
  <c r="L52" i="9" s="1"/>
  <c r="T52" i="9"/>
  <c r="J52" i="9"/>
  <c r="G52" i="9" a="1"/>
  <c r="G52" i="9" s="1"/>
  <c r="A53" i="9"/>
  <c r="D52" i="9"/>
  <c r="J53" i="9" l="1"/>
  <c r="L53" i="9" a="1"/>
  <c r="L53" i="9" s="1"/>
  <c r="T53" i="9"/>
  <c r="C54" i="9"/>
  <c r="G53" i="9" a="1"/>
  <c r="G53" i="9" s="1"/>
  <c r="A54" i="9"/>
  <c r="D53" i="9"/>
  <c r="L54" i="9" l="1" a="1"/>
  <c r="L54" i="9" s="1"/>
  <c r="J54" i="9"/>
  <c r="C55" i="9"/>
  <c r="T54" i="9"/>
  <c r="D54" i="9"/>
  <c r="G54" i="9" a="1"/>
  <c r="G54" i="9" s="1"/>
  <c r="A55" i="9"/>
  <c r="C56" i="9" l="1"/>
  <c r="L55" i="9" a="1"/>
  <c r="L55" i="9" s="1"/>
  <c r="T55" i="9"/>
  <c r="J55" i="9"/>
  <c r="A56" i="9"/>
  <c r="G55" i="9" a="1"/>
  <c r="G55" i="9" s="1"/>
  <c r="D55" i="9"/>
  <c r="L56" i="9" l="1" a="1"/>
  <c r="L56" i="9" s="1"/>
  <c r="T56" i="9"/>
  <c r="J56" i="9"/>
  <c r="C57" i="9"/>
  <c r="D56" i="9"/>
  <c r="A57" i="9"/>
  <c r="G56" i="9" a="1"/>
  <c r="G56" i="9" s="1"/>
  <c r="G57" i="9" l="1" a="1"/>
  <c r="G57" i="9" s="1"/>
  <c r="A58" i="9"/>
  <c r="D57" i="9"/>
  <c r="C58" i="9"/>
  <c r="T57" i="9"/>
  <c r="J57" i="9"/>
  <c r="L57" i="9" a="1"/>
  <c r="L57" i="9" s="1"/>
  <c r="G58" i="9" l="1" a="1"/>
  <c r="G58" i="9" s="1"/>
  <c r="D58" i="9"/>
  <c r="A59" i="9"/>
  <c r="J58" i="9"/>
  <c r="L58" i="9" a="1"/>
  <c r="L58" i="9" s="1"/>
  <c r="T58" i="9"/>
  <c r="C59" i="9"/>
  <c r="D59" i="9" l="1"/>
  <c r="G59" i="9" a="1"/>
  <c r="G59" i="9" s="1"/>
  <c r="J59" i="9"/>
  <c r="H25" i="3" l="1"/>
  <c r="G22" i="3"/>
  <c r="F22" i="3"/>
  <c r="B47" i="8"/>
  <c r="F127" i="3" s="1"/>
  <c r="B46" i="8"/>
  <c r="B5" i="8"/>
  <c r="B39" i="16" l="1"/>
  <c r="F39" i="16"/>
  <c r="B40" i="16"/>
  <c r="B41" i="16"/>
  <c r="F41" i="16"/>
  <c r="F40" i="16"/>
  <c r="B49" i="8"/>
  <c r="J88" i="3" s="1"/>
  <c r="B53" i="8"/>
  <c r="B108" i="3" s="1"/>
  <c r="H129" i="8"/>
  <c r="F130" i="8"/>
  <c r="R7" i="4"/>
  <c r="R15" i="4"/>
  <c r="R23" i="4"/>
  <c r="R31" i="4"/>
  <c r="R39" i="4"/>
  <c r="R47" i="4"/>
  <c r="R55" i="4"/>
  <c r="R63" i="4"/>
  <c r="R71" i="4"/>
  <c r="R79" i="4"/>
  <c r="R87" i="4"/>
  <c r="R95" i="4"/>
  <c r="R103" i="4"/>
  <c r="R111" i="4"/>
  <c r="R119" i="4"/>
  <c r="R127" i="4"/>
  <c r="R135" i="4"/>
  <c r="R143" i="4"/>
  <c r="R51" i="4"/>
  <c r="R115" i="4"/>
  <c r="R45" i="4"/>
  <c r="R101" i="4"/>
  <c r="R78" i="4"/>
  <c r="R8" i="4"/>
  <c r="R16" i="4"/>
  <c r="R24" i="4"/>
  <c r="R32" i="4"/>
  <c r="R40" i="4"/>
  <c r="R48" i="4"/>
  <c r="R56" i="4"/>
  <c r="R64" i="4"/>
  <c r="R72" i="4"/>
  <c r="R80" i="4"/>
  <c r="R88" i="4"/>
  <c r="R96" i="4"/>
  <c r="R104" i="4"/>
  <c r="R112" i="4"/>
  <c r="R120" i="4"/>
  <c r="R128" i="4"/>
  <c r="R136" i="4"/>
  <c r="R144" i="4"/>
  <c r="R19" i="4"/>
  <c r="R131" i="4"/>
  <c r="R21" i="4"/>
  <c r="R117" i="4"/>
  <c r="R134" i="4"/>
  <c r="R9" i="4"/>
  <c r="R17" i="4"/>
  <c r="R25" i="4"/>
  <c r="R33" i="4"/>
  <c r="R41" i="4"/>
  <c r="R49" i="4"/>
  <c r="R57" i="4"/>
  <c r="R65" i="4"/>
  <c r="R73" i="4"/>
  <c r="R81" i="4"/>
  <c r="R89" i="4"/>
  <c r="R97" i="4"/>
  <c r="R105" i="4"/>
  <c r="R113" i="4"/>
  <c r="R121" i="4"/>
  <c r="R129" i="4"/>
  <c r="R137" i="4"/>
  <c r="R145" i="4"/>
  <c r="R35" i="4"/>
  <c r="R99" i="4"/>
  <c r="R123" i="4"/>
  <c r="R37" i="4"/>
  <c r="R77" i="4"/>
  <c r="R133" i="4"/>
  <c r="R102" i="4"/>
  <c r="R10" i="4"/>
  <c r="R18" i="4"/>
  <c r="R26" i="4"/>
  <c r="R34" i="4"/>
  <c r="R42" i="4"/>
  <c r="R50" i="4"/>
  <c r="R58" i="4"/>
  <c r="R66" i="4"/>
  <c r="R74" i="4"/>
  <c r="R82" i="4"/>
  <c r="R90" i="4"/>
  <c r="R98" i="4"/>
  <c r="R106" i="4"/>
  <c r="R114" i="4"/>
  <c r="R122" i="4"/>
  <c r="R130" i="4"/>
  <c r="R138" i="4"/>
  <c r="R146" i="4"/>
  <c r="R43" i="4"/>
  <c r="R91" i="4"/>
  <c r="R139" i="4"/>
  <c r="R29" i="4"/>
  <c r="R85" i="4"/>
  <c r="R141" i="4"/>
  <c r="R94" i="4"/>
  <c r="R11" i="4"/>
  <c r="R27" i="4"/>
  <c r="R59" i="4"/>
  <c r="R67" i="4"/>
  <c r="R75" i="4"/>
  <c r="R83" i="4"/>
  <c r="R107" i="4"/>
  <c r="R6" i="4"/>
  <c r="R53" i="4"/>
  <c r="R125" i="4"/>
  <c r="R110" i="4"/>
  <c r="R12" i="4"/>
  <c r="R20" i="4"/>
  <c r="R28" i="4"/>
  <c r="R36" i="4"/>
  <c r="R44" i="4"/>
  <c r="R52" i="4"/>
  <c r="R60" i="4"/>
  <c r="R68" i="4"/>
  <c r="R76" i="4"/>
  <c r="R84" i="4"/>
  <c r="R92" i="4"/>
  <c r="R100" i="4"/>
  <c r="R108" i="4"/>
  <c r="R116" i="4"/>
  <c r="R124" i="4"/>
  <c r="R132" i="4"/>
  <c r="R140" i="4"/>
  <c r="R61" i="4"/>
  <c r="R109" i="4"/>
  <c r="R86" i="4"/>
  <c r="R13" i="4"/>
  <c r="R69" i="4"/>
  <c r="R93" i="4"/>
  <c r="R118" i="4"/>
  <c r="R14" i="4"/>
  <c r="R22" i="4"/>
  <c r="R30" i="4"/>
  <c r="R38" i="4"/>
  <c r="R46" i="4"/>
  <c r="R54" i="4"/>
  <c r="R62" i="4"/>
  <c r="R70" i="4"/>
  <c r="R126" i="4"/>
  <c r="R142" i="4"/>
  <c r="B46" i="3"/>
  <c r="C25" i="3"/>
  <c r="B11" i="3" l="1"/>
  <c r="B22" i="3" s="1"/>
  <c r="B32" i="3"/>
  <c r="G130" i="8"/>
  <c r="B68" i="3"/>
  <c r="D80" i="3" s="1"/>
  <c r="E80" i="3" s="1"/>
  <c r="H80" i="3" s="1"/>
  <c r="C73" i="3" s="1"/>
  <c r="B90" i="3"/>
  <c r="J129" i="8"/>
  <c r="B80" i="3"/>
  <c r="B58" i="3"/>
  <c r="D58" i="3"/>
  <c r="E58" i="3" s="1"/>
  <c r="H58" i="3" s="1"/>
  <c r="C51" i="3" s="1"/>
  <c r="D61" i="3"/>
  <c r="D25" i="3"/>
  <c r="B25" i="3" s="1"/>
  <c r="D22" i="3"/>
  <c r="E22" i="3" s="1"/>
  <c r="H22" i="3" s="1"/>
  <c r="C15" i="3" s="1"/>
  <c r="D83" i="3" l="1"/>
  <c r="E61" i="3"/>
  <c r="F61" i="3" s="1"/>
  <c r="G61" i="3" s="1"/>
  <c r="I61" i="3" s="1"/>
  <c r="C52" i="3" s="1"/>
  <c r="B61" i="3"/>
  <c r="E83" i="3"/>
  <c r="B83" i="3"/>
  <c r="E25" i="3"/>
  <c r="F83" i="3" l="1"/>
  <c r="G83" i="3" s="1"/>
  <c r="I83" i="3" s="1"/>
  <c r="C74" i="3" s="1"/>
  <c r="F25" i="3"/>
  <c r="G25" i="3" s="1"/>
  <c r="I25" i="3" s="1"/>
  <c r="C16" i="3" s="1"/>
  <c r="C117" i="1" l="1"/>
  <c r="B48" i="1"/>
  <c r="B6" i="1" l="1"/>
  <c r="B49" i="1" l="1"/>
  <c r="B47" i="1"/>
  <c r="B46" i="1"/>
  <c r="B96" i="1"/>
  <c r="B7" i="1"/>
  <c r="D7" i="1"/>
  <c r="D146" i="4"/>
  <c r="E146" i="4" s="1"/>
  <c r="D145" i="4"/>
  <c r="E145" i="4" s="1"/>
  <c r="D144" i="4"/>
  <c r="E144" i="4" s="1"/>
  <c r="D143" i="4"/>
  <c r="E143" i="4" s="1"/>
  <c r="D142" i="4"/>
  <c r="E142" i="4" s="1"/>
  <c r="D141" i="4"/>
  <c r="E141" i="4" s="1"/>
  <c r="D140" i="4"/>
  <c r="E140" i="4" s="1"/>
  <c r="D139" i="4"/>
  <c r="E139" i="4" s="1"/>
  <c r="D138" i="4"/>
  <c r="E138" i="4" s="1"/>
  <c r="D137" i="4"/>
  <c r="E137" i="4" s="1"/>
  <c r="D136" i="4"/>
  <c r="E136" i="4" s="1"/>
  <c r="D135" i="4"/>
  <c r="E135" i="4" s="1"/>
  <c r="D134" i="4"/>
  <c r="E134" i="4" s="1"/>
  <c r="D133" i="4"/>
  <c r="E133" i="4" s="1"/>
  <c r="D132" i="4"/>
  <c r="E132" i="4" s="1"/>
  <c r="D131" i="4"/>
  <c r="E131" i="4" s="1"/>
  <c r="D130" i="4"/>
  <c r="E130" i="4" s="1"/>
  <c r="D129" i="4"/>
  <c r="E129" i="4" s="1"/>
  <c r="D128" i="4"/>
  <c r="E128" i="4" s="1"/>
  <c r="D127" i="4"/>
  <c r="E127" i="4" s="1"/>
  <c r="D126" i="4"/>
  <c r="E126" i="4" s="1"/>
  <c r="D125" i="4"/>
  <c r="E125" i="4" s="1"/>
  <c r="D124" i="4"/>
  <c r="E124" i="4" s="1"/>
  <c r="D123" i="4"/>
  <c r="E123" i="4" s="1"/>
  <c r="D122" i="4"/>
  <c r="E122" i="4" s="1"/>
  <c r="D121" i="4"/>
  <c r="E121" i="4" s="1"/>
  <c r="D120" i="4"/>
  <c r="E120" i="4" s="1"/>
  <c r="D119" i="4"/>
  <c r="E119" i="4" s="1"/>
  <c r="D118" i="4"/>
  <c r="E118" i="4" s="1"/>
  <c r="D117" i="4"/>
  <c r="E117" i="4" s="1"/>
  <c r="D116" i="4"/>
  <c r="E116" i="4" s="1"/>
  <c r="D115" i="4"/>
  <c r="E115" i="4" s="1"/>
  <c r="D114" i="4"/>
  <c r="E114" i="4" s="1"/>
  <c r="D113" i="4"/>
  <c r="E113" i="4" s="1"/>
  <c r="D112" i="4"/>
  <c r="E112" i="4" s="1"/>
  <c r="D111" i="4"/>
  <c r="E111" i="4" s="1"/>
  <c r="E110" i="4"/>
  <c r="D110" i="4"/>
  <c r="E109" i="4"/>
  <c r="D109" i="4"/>
  <c r="D108" i="4"/>
  <c r="E108" i="4" s="1"/>
  <c r="D107" i="4"/>
  <c r="E107" i="4" s="1"/>
  <c r="D106" i="4"/>
  <c r="E106" i="4" s="1"/>
  <c r="D105" i="4"/>
  <c r="E105" i="4" s="1"/>
  <c r="D104" i="4"/>
  <c r="E104" i="4" s="1"/>
  <c r="D103" i="4"/>
  <c r="E103" i="4" s="1"/>
  <c r="D102" i="4"/>
  <c r="E102" i="4" s="1"/>
  <c r="D101" i="4"/>
  <c r="E101" i="4" s="1"/>
  <c r="D100" i="4"/>
  <c r="E100" i="4" s="1"/>
  <c r="D99" i="4"/>
  <c r="E99" i="4" s="1"/>
  <c r="D98" i="4"/>
  <c r="E98" i="4" s="1"/>
  <c r="D97" i="4"/>
  <c r="E97" i="4" s="1"/>
  <c r="D96" i="4"/>
  <c r="E96" i="4" s="1"/>
  <c r="D95" i="4"/>
  <c r="E95" i="4" s="1"/>
  <c r="D94" i="4"/>
  <c r="E94" i="4" s="1"/>
  <c r="D93" i="4"/>
  <c r="E93" i="4" s="1"/>
  <c r="D92" i="4"/>
  <c r="E92" i="4" s="1"/>
  <c r="D91" i="4"/>
  <c r="E91" i="4" s="1"/>
  <c r="D90" i="4"/>
  <c r="E90" i="4" s="1"/>
  <c r="D89" i="4"/>
  <c r="E89" i="4" s="1"/>
  <c r="D88" i="4"/>
  <c r="E88" i="4" s="1"/>
  <c r="D87" i="4"/>
  <c r="D86" i="4"/>
  <c r="E86" i="4" s="1"/>
  <c r="D85" i="4"/>
  <c r="E85" i="4" s="1"/>
  <c r="D84" i="4"/>
  <c r="D83" i="4"/>
  <c r="E83" i="4" s="1"/>
  <c r="D82" i="4"/>
  <c r="E82" i="4" s="1"/>
  <c r="D81" i="4"/>
  <c r="E81" i="4" s="1"/>
  <c r="D80" i="4"/>
  <c r="D79" i="4"/>
  <c r="E79" i="4" s="1"/>
  <c r="D78" i="4"/>
  <c r="E78" i="4" s="1"/>
  <c r="D77" i="4"/>
  <c r="E77" i="4" s="1"/>
  <c r="D76" i="4"/>
  <c r="D75" i="4"/>
  <c r="E75" i="4" s="1"/>
  <c r="D74" i="4"/>
  <c r="E74" i="4" s="1"/>
  <c r="D73" i="4"/>
  <c r="E73" i="4" s="1"/>
  <c r="D72" i="4"/>
  <c r="D71" i="4"/>
  <c r="E71" i="4" s="1"/>
  <c r="D70" i="4"/>
  <c r="E70" i="4" s="1"/>
  <c r="D69" i="4"/>
  <c r="E69" i="4" s="1"/>
  <c r="D68" i="4"/>
  <c r="D67" i="4"/>
  <c r="E67" i="4" s="1"/>
  <c r="D66" i="4"/>
  <c r="E66" i="4" s="1"/>
  <c r="D65" i="4"/>
  <c r="E65" i="4" s="1"/>
  <c r="D64" i="4"/>
  <c r="E64" i="4" s="1"/>
  <c r="D63" i="4"/>
  <c r="E63" i="4" s="1"/>
  <c r="D62" i="4"/>
  <c r="E62" i="4" s="1"/>
  <c r="D61" i="4"/>
  <c r="E61" i="4" s="1"/>
  <c r="D60" i="4"/>
  <c r="E60" i="4" s="1"/>
  <c r="D59" i="4"/>
  <c r="E59" i="4" s="1"/>
  <c r="D58" i="4"/>
  <c r="E58" i="4" s="1"/>
  <c r="D57" i="4"/>
  <c r="E57" i="4" s="1"/>
  <c r="D56" i="4"/>
  <c r="E56" i="4" s="1"/>
  <c r="D55" i="4"/>
  <c r="E55" i="4" s="1"/>
  <c r="D54" i="4"/>
  <c r="E54" i="4" s="1"/>
  <c r="D53" i="4"/>
  <c r="E53" i="4" s="1"/>
  <c r="D52" i="4"/>
  <c r="E52" i="4" s="1"/>
  <c r="D51" i="4"/>
  <c r="E51" i="4" s="1"/>
  <c r="D50" i="4"/>
  <c r="D49" i="4"/>
  <c r="E49" i="4" s="1"/>
  <c r="D48" i="4"/>
  <c r="E48" i="4" s="1"/>
  <c r="D47" i="4"/>
  <c r="D46" i="4"/>
  <c r="E46" i="4" s="1"/>
  <c r="D45" i="4"/>
  <c r="E45" i="4" s="1"/>
  <c r="D44" i="4"/>
  <c r="D43" i="4"/>
  <c r="E43" i="4" s="1"/>
  <c r="D42" i="4"/>
  <c r="E42" i="4"/>
  <c r="D41" i="4"/>
  <c r="E41" i="4" s="1"/>
  <c r="D40" i="4"/>
  <c r="D39" i="4"/>
  <c r="E39" i="4" s="1"/>
  <c r="D38" i="4"/>
  <c r="E38" i="4" s="1"/>
  <c r="D37" i="4"/>
  <c r="E37" i="4" s="1"/>
  <c r="D36" i="4"/>
  <c r="D35" i="4"/>
  <c r="E35" i="4" s="1"/>
  <c r="D34" i="4"/>
  <c r="D33" i="4"/>
  <c r="E33" i="4" s="1"/>
  <c r="D32" i="4"/>
  <c r="E32" i="4" s="1"/>
  <c r="D31" i="4"/>
  <c r="D30" i="4"/>
  <c r="E30" i="4" s="1"/>
  <c r="D29" i="4"/>
  <c r="E29" i="4" s="1"/>
  <c r="D28" i="4"/>
  <c r="E27" i="4"/>
  <c r="D27" i="4"/>
  <c r="D26" i="4"/>
  <c r="E26" i="4" s="1"/>
  <c r="D25" i="4"/>
  <c r="D24" i="4"/>
  <c r="D23" i="4"/>
  <c r="E23" i="4" s="1"/>
  <c r="D22" i="4"/>
  <c r="E22" i="4" s="1"/>
  <c r="D21" i="4"/>
  <c r="E21" i="4" s="1"/>
  <c r="D20" i="4"/>
  <c r="D19" i="4"/>
  <c r="E19" i="4" s="1"/>
  <c r="D18" i="4"/>
  <c r="E18" i="4" s="1"/>
  <c r="D17" i="4"/>
  <c r="D16" i="4"/>
  <c r="D15" i="4"/>
  <c r="E15" i="4" s="1"/>
  <c r="D14" i="4"/>
  <c r="E13" i="4"/>
  <c r="D13" i="4"/>
  <c r="D12" i="4"/>
  <c r="D11" i="4"/>
  <c r="E11" i="4" s="1"/>
  <c r="D9" i="4"/>
  <c r="D8" i="4"/>
  <c r="E8" i="4" s="1"/>
  <c r="D7" i="4"/>
  <c r="D6" i="4"/>
  <c r="E6" i="4" s="1"/>
  <c r="H2" i="4"/>
  <c r="E2" i="4"/>
  <c r="B2" i="4"/>
  <c r="A25" i="4" s="1"/>
  <c r="E40" i="4"/>
  <c r="E47" i="4"/>
  <c r="E36" i="4"/>
  <c r="E10" i="4"/>
  <c r="E25" i="4"/>
  <c r="E72" i="4"/>
  <c r="E80" i="4"/>
  <c r="E50" i="4"/>
  <c r="E68" i="4"/>
  <c r="E76" i="4"/>
  <c r="E84" i="4"/>
  <c r="A142" i="4"/>
  <c r="C140" i="4"/>
  <c r="A104" i="4"/>
  <c r="C126" i="4"/>
  <c r="A93" i="4"/>
  <c r="B82" i="4"/>
  <c r="B72" i="4"/>
  <c r="C64" i="4"/>
  <c r="C118" i="4"/>
  <c r="A103" i="4"/>
  <c r="B91" i="4"/>
  <c r="A106" i="4"/>
  <c r="A92" i="4"/>
  <c r="A80" i="4"/>
  <c r="C71" i="4"/>
  <c r="A61" i="4"/>
  <c r="C51" i="4"/>
  <c r="B145" i="4"/>
  <c r="B129" i="4"/>
  <c r="C104" i="4"/>
  <c r="A91" i="4"/>
  <c r="A83" i="4"/>
  <c r="A75" i="4"/>
  <c r="A67" i="4"/>
  <c r="C59" i="4"/>
  <c r="C55" i="4"/>
  <c r="B50" i="4"/>
  <c r="B45" i="4"/>
  <c r="B41" i="4"/>
  <c r="B37" i="4"/>
  <c r="B33" i="4"/>
  <c r="A12" i="4"/>
  <c r="B13" i="4"/>
  <c r="A16" i="4"/>
  <c r="B17" i="4"/>
  <c r="B20" i="4"/>
  <c r="C21" i="4"/>
  <c r="B24" i="4"/>
  <c r="B25" i="4"/>
  <c r="C28" i="4"/>
  <c r="C29" i="4"/>
  <c r="C30" i="4"/>
  <c r="C32" i="4"/>
  <c r="C35" i="4"/>
  <c r="A36" i="4"/>
  <c r="C39" i="4"/>
  <c r="C6" i="4"/>
  <c r="C7" i="4"/>
  <c r="A9" i="4"/>
  <c r="E9" i="4"/>
  <c r="C10" i="4"/>
  <c r="B12" i="4"/>
  <c r="C13" i="4"/>
  <c r="A15" i="4"/>
  <c r="B16" i="4"/>
  <c r="C17" i="4"/>
  <c r="B19" i="4"/>
  <c r="C20" i="4"/>
  <c r="A22" i="4"/>
  <c r="B23" i="4"/>
  <c r="C24" i="4"/>
  <c r="C25" i="4"/>
  <c r="A33" i="4"/>
  <c r="C36" i="4"/>
  <c r="A37" i="4"/>
  <c r="C40" i="4"/>
  <c r="A41" i="4"/>
  <c r="C44" i="4"/>
  <c r="A45" i="4"/>
  <c r="C47" i="4"/>
  <c r="B48" i="4"/>
  <c r="A49" i="4"/>
  <c r="A50" i="4"/>
  <c r="A52" i="4"/>
  <c r="A57" i="4"/>
  <c r="B58" i="4"/>
  <c r="C68" i="4"/>
  <c r="A69" i="4"/>
  <c r="C72" i="4"/>
  <c r="A73" i="4"/>
  <c r="C76" i="4"/>
  <c r="A77" i="4"/>
  <c r="C80" i="4"/>
  <c r="A81" i="4"/>
  <c r="C84" i="4"/>
  <c r="A85" i="4"/>
  <c r="B88" i="4"/>
  <c r="C90" i="4"/>
  <c r="C97" i="4"/>
  <c r="C103" i="4"/>
  <c r="B104" i="4"/>
  <c r="A107" i="4"/>
  <c r="B115" i="4"/>
  <c r="B77" i="1"/>
  <c r="B78" i="1"/>
  <c r="B95" i="1"/>
  <c r="B92" i="1"/>
  <c r="C14" i="4" l="1"/>
  <c r="B6" i="4"/>
  <c r="B40" i="4"/>
  <c r="C49" i="4"/>
  <c r="C58" i="4"/>
  <c r="C74" i="4"/>
  <c r="B89" i="4"/>
  <c r="C122" i="4"/>
  <c r="C50" i="4"/>
  <c r="A68" i="4"/>
  <c r="C89" i="4"/>
  <c r="A90" i="4"/>
  <c r="B114" i="4"/>
  <c r="B70" i="4"/>
  <c r="C91" i="4"/>
  <c r="B97" i="4"/>
  <c r="C121" i="4"/>
  <c r="B132" i="4"/>
  <c r="B49" i="4"/>
  <c r="A8" i="4"/>
  <c r="A126" i="4"/>
  <c r="B142" i="4"/>
  <c r="A38" i="4"/>
  <c r="B113" i="4"/>
  <c r="C45" i="4"/>
  <c r="B34" i="4"/>
  <c r="B42" i="4"/>
  <c r="B51" i="4"/>
  <c r="A60" i="4"/>
  <c r="C78" i="4"/>
  <c r="B93" i="4"/>
  <c r="C130" i="4"/>
  <c r="C52" i="4"/>
  <c r="C75" i="4"/>
  <c r="C93" i="4"/>
  <c r="A94" i="4"/>
  <c r="B133" i="4"/>
  <c r="B74" i="4"/>
  <c r="C100" i="4"/>
  <c r="A108" i="4"/>
  <c r="C129" i="4"/>
  <c r="C136" i="4"/>
  <c r="A56" i="4"/>
  <c r="C27" i="4"/>
  <c r="A19" i="4"/>
  <c r="C11" i="4"/>
  <c r="B35" i="4"/>
  <c r="B43" i="4"/>
  <c r="B52" i="4"/>
  <c r="B63" i="4"/>
  <c r="A79" i="4"/>
  <c r="B96" i="4"/>
  <c r="B137" i="4"/>
  <c r="B53" i="4"/>
  <c r="A76" i="4"/>
  <c r="C96" i="4"/>
  <c r="A95" i="4"/>
  <c r="B141" i="4"/>
  <c r="B75" i="4"/>
  <c r="C109" i="4"/>
  <c r="B118" i="4"/>
  <c r="A134" i="4"/>
  <c r="B92" i="4"/>
  <c r="A18" i="4"/>
  <c r="C41" i="4"/>
  <c r="C26" i="4"/>
  <c r="C18" i="4"/>
  <c r="B10" i="4"/>
  <c r="B36" i="4"/>
  <c r="B44" i="4"/>
  <c r="A53" i="4"/>
  <c r="A64" i="4"/>
  <c r="C82" i="4"/>
  <c r="B99" i="4"/>
  <c r="C138" i="4"/>
  <c r="B60" i="4"/>
  <c r="C79" i="4"/>
  <c r="C105" i="4"/>
  <c r="A101" i="4"/>
  <c r="C62" i="4"/>
  <c r="B78" i="4"/>
  <c r="A113" i="4"/>
  <c r="A125" i="4"/>
  <c r="C137" i="4"/>
  <c r="B9" i="4"/>
  <c r="B26" i="4"/>
  <c r="A59" i="4"/>
  <c r="G107" i="4"/>
  <c r="C8" i="4"/>
  <c r="B38" i="4"/>
  <c r="B46" i="4"/>
  <c r="C56" i="4"/>
  <c r="C70" i="4"/>
  <c r="C86" i="4"/>
  <c r="A105" i="4"/>
  <c r="C146" i="4"/>
  <c r="B64" i="4"/>
  <c r="A84" i="4"/>
  <c r="B117" i="4"/>
  <c r="B108" i="4"/>
  <c r="C66" i="4"/>
  <c r="B83" i="4"/>
  <c r="C134" i="4"/>
  <c r="C113" i="4"/>
  <c r="C145" i="4"/>
  <c r="C53" i="4"/>
  <c r="A13" i="4"/>
  <c r="B65" i="4"/>
  <c r="C31" i="4"/>
  <c r="A23" i="4"/>
  <c r="B7" i="4"/>
  <c r="B39" i="4"/>
  <c r="A47" i="4"/>
  <c r="C57" i="4"/>
  <c r="A71" i="4"/>
  <c r="A87" i="4"/>
  <c r="B121" i="4"/>
  <c r="A48" i="4"/>
  <c r="A65" i="4"/>
  <c r="C87" i="4"/>
  <c r="C88" i="4"/>
  <c r="A109" i="4"/>
  <c r="B67" i="4"/>
  <c r="B86" i="4"/>
  <c r="A145" i="4"/>
  <c r="A118" i="4"/>
  <c r="B126" i="4"/>
  <c r="C43" i="4"/>
  <c r="C144" i="4"/>
  <c r="B112" i="4"/>
  <c r="I173" i="9"/>
  <c r="I199" i="9"/>
  <c r="I191" i="9"/>
  <c r="I177" i="9"/>
  <c r="I186" i="9"/>
  <c r="I195" i="9"/>
  <c r="I204" i="9"/>
  <c r="G169" i="9"/>
  <c r="I182" i="9"/>
  <c r="I208" i="9"/>
  <c r="I171" i="9"/>
  <c r="I179" i="9"/>
  <c r="I188" i="9"/>
  <c r="I197" i="9"/>
  <c r="I206" i="9"/>
  <c r="E169" i="9"/>
  <c r="I172" i="9"/>
  <c r="I181" i="9"/>
  <c r="I189" i="9"/>
  <c r="I198" i="9"/>
  <c r="I207" i="9"/>
  <c r="H176" i="9"/>
  <c r="F176" i="9"/>
  <c r="I202" i="9"/>
  <c r="I183" i="9"/>
  <c r="F206" i="9"/>
  <c r="H183" i="9"/>
  <c r="G174" i="9"/>
  <c r="F172" i="9"/>
  <c r="H173" i="9"/>
  <c r="G172" i="9"/>
  <c r="F186" i="9"/>
  <c r="H179" i="9"/>
  <c r="G178" i="9"/>
  <c r="G201" i="9"/>
  <c r="F169" i="9"/>
  <c r="I193" i="9"/>
  <c r="I174" i="9"/>
  <c r="F182" i="9"/>
  <c r="F199" i="9"/>
  <c r="G197" i="9"/>
  <c r="H204" i="9"/>
  <c r="F178" i="9"/>
  <c r="H202" i="9"/>
  <c r="H208" i="9"/>
  <c r="H203" i="9"/>
  <c r="I192" i="9"/>
  <c r="G188" i="9"/>
  <c r="H169" i="9"/>
  <c r="H206" i="9"/>
  <c r="F203" i="9"/>
  <c r="H171" i="9"/>
  <c r="G193" i="9"/>
  <c r="H207" i="9"/>
  <c r="H189" i="9"/>
  <c r="F192" i="9"/>
  <c r="G182" i="9"/>
  <c r="G186" i="9"/>
  <c r="I205" i="9"/>
  <c r="I203" i="9"/>
  <c r="I184" i="9"/>
  <c r="F174" i="9"/>
  <c r="F197" i="9"/>
  <c r="H182" i="9"/>
  <c r="G189" i="9"/>
  <c r="F187" i="9"/>
  <c r="H196" i="9"/>
  <c r="G203" i="9"/>
  <c r="F209" i="9"/>
  <c r="H194" i="9"/>
  <c r="H209" i="9"/>
  <c r="I185" i="9"/>
  <c r="G192" i="9"/>
  <c r="F181" i="9"/>
  <c r="G173" i="9"/>
  <c r="H172" i="9"/>
  <c r="F193" i="9"/>
  <c r="H193" i="9"/>
  <c r="I178" i="9"/>
  <c r="G183" i="9"/>
  <c r="F204" i="9"/>
  <c r="G204" i="9"/>
  <c r="G202" i="9"/>
  <c r="G206" i="9"/>
  <c r="F202" i="9"/>
  <c r="I169" i="9"/>
  <c r="H181" i="9"/>
  <c r="I196" i="9"/>
  <c r="I194" i="9"/>
  <c r="I175" i="9"/>
  <c r="G208" i="9"/>
  <c r="G207" i="9"/>
  <c r="F189" i="9"/>
  <c r="H174" i="9"/>
  <c r="G181" i="9"/>
  <c r="F179" i="9"/>
  <c r="H188" i="9"/>
  <c r="G187" i="9"/>
  <c r="F201" i="9"/>
  <c r="H186" i="9"/>
  <c r="H201" i="9"/>
  <c r="I187" i="9"/>
  <c r="F170" i="9"/>
  <c r="F183" i="9"/>
  <c r="F171" i="9"/>
  <c r="G179" i="9"/>
  <c r="H178" i="9"/>
  <c r="I176" i="9"/>
  <c r="G176" i="9"/>
  <c r="H197" i="9"/>
  <c r="G171" i="9"/>
  <c r="F208" i="9"/>
  <c r="I170" i="9"/>
  <c r="G196" i="9"/>
  <c r="H170" i="9"/>
  <c r="H187" i="9"/>
  <c r="G199" i="9"/>
  <c r="I209" i="9"/>
  <c r="F173" i="9"/>
  <c r="F207" i="9"/>
  <c r="I201" i="9"/>
  <c r="F196" i="9"/>
  <c r="G194" i="9"/>
  <c r="H199" i="9"/>
  <c r="F194" i="9"/>
  <c r="H192" i="9"/>
  <c r="G170" i="9"/>
  <c r="F188" i="9"/>
  <c r="G209" i="9"/>
  <c r="Y26" i="9"/>
  <c r="A102" i="4"/>
  <c r="B116" i="4"/>
  <c r="C63" i="4"/>
  <c r="B71" i="4"/>
  <c r="B79" i="4"/>
  <c r="B87" i="4"/>
  <c r="C101" i="4"/>
  <c r="C114" i="4"/>
  <c r="A135" i="4"/>
  <c r="C98" i="4"/>
  <c r="B109" i="4"/>
  <c r="B127" i="4"/>
  <c r="A114" i="4"/>
  <c r="A122" i="4"/>
  <c r="A130" i="4"/>
  <c r="A138" i="4"/>
  <c r="A146" i="4"/>
  <c r="B134" i="4"/>
  <c r="C128" i="4"/>
  <c r="B59" i="4"/>
  <c r="A40" i="4"/>
  <c r="A27" i="4"/>
  <c r="A29" i="4"/>
  <c r="B107" i="4"/>
  <c r="C37" i="4"/>
  <c r="C81" i="4"/>
  <c r="B123" i="4"/>
  <c r="E24" i="4"/>
  <c r="E34" i="4"/>
  <c r="B80" i="4"/>
  <c r="A89" i="4"/>
  <c r="B102" i="4"/>
  <c r="C116" i="4"/>
  <c r="A137" i="4"/>
  <c r="A100" i="4"/>
  <c r="C110" i="4"/>
  <c r="C132" i="4"/>
  <c r="C115" i="4"/>
  <c r="C123" i="4"/>
  <c r="C131" i="4"/>
  <c r="C139" i="4"/>
  <c r="B120" i="4"/>
  <c r="B136" i="4"/>
  <c r="C120" i="4"/>
  <c r="A58" i="4"/>
  <c r="C95" i="4"/>
  <c r="A24" i="4"/>
  <c r="B18" i="4"/>
  <c r="C73" i="4"/>
  <c r="C67" i="4"/>
  <c r="C83" i="4"/>
  <c r="A97" i="4"/>
  <c r="C92" i="4"/>
  <c r="C107" i="4"/>
  <c r="B125" i="4"/>
  <c r="C65" i="4"/>
  <c r="B73" i="4"/>
  <c r="B81" i="4"/>
  <c r="B90" i="4"/>
  <c r="B103" i="4"/>
  <c r="A119" i="4"/>
  <c r="C142" i="4"/>
  <c r="B101" i="4"/>
  <c r="A112" i="4"/>
  <c r="A133" i="4"/>
  <c r="A116" i="4"/>
  <c r="A124" i="4"/>
  <c r="A132" i="4"/>
  <c r="A140" i="4"/>
  <c r="B122" i="4"/>
  <c r="B138" i="4"/>
  <c r="A115" i="4"/>
  <c r="B55" i="4"/>
  <c r="B21" i="4"/>
  <c r="C22" i="4"/>
  <c r="C12" i="4"/>
  <c r="A11" i="4"/>
  <c r="A66" i="4"/>
  <c r="A32" i="4"/>
  <c r="B30" i="4"/>
  <c r="C108" i="4"/>
  <c r="A121" i="4"/>
  <c r="A143" i="4"/>
  <c r="C102" i="4"/>
  <c r="A117" i="4"/>
  <c r="B135" i="4"/>
  <c r="C117" i="4"/>
  <c r="C125" i="4"/>
  <c r="C133" i="4"/>
  <c r="C141" i="4"/>
  <c r="B124" i="4"/>
  <c r="B140" i="4"/>
  <c r="B98" i="4"/>
  <c r="C54" i="4"/>
  <c r="A21" i="4"/>
  <c r="B11" i="4"/>
  <c r="C9" i="4"/>
  <c r="A62" i="4"/>
  <c r="C85" i="4"/>
  <c r="C34" i="4"/>
  <c r="A7" i="4"/>
  <c r="A20" i="4"/>
  <c r="A54" i="4"/>
  <c r="A72" i="4"/>
  <c r="A88" i="4"/>
  <c r="C111" i="4"/>
  <c r="C99" i="4"/>
  <c r="A110" i="4"/>
  <c r="C60" i="4"/>
  <c r="B68" i="4"/>
  <c r="B76" i="4"/>
  <c r="B84" i="4"/>
  <c r="B94" i="4"/>
  <c r="B110" i="4"/>
  <c r="A127" i="4"/>
  <c r="C94" i="4"/>
  <c r="B105" i="4"/>
  <c r="B119" i="4"/>
  <c r="A141" i="4"/>
  <c r="C119" i="4"/>
  <c r="C127" i="4"/>
  <c r="C135" i="4"/>
  <c r="C143" i="4"/>
  <c r="B128" i="4"/>
  <c r="B144" i="4"/>
  <c r="B47" i="4"/>
  <c r="C48" i="4"/>
  <c r="A14" i="4"/>
  <c r="A42" i="4"/>
  <c r="E7" i="4"/>
  <c r="A139" i="4"/>
  <c r="E44" i="4"/>
  <c r="A78" i="4"/>
  <c r="B100" i="4"/>
  <c r="A111" i="4"/>
  <c r="C61" i="4"/>
  <c r="B69" i="4"/>
  <c r="B77" i="4"/>
  <c r="B85" i="4"/>
  <c r="B95" i="4"/>
  <c r="B111" i="4"/>
  <c r="A129" i="4"/>
  <c r="A96" i="4"/>
  <c r="C106" i="4"/>
  <c r="C124" i="4"/>
  <c r="B143" i="4"/>
  <c r="A120" i="4"/>
  <c r="A128" i="4"/>
  <c r="A136" i="4"/>
  <c r="A144" i="4"/>
  <c r="B130" i="4"/>
  <c r="B146" i="4"/>
  <c r="A63" i="4"/>
  <c r="A44" i="4"/>
  <c r="A46" i="4"/>
  <c r="A10" i="4"/>
  <c r="A34" i="4"/>
  <c r="A131" i="4"/>
  <c r="A123" i="4"/>
  <c r="A98" i="4"/>
  <c r="C16" i="4"/>
  <c r="E13" i="9"/>
  <c r="C13" i="9"/>
  <c r="G13" i="9"/>
  <c r="G163" i="9"/>
  <c r="F163" i="9"/>
  <c r="E163" i="9"/>
  <c r="D163" i="9"/>
  <c r="C163" i="9"/>
  <c r="B163" i="9"/>
  <c r="K20" i="9"/>
  <c r="I19" i="9"/>
  <c r="Y20" i="9"/>
  <c r="K19" i="9"/>
  <c r="Y19" i="9"/>
  <c r="E19" i="9"/>
  <c r="M19" i="9"/>
  <c r="N19" i="9"/>
  <c r="K21" i="9"/>
  <c r="Y21" i="9"/>
  <c r="Y22" i="9"/>
  <c r="K22" i="9"/>
  <c r="Y23" i="9"/>
  <c r="K23" i="9"/>
  <c r="Y24" i="9"/>
  <c r="K24" i="9"/>
  <c r="K25" i="9"/>
  <c r="Y25" i="9"/>
  <c r="K26" i="9"/>
  <c r="Y27" i="9"/>
  <c r="K27" i="9"/>
  <c r="Y28" i="9"/>
  <c r="K28" i="9"/>
  <c r="K29" i="9"/>
  <c r="Y29" i="9"/>
  <c r="K30" i="9"/>
  <c r="Y30" i="9"/>
  <c r="Y31" i="9"/>
  <c r="K31" i="9"/>
  <c r="Y32" i="9"/>
  <c r="K32" i="9"/>
  <c r="K33" i="9"/>
  <c r="Y33" i="9"/>
  <c r="Y34" i="9"/>
  <c r="K34" i="9"/>
  <c r="K35" i="9"/>
  <c r="Y35" i="9"/>
  <c r="K36" i="9"/>
  <c r="Y36" i="9"/>
  <c r="K37" i="9"/>
  <c r="Y37" i="9"/>
  <c r="K38" i="9"/>
  <c r="Y38" i="9"/>
  <c r="Y39" i="9"/>
  <c r="K39" i="9"/>
  <c r="K40" i="9"/>
  <c r="Y40" i="9"/>
  <c r="Y41" i="9"/>
  <c r="K41" i="9"/>
  <c r="Y42" i="9"/>
  <c r="K42" i="9"/>
  <c r="Y43" i="9"/>
  <c r="K43" i="9"/>
  <c r="Y44" i="9"/>
  <c r="K44" i="9"/>
  <c r="Y45" i="9"/>
  <c r="K45" i="9"/>
  <c r="K46" i="9"/>
  <c r="Y46" i="9"/>
  <c r="K47" i="9"/>
  <c r="Y47" i="9"/>
  <c r="K48" i="9"/>
  <c r="Y48" i="9"/>
  <c r="Y49" i="9"/>
  <c r="K49" i="9"/>
  <c r="Y50" i="9"/>
  <c r="K50" i="9"/>
  <c r="K51" i="9"/>
  <c r="Y51" i="9"/>
  <c r="Y52" i="9"/>
  <c r="K52" i="9"/>
  <c r="K53" i="9"/>
  <c r="Y53" i="9"/>
  <c r="Y54" i="9"/>
  <c r="K54" i="9"/>
  <c r="K55" i="9"/>
  <c r="Y55" i="9"/>
  <c r="K56" i="9"/>
  <c r="Y56" i="9"/>
  <c r="Y57" i="9"/>
  <c r="K57" i="9"/>
  <c r="Y58" i="9"/>
  <c r="K58" i="9"/>
  <c r="Y59" i="9"/>
  <c r="E12" i="4"/>
  <c r="E16" i="4"/>
  <c r="E20" i="4"/>
  <c r="B57" i="4"/>
  <c r="B8" i="4"/>
  <c r="B27" i="4"/>
  <c r="B131" i="4"/>
  <c r="A6" i="4"/>
  <c r="A17" i="4"/>
  <c r="A39" i="4"/>
  <c r="C15" i="4"/>
  <c r="B15" i="4"/>
  <c r="B54" i="4"/>
  <c r="B31" i="4"/>
  <c r="B61" i="4"/>
  <c r="A26" i="4"/>
  <c r="A35" i="4"/>
  <c r="A55" i="4"/>
  <c r="A82" i="4"/>
  <c r="B139" i="4"/>
  <c r="E14" i="4"/>
  <c r="E17" i="4"/>
  <c r="E28" i="4"/>
  <c r="C23" i="4"/>
  <c r="C38" i="4"/>
  <c r="B56" i="4"/>
  <c r="A86" i="4"/>
  <c r="E31" i="4"/>
  <c r="B28" i="4"/>
  <c r="C19" i="4"/>
  <c r="C33" i="4"/>
  <c r="B29" i="4"/>
  <c r="C42" i="4"/>
  <c r="B62" i="4"/>
  <c r="A99" i="4"/>
  <c r="E87" i="4"/>
  <c r="A43" i="4"/>
  <c r="B66" i="4"/>
  <c r="B106" i="4"/>
  <c r="A28" i="4"/>
  <c r="B22" i="4"/>
  <c r="B14" i="4"/>
  <c r="A31" i="4"/>
  <c r="C77" i="4"/>
  <c r="C46" i="4"/>
  <c r="A70" i="4"/>
  <c r="C112" i="4"/>
  <c r="A30" i="4"/>
  <c r="C69" i="4"/>
  <c r="B32" i="4"/>
  <c r="A51" i="4"/>
  <c r="A74" i="4"/>
  <c r="B38" i="1"/>
  <c r="D39" i="1" s="1"/>
  <c r="C118" i="1"/>
  <c r="G114" i="4" l="1"/>
  <c r="G128" i="4"/>
  <c r="G141" i="4"/>
  <c r="G132" i="4"/>
  <c r="G97" i="4"/>
  <c r="G100" i="4"/>
  <c r="G120" i="4"/>
  <c r="G143" i="4"/>
  <c r="G124" i="4"/>
  <c r="G137" i="4"/>
  <c r="G121" i="4"/>
  <c r="G116" i="4"/>
  <c r="G119" i="4"/>
  <c r="G110" i="4"/>
  <c r="G133" i="4"/>
  <c r="G146" i="4"/>
  <c r="G135" i="4"/>
  <c r="G102" i="4"/>
  <c r="G101" i="4"/>
  <c r="G94" i="4"/>
  <c r="G98" i="4"/>
  <c r="G139" i="4"/>
  <c r="G127" i="4"/>
  <c r="G115" i="4"/>
  <c r="G112" i="4"/>
  <c r="G89" i="4"/>
  <c r="G138" i="4"/>
  <c r="P87" i="4"/>
  <c r="G113" i="4"/>
  <c r="G106" i="4"/>
  <c r="G142" i="4"/>
  <c r="G104" i="4"/>
  <c r="G108" i="4"/>
  <c r="G126" i="4"/>
  <c r="G95" i="4"/>
  <c r="G93" i="4"/>
  <c r="G105" i="4"/>
  <c r="G125" i="4"/>
  <c r="G90" i="4"/>
  <c r="G109" i="4"/>
  <c r="G134" i="4"/>
  <c r="G87" i="4"/>
  <c r="G103" i="4"/>
  <c r="G91" i="4"/>
  <c r="G145" i="4"/>
  <c r="G92" i="4"/>
  <c r="G118" i="4"/>
  <c r="G140" i="4"/>
  <c r="G99" i="4"/>
  <c r="G96" i="4"/>
  <c r="G111" i="4"/>
  <c r="G130" i="4"/>
  <c r="G136" i="4"/>
  <c r="G117" i="4"/>
  <c r="G123" i="4"/>
  <c r="G131" i="4"/>
  <c r="G144" i="4"/>
  <c r="G129" i="4"/>
  <c r="G88" i="4"/>
  <c r="G122" i="4"/>
  <c r="J169" i="9"/>
  <c r="H19" i="9" s="1"/>
  <c r="Y62" i="9"/>
  <c r="G12" i="9" s="1"/>
  <c r="P93" i="4"/>
  <c r="P91" i="4"/>
  <c r="P139" i="4"/>
  <c r="P6" i="4"/>
  <c r="P134" i="4"/>
  <c r="P112" i="4"/>
  <c r="P89" i="4"/>
  <c r="P133" i="4"/>
  <c r="P9" i="4"/>
  <c r="P145" i="4"/>
  <c r="P95" i="4"/>
  <c r="P132" i="4"/>
  <c r="P123" i="4"/>
  <c r="P8" i="4"/>
  <c r="P130" i="4"/>
  <c r="P114" i="4"/>
  <c r="P104" i="4"/>
  <c r="P106" i="4"/>
  <c r="P115" i="4"/>
  <c r="P117" i="4"/>
  <c r="P144" i="4"/>
  <c r="P128" i="4"/>
  <c r="P100" i="4"/>
  <c r="P105" i="4"/>
  <c r="P94" i="4"/>
  <c r="P121" i="4"/>
  <c r="P142" i="4"/>
  <c r="P126" i="4"/>
  <c r="P135" i="4"/>
  <c r="P96" i="4"/>
  <c r="P98" i="4"/>
  <c r="P92" i="4"/>
  <c r="P109" i="4"/>
  <c r="P140" i="4"/>
  <c r="P124" i="4"/>
  <c r="P127" i="4"/>
  <c r="P107" i="4"/>
  <c r="P103" i="4"/>
  <c r="P10" i="4"/>
  <c r="P138" i="4"/>
  <c r="P122" i="4"/>
  <c r="P99" i="4"/>
  <c r="P90" i="4"/>
  <c r="P101" i="4"/>
  <c r="B41" i="1"/>
  <c r="D118" i="1" s="1" a="1"/>
  <c r="D118" i="1" s="1"/>
  <c r="E118" i="1" s="1"/>
  <c r="P56" i="4" l="1"/>
  <c r="P29" i="4"/>
  <c r="P27" i="4"/>
  <c r="P38" i="4"/>
  <c r="P7" i="4"/>
  <c r="P137" i="4"/>
  <c r="P70" i="4"/>
  <c r="P17" i="4"/>
  <c r="P60" i="4"/>
  <c r="P19" i="4"/>
  <c r="P22" i="4"/>
  <c r="P119" i="4"/>
  <c r="P97" i="4"/>
  <c r="P146" i="4"/>
  <c r="P108" i="4"/>
  <c r="P32" i="4"/>
  <c r="P79" i="4"/>
  <c r="P68" i="4"/>
  <c r="P83" i="4"/>
  <c r="P12" i="4"/>
  <c r="P116" i="4"/>
  <c r="P76" i="4"/>
  <c r="P21" i="4"/>
  <c r="P28" i="4"/>
  <c r="P53" i="4"/>
  <c r="P64" i="4"/>
  <c r="P13" i="4"/>
  <c r="P58" i="4"/>
  <c r="P51" i="4"/>
  <c r="P20" i="4"/>
  <c r="P63" i="4"/>
  <c r="P84" i="4"/>
  <c r="P62" i="4"/>
  <c r="P47" i="4"/>
  <c r="P57" i="4"/>
  <c r="P50" i="4"/>
  <c r="P16" i="4"/>
  <c r="P110" i="4"/>
  <c r="P143" i="4"/>
  <c r="P111" i="4"/>
  <c r="P61" i="4"/>
  <c r="P131" i="4"/>
  <c r="P33" i="4"/>
  <c r="P66" i="4"/>
  <c r="P31" i="4"/>
  <c r="P26" i="4"/>
  <c r="P23" i="4"/>
  <c r="P80" i="4"/>
  <c r="P59" i="4"/>
  <c r="P25" i="4"/>
  <c r="P69" i="4"/>
  <c r="P49" i="4"/>
  <c r="P120" i="4"/>
  <c r="P43" i="4"/>
  <c r="P39" i="4"/>
  <c r="P30" i="4"/>
  <c r="P40" i="4"/>
  <c r="P81" i="4"/>
  <c r="P71" i="4"/>
  <c r="P82" i="4"/>
  <c r="P44" i="4"/>
  <c r="P88" i="4"/>
  <c r="P102" i="4"/>
  <c r="P73" i="4"/>
  <c r="P125" i="4"/>
  <c r="P85" i="4"/>
  <c r="P15" i="4"/>
  <c r="P136" i="4"/>
  <c r="P42" i="4"/>
  <c r="P86" i="4"/>
  <c r="P14" i="4"/>
  <c r="P35" i="4"/>
  <c r="P54" i="4"/>
  <c r="P11" i="4"/>
  <c r="G14" i="9"/>
  <c r="G14" i="10"/>
  <c r="P141" i="4"/>
  <c r="P118" i="4"/>
  <c r="P129" i="4"/>
  <c r="P113" i="4"/>
  <c r="B31" i="8"/>
  <c r="D117" i="1" a="1"/>
  <c r="D117" i="1" s="1"/>
  <c r="E117" i="1" s="1"/>
  <c r="P78" i="4" l="1"/>
  <c r="P55" i="4"/>
  <c r="P77" i="4"/>
  <c r="P34" i="4"/>
  <c r="P74" i="4"/>
  <c r="P52" i="4"/>
  <c r="P18" i="4"/>
  <c r="P24" i="4"/>
  <c r="P36" i="4"/>
  <c r="P41" i="4"/>
  <c r="P37" i="4"/>
  <c r="P65" i="4"/>
  <c r="P48" i="4"/>
  <c r="P67" i="4"/>
  <c r="P45" i="4"/>
  <c r="P72" i="4"/>
  <c r="P75" i="4"/>
  <c r="C128" i="1"/>
  <c r="E128" i="1" s="1"/>
  <c r="G184" i="9" l="1"/>
  <c r="G198" i="9"/>
  <c r="G177" i="9"/>
  <c r="G191" i="9"/>
  <c r="H184" i="9" l="1"/>
  <c r="H198" i="9"/>
  <c r="H177" i="9"/>
  <c r="H191" i="9"/>
  <c r="F191" i="9" l="1"/>
  <c r="F184" i="9"/>
  <c r="F198" i="9"/>
  <c r="F177" i="9"/>
  <c r="B15" i="1"/>
  <c r="B17" i="1"/>
  <c r="B43" i="3" s="1"/>
  <c r="B14" i="1"/>
  <c r="B16" i="1"/>
  <c r="C27" i="1" s="1"/>
  <c r="B27" i="1" l="1" a="1"/>
  <c r="B27" i="1" s="1"/>
  <c r="B27" i="8" s="1"/>
  <c r="B29" i="8" s="1"/>
  <c r="D27" i="1" a="1"/>
  <c r="D27" i="1" s="1"/>
  <c r="B31" i="1"/>
  <c r="B28" i="1"/>
  <c r="E64" i="10" s="1"/>
  <c r="B65" i="3"/>
  <c r="B32" i="8"/>
  <c r="B33" i="8" s="1"/>
  <c r="B87" i="3"/>
  <c r="D17" i="1"/>
  <c r="E65" i="10" l="1"/>
  <c r="B30" i="1"/>
  <c r="B32" i="1" s="1"/>
  <c r="G19" i="8"/>
  <c r="G127" i="3" l="1"/>
  <c r="B9" i="3" l="1"/>
  <c r="B44" i="3"/>
  <c r="B66" i="3"/>
  <c r="B106" i="3"/>
  <c r="B30" i="3"/>
  <c r="B88" i="3"/>
  <c r="B13" i="8"/>
  <c r="B11" i="8"/>
  <c r="H138" i="3" s="1"/>
  <c r="D115" i="3" l="1"/>
  <c r="C53" i="3"/>
  <c r="D53" i="3"/>
  <c r="C17" i="3"/>
  <c r="D17" i="3"/>
  <c r="D75" i="3"/>
  <c r="E75" i="3" s="1"/>
  <c r="G75" i="3" s="1"/>
  <c r="D38" i="3"/>
  <c r="C38" i="3"/>
  <c r="B95" i="3"/>
  <c r="D95" i="3" s="1"/>
  <c r="B12" i="8"/>
  <c r="B14" i="8"/>
  <c r="E53" i="3" l="1"/>
  <c r="G53" i="3" s="1"/>
  <c r="E17" i="3"/>
  <c r="G17" i="3" s="1"/>
  <c r="C101" i="3"/>
  <c r="B101" i="3"/>
  <c r="B51" i="3"/>
  <c r="D51" i="3" s="1"/>
  <c r="E51" i="3" s="1"/>
  <c r="G51" i="3" s="1"/>
  <c r="B16" i="3"/>
  <c r="D16" i="3" s="1"/>
  <c r="E16" i="3" s="1"/>
  <c r="G16" i="3" s="1"/>
  <c r="B73" i="3"/>
  <c r="D73" i="3" s="1"/>
  <c r="E73" i="3" s="1"/>
  <c r="G73" i="3" s="1"/>
  <c r="B15" i="3"/>
  <c r="D15" i="3" s="1"/>
  <c r="E15" i="3" s="1"/>
  <c r="G15" i="3" s="1"/>
  <c r="B52" i="3"/>
  <c r="D52" i="3" s="1"/>
  <c r="E52" i="3" s="1"/>
  <c r="G52" i="3" s="1"/>
  <c r="B74" i="3"/>
  <c r="D74" i="3" s="1"/>
  <c r="E74" i="3" s="1"/>
  <c r="G74" i="3" s="1"/>
  <c r="E38" i="3"/>
  <c r="G38" i="3" s="1"/>
  <c r="G39" i="3" s="1"/>
  <c r="G29" i="3" s="1"/>
  <c r="G76" i="3" l="1"/>
  <c r="G65" i="3" s="1"/>
  <c r="C57" i="1" s="1"/>
  <c r="D57" i="1" s="1"/>
  <c r="D101" i="3"/>
  <c r="C95" i="3" s="1"/>
  <c r="E95" i="3" s="1"/>
  <c r="G95" i="3" s="1"/>
  <c r="G97" i="3" s="1"/>
  <c r="G87" i="3" s="1"/>
  <c r="C58" i="1" s="1"/>
  <c r="D58" i="1" s="1"/>
  <c r="G18" i="3"/>
  <c r="G8" i="3" s="1"/>
  <c r="G76" i="16"/>
  <c r="H76" i="16" s="1"/>
  <c r="G54" i="3"/>
  <c r="G43" i="3" s="1"/>
  <c r="G77" i="16"/>
  <c r="H77" i="16" s="1"/>
  <c r="C55" i="1"/>
  <c r="D55" i="1" s="1"/>
  <c r="C56" i="1" l="1"/>
  <c r="D56" i="1" s="1"/>
  <c r="G78" i="16"/>
  <c r="H78" i="16" s="1"/>
  <c r="D54" i="1"/>
  <c r="G88" i="3" l="1"/>
  <c r="B131" i="1" s="1"/>
  <c r="B37" i="1"/>
  <c r="B34" i="8"/>
  <c r="B28" i="8"/>
  <c r="G66" i="3" l="1"/>
  <c r="B130" i="1" s="1"/>
  <c r="G9" i="3"/>
  <c r="C127" i="1" s="1"/>
  <c r="E127" i="1" s="1"/>
  <c r="C131" i="1"/>
  <c r="E131" i="1" s="1"/>
  <c r="G44" i="3"/>
  <c r="B129" i="1" s="1"/>
  <c r="C4" i="3"/>
  <c r="I127" i="3"/>
  <c r="B117" i="3" s="1"/>
  <c r="D117" i="3" s="1"/>
  <c r="B116" i="3"/>
  <c r="D116" i="3" s="1"/>
  <c r="E116" i="3" s="1"/>
  <c r="G116" i="3" s="1"/>
  <c r="D37" i="1"/>
  <c r="B46" i="16"/>
  <c r="B47" i="16" s="1"/>
  <c r="F46" i="16"/>
  <c r="F49" i="16" s="1"/>
  <c r="B40" i="1"/>
  <c r="B19" i="8"/>
  <c r="C129" i="1" l="1"/>
  <c r="E129" i="1" s="1"/>
  <c r="C130" i="1"/>
  <c r="E130" i="1" s="1"/>
  <c r="B127" i="1"/>
  <c r="J9" i="3"/>
  <c r="F47" i="16"/>
  <c r="F50" i="16" s="1"/>
  <c r="B49" i="16"/>
  <c r="E54" i="1"/>
  <c r="E57" i="1" a="1"/>
  <c r="E57" i="1" s="1"/>
  <c r="B4" i="3"/>
  <c r="E56" i="1" a="1"/>
  <c r="E56" i="1" s="1"/>
  <c r="E58" i="1" a="1"/>
  <c r="E58" i="1" s="1"/>
  <c r="D141" i="1" s="1"/>
  <c r="E141" i="1" s="1"/>
  <c r="I77" i="16" a="1"/>
  <c r="I77" i="16" s="1"/>
  <c r="E55" i="1" a="1"/>
  <c r="E55" i="1" s="1"/>
  <c r="I76" i="16"/>
  <c r="B78" i="16" s="1"/>
  <c r="I78" i="16" a="1"/>
  <c r="I78" i="16" s="1"/>
  <c r="D4" i="3"/>
  <c r="B22" i="8"/>
  <c r="B20" i="8"/>
  <c r="B23" i="8"/>
  <c r="B21" i="8"/>
  <c r="E20" i="8" s="1"/>
  <c r="E21" i="8" s="1"/>
  <c r="B18" i="8"/>
  <c r="B48" i="16"/>
  <c r="B50" i="16"/>
  <c r="F48" i="16" l="1"/>
  <c r="B80" i="16"/>
  <c r="D142" i="1"/>
  <c r="E142" i="1" s="1"/>
  <c r="H175" i="9" s="1"/>
  <c r="D102" i="8"/>
  <c r="C102" i="8"/>
  <c r="G175" i="9"/>
  <c r="G200" i="9"/>
  <c r="G195" i="9"/>
  <c r="G190" i="9"/>
  <c r="G180" i="9"/>
  <c r="G205" i="9"/>
  <c r="G185" i="9"/>
  <c r="H180" i="9" l="1"/>
  <c r="H190" i="9"/>
  <c r="H195" i="9"/>
  <c r="H200" i="9"/>
  <c r="H185" i="9"/>
  <c r="H205" i="9"/>
  <c r="G210" i="9"/>
  <c r="H210" i="9" l="1"/>
  <c r="E117" i="3" l="1"/>
  <c r="G117" i="3" s="1"/>
  <c r="D130" i="3"/>
  <c r="E115" i="3"/>
  <c r="G115" i="3" s="1"/>
  <c r="G118" i="3" l="1"/>
  <c r="G105" i="3" s="1"/>
  <c r="C59" i="1" s="1"/>
  <c r="G3" i="3"/>
  <c r="F130" i="3"/>
  <c r="E130" i="3"/>
  <c r="H130" i="3" s="1"/>
  <c r="G106" i="3" s="1"/>
  <c r="B132" i="1" l="1"/>
  <c r="B134" i="1" s="1"/>
  <c r="F37" i="10" s="1"/>
  <c r="F162" i="16" s="1"/>
  <c r="G4" i="3"/>
  <c r="C132" i="1"/>
  <c r="D59" i="1"/>
  <c r="C61" i="1"/>
  <c r="D61" i="1" l="1"/>
  <c r="E59" i="1" a="1"/>
  <c r="E59" i="1" s="1"/>
  <c r="C134" i="1"/>
  <c r="E132" i="1"/>
  <c r="E134" i="1" s="1"/>
  <c r="F32" i="10"/>
  <c r="F33" i="10"/>
  <c r="F158" i="16" s="1"/>
  <c r="F36" i="10"/>
  <c r="F161" i="16" s="1"/>
  <c r="F35" i="10"/>
  <c r="F160" i="16" s="1"/>
  <c r="F34" i="10"/>
  <c r="F159" i="16" s="1"/>
  <c r="F39" i="10" l="1"/>
  <c r="F164" i="16" s="1"/>
  <c r="F157" i="16"/>
  <c r="N38" i="9"/>
  <c r="N23" i="9"/>
  <c r="N56" i="9"/>
  <c r="N30" i="9"/>
  <c r="N46" i="9"/>
  <c r="N33" i="9"/>
  <c r="N54" i="9"/>
  <c r="N43" i="9"/>
  <c r="N31" i="9"/>
  <c r="N20" i="9"/>
  <c r="N41" i="9"/>
  <c r="N25" i="9"/>
  <c r="N37" i="9"/>
  <c r="N45" i="9"/>
  <c r="N34" i="9"/>
  <c r="N24" i="9"/>
  <c r="N32" i="9"/>
  <c r="N42" i="9"/>
  <c r="N29" i="9"/>
  <c r="N36" i="9"/>
  <c r="N52" i="9"/>
  <c r="N58" i="9"/>
  <c r="N50" i="9"/>
  <c r="N26" i="9"/>
  <c r="N44" i="9"/>
  <c r="N48" i="9"/>
  <c r="N21" i="9"/>
  <c r="N51" i="9"/>
  <c r="N27" i="9"/>
  <c r="N40" i="9"/>
  <c r="N39" i="9"/>
  <c r="N49" i="9"/>
  <c r="N53" i="9"/>
  <c r="N35" i="9"/>
  <c r="N59" i="9"/>
  <c r="N57" i="9"/>
  <c r="N47" i="9"/>
  <c r="N22" i="9"/>
  <c r="N55" i="9"/>
  <c r="N28" i="9"/>
  <c r="E61" i="1"/>
  <c r="D143" i="1"/>
  <c r="E143" i="1" s="1"/>
  <c r="I180" i="9" l="1"/>
  <c r="I190" i="9"/>
  <c r="I200" i="9"/>
  <c r="N61" i="9"/>
  <c r="N62" i="9"/>
  <c r="C102" i="1"/>
  <c r="B63" i="1"/>
  <c r="D111" i="1" s="1"/>
  <c r="E111" i="1" s="1"/>
  <c r="J19" i="9" s="1"/>
  <c r="J62" i="9" l="1"/>
  <c r="J61" i="9"/>
  <c r="C106" i="1"/>
  <c r="E106" i="1" s="1"/>
  <c r="E102" i="1"/>
  <c r="C104" i="1"/>
  <c r="E104" i="1" s="1"/>
  <c r="C105" i="1"/>
  <c r="E105" i="1" s="1"/>
  <c r="C107" i="1"/>
  <c r="E107" i="1" s="1"/>
  <c r="I210" i="9"/>
  <c r="E36" i="10" l="1"/>
  <c r="E161" i="16" s="1"/>
  <c r="E108" i="1"/>
  <c r="D140" i="1" s="1"/>
  <c r="E37" i="10"/>
  <c r="E162" i="16" s="1"/>
  <c r="D139" i="1"/>
  <c r="E139" i="1" s="1"/>
  <c r="E32" i="10"/>
  <c r="E120" i="1"/>
  <c r="E34" i="10"/>
  <c r="E159" i="16" s="1"/>
  <c r="E33" i="10"/>
  <c r="E158" i="16" s="1"/>
  <c r="E35" i="10"/>
  <c r="E160" i="16" s="1"/>
  <c r="E157" i="16" l="1"/>
  <c r="E39" i="10"/>
  <c r="E164" i="16" s="1"/>
  <c r="E189" i="9"/>
  <c r="J189" i="9" s="1"/>
  <c r="H39" i="9" s="1"/>
  <c r="B93" i="9" s="1"/>
  <c r="E171" i="9"/>
  <c r="J171" i="9" s="1"/>
  <c r="H21" i="9" s="1"/>
  <c r="B75" i="9" s="1"/>
  <c r="E179" i="9"/>
  <c r="J179" i="9" s="1"/>
  <c r="H29" i="9" s="1"/>
  <c r="B83" i="9" s="1"/>
  <c r="E182" i="9"/>
  <c r="J182" i="9" s="1"/>
  <c r="H32" i="9" s="1"/>
  <c r="B86" i="9" s="1"/>
  <c r="E194" i="9"/>
  <c r="J194" i="9" s="1"/>
  <c r="H44" i="9" s="1"/>
  <c r="B98" i="9" s="1"/>
  <c r="E201" i="9"/>
  <c r="J201" i="9" s="1"/>
  <c r="H51" i="9" s="1"/>
  <c r="B105" i="9" s="1"/>
  <c r="E188" i="9"/>
  <c r="J188" i="9" s="1"/>
  <c r="H38" i="9" s="1"/>
  <c r="B92" i="9" s="1"/>
  <c r="E175" i="9"/>
  <c r="E205" i="9"/>
  <c r="E172" i="9"/>
  <c r="J172" i="9" s="1"/>
  <c r="H22" i="9" s="1"/>
  <c r="B76" i="9" s="1"/>
  <c r="E196" i="9"/>
  <c r="J196" i="9" s="1"/>
  <c r="H46" i="9" s="1"/>
  <c r="B100" i="9" s="1"/>
  <c r="E187" i="9"/>
  <c r="J187" i="9" s="1"/>
  <c r="H37" i="9" s="1"/>
  <c r="B91" i="9" s="1"/>
  <c r="E208" i="9"/>
  <c r="J208" i="9" s="1"/>
  <c r="H58" i="9" s="1"/>
  <c r="B112" i="9" s="1"/>
  <c r="E183" i="9"/>
  <c r="J183" i="9" s="1"/>
  <c r="H33" i="9" s="1"/>
  <c r="B87" i="9" s="1"/>
  <c r="E195" i="9"/>
  <c r="E190" i="9"/>
  <c r="E170" i="9"/>
  <c r="E199" i="9"/>
  <c r="J199" i="9" s="1"/>
  <c r="H49" i="9" s="1"/>
  <c r="B103" i="9" s="1"/>
  <c r="E178" i="9"/>
  <c r="J178" i="9" s="1"/>
  <c r="H28" i="9" s="1"/>
  <c r="B82" i="9" s="1"/>
  <c r="E206" i="9"/>
  <c r="J206" i="9" s="1"/>
  <c r="H56" i="9" s="1"/>
  <c r="B110" i="9" s="1"/>
  <c r="E193" i="9"/>
  <c r="J193" i="9" s="1"/>
  <c r="H43" i="9" s="1"/>
  <c r="B97" i="9" s="1"/>
  <c r="E184" i="9"/>
  <c r="J184" i="9" s="1"/>
  <c r="H34" i="9" s="1"/>
  <c r="B88" i="9" s="1"/>
  <c r="E202" i="9"/>
  <c r="J202" i="9" s="1"/>
  <c r="H52" i="9" s="1"/>
  <c r="B106" i="9" s="1"/>
  <c r="E192" i="9"/>
  <c r="J192" i="9" s="1"/>
  <c r="H42" i="9" s="1"/>
  <c r="B96" i="9" s="1"/>
  <c r="E203" i="9"/>
  <c r="J203" i="9" s="1"/>
  <c r="H53" i="9" s="1"/>
  <c r="B107" i="9" s="1"/>
  <c r="E185" i="9"/>
  <c r="E177" i="9"/>
  <c r="J177" i="9" s="1"/>
  <c r="H27" i="9" s="1"/>
  <c r="B81" i="9" s="1"/>
  <c r="E186" i="9"/>
  <c r="J186" i="9" s="1"/>
  <c r="H36" i="9" s="1"/>
  <c r="B90" i="9" s="1"/>
  <c r="E197" i="9"/>
  <c r="J197" i="9" s="1"/>
  <c r="H47" i="9" s="1"/>
  <c r="B101" i="9" s="1"/>
  <c r="E207" i="9"/>
  <c r="J207" i="9" s="1"/>
  <c r="H57" i="9" s="1"/>
  <c r="B111" i="9" s="1"/>
  <c r="E176" i="9"/>
  <c r="J176" i="9" s="1"/>
  <c r="H26" i="9" s="1"/>
  <c r="B80" i="9" s="1"/>
  <c r="E180" i="9"/>
  <c r="E181" i="9"/>
  <c r="J181" i="9" s="1"/>
  <c r="H31" i="9" s="1"/>
  <c r="B85" i="9" s="1"/>
  <c r="E173" i="9"/>
  <c r="J173" i="9" s="1"/>
  <c r="H23" i="9" s="1"/>
  <c r="B77" i="9" s="1"/>
  <c r="E191" i="9"/>
  <c r="J191" i="9" s="1"/>
  <c r="H41" i="9" s="1"/>
  <c r="B95" i="9" s="1"/>
  <c r="E209" i="9"/>
  <c r="J209" i="9" s="1"/>
  <c r="H59" i="9" s="1"/>
  <c r="B113" i="9" s="1"/>
  <c r="E174" i="9"/>
  <c r="J174" i="9" s="1"/>
  <c r="H24" i="9" s="1"/>
  <c r="B78" i="9" s="1"/>
  <c r="E198" i="9"/>
  <c r="J198" i="9" s="1"/>
  <c r="H48" i="9" s="1"/>
  <c r="B102" i="9" s="1"/>
  <c r="E200" i="9"/>
  <c r="E204" i="9"/>
  <c r="J204" i="9" s="1"/>
  <c r="H54" i="9" s="1"/>
  <c r="B108" i="9" s="1"/>
  <c r="L59" i="9" a="1"/>
  <c r="L59" i="9" s="1"/>
  <c r="E140" i="1"/>
  <c r="E112" i="1"/>
  <c r="G19" i="9"/>
  <c r="F19" i="9"/>
  <c r="U102" i="9" l="1"/>
  <c r="D102" i="9"/>
  <c r="M102" i="9"/>
  <c r="Q102" i="9"/>
  <c r="C102" i="9"/>
  <c r="P102" i="9"/>
  <c r="G102" i="9"/>
  <c r="K102" i="9"/>
  <c r="I102" i="9"/>
  <c r="V102" i="9"/>
  <c r="E102" i="9"/>
  <c r="W102" i="9"/>
  <c r="O102" i="9"/>
  <c r="N102" i="9"/>
  <c r="S102" i="9"/>
  <c r="H102" i="9"/>
  <c r="J102" i="9"/>
  <c r="R102" i="9"/>
  <c r="T102" i="9"/>
  <c r="L102" i="9"/>
  <c r="F102" i="9"/>
  <c r="L111" i="9"/>
  <c r="I111" i="9"/>
  <c r="R111" i="9"/>
  <c r="E111" i="9"/>
  <c r="S111" i="9"/>
  <c r="Q111" i="9"/>
  <c r="T111" i="9"/>
  <c r="M111" i="9"/>
  <c r="G111" i="9"/>
  <c r="W111" i="9"/>
  <c r="J111" i="9"/>
  <c r="P111" i="9"/>
  <c r="C111" i="9"/>
  <c r="U111" i="9"/>
  <c r="D111" i="9"/>
  <c r="K111" i="9"/>
  <c r="N111" i="9"/>
  <c r="O111" i="9"/>
  <c r="F111" i="9"/>
  <c r="V111" i="9"/>
  <c r="H111" i="9"/>
  <c r="I88" i="9"/>
  <c r="G88" i="9"/>
  <c r="J88" i="9"/>
  <c r="E88" i="9"/>
  <c r="K88" i="9"/>
  <c r="C88" i="9"/>
  <c r="N88" i="9"/>
  <c r="M88" i="9"/>
  <c r="W88" i="9"/>
  <c r="Q88" i="9"/>
  <c r="D88" i="9"/>
  <c r="U88" i="9"/>
  <c r="S88" i="9"/>
  <c r="O88" i="9"/>
  <c r="L88" i="9"/>
  <c r="T88" i="9"/>
  <c r="V88" i="9"/>
  <c r="P88" i="9"/>
  <c r="F88" i="9"/>
  <c r="H88" i="9"/>
  <c r="R88" i="9"/>
  <c r="O87" i="9"/>
  <c r="D87" i="9"/>
  <c r="I87" i="9"/>
  <c r="C87" i="9"/>
  <c r="S87" i="9"/>
  <c r="T87" i="9"/>
  <c r="P87" i="9"/>
  <c r="N87" i="9"/>
  <c r="M87" i="9"/>
  <c r="K87" i="9"/>
  <c r="L87" i="9"/>
  <c r="W87" i="9"/>
  <c r="E87" i="9"/>
  <c r="F87" i="9"/>
  <c r="G87" i="9"/>
  <c r="H87" i="9"/>
  <c r="Q87" i="9"/>
  <c r="R87" i="9"/>
  <c r="V87" i="9"/>
  <c r="U87" i="9"/>
  <c r="J87" i="9"/>
  <c r="G105" i="9"/>
  <c r="O105" i="9"/>
  <c r="J105" i="9"/>
  <c r="M105" i="9"/>
  <c r="L105" i="9"/>
  <c r="T105" i="9"/>
  <c r="U105" i="9"/>
  <c r="S105" i="9"/>
  <c r="N105" i="9"/>
  <c r="F105" i="9"/>
  <c r="D105" i="9"/>
  <c r="K105" i="9"/>
  <c r="Q105" i="9"/>
  <c r="E105" i="9"/>
  <c r="I105" i="9"/>
  <c r="W105" i="9"/>
  <c r="C105" i="9"/>
  <c r="P105" i="9"/>
  <c r="V105" i="9"/>
  <c r="R105" i="9"/>
  <c r="H105" i="9"/>
  <c r="O38" i="9"/>
  <c r="O53" i="9"/>
  <c r="O55" i="9"/>
  <c r="O30" i="9"/>
  <c r="O48" i="9"/>
  <c r="O35" i="9"/>
  <c r="O39" i="9"/>
  <c r="O45" i="9"/>
  <c r="O58" i="9"/>
  <c r="O24" i="9"/>
  <c r="F61" i="9"/>
  <c r="O49" i="9"/>
  <c r="O28" i="9"/>
  <c r="O59" i="9"/>
  <c r="O36" i="9"/>
  <c r="O51" i="9"/>
  <c r="O41" i="9"/>
  <c r="O20" i="9"/>
  <c r="O43" i="9"/>
  <c r="O37" i="9"/>
  <c r="O56" i="9"/>
  <c r="O42" i="9"/>
  <c r="O21" i="9"/>
  <c r="F62" i="9"/>
  <c r="O32" i="9"/>
  <c r="O19" i="9"/>
  <c r="O50" i="9"/>
  <c r="O23" i="9"/>
  <c r="O25" i="9"/>
  <c r="O26" i="9"/>
  <c r="T59" i="9"/>
  <c r="O54" i="9"/>
  <c r="O31" i="9"/>
  <c r="O29" i="9"/>
  <c r="O46" i="9"/>
  <c r="O22" i="9"/>
  <c r="O44" i="9"/>
  <c r="O52" i="9"/>
  <c r="O57" i="9"/>
  <c r="O33" i="9"/>
  <c r="O40" i="9"/>
  <c r="O34" i="9"/>
  <c r="O47" i="9"/>
  <c r="O27" i="9"/>
  <c r="B68" i="9"/>
  <c r="C78" i="9"/>
  <c r="G78" i="9"/>
  <c r="W78" i="9"/>
  <c r="P78" i="9"/>
  <c r="J78" i="9"/>
  <c r="R78" i="9"/>
  <c r="D78" i="9"/>
  <c r="E78" i="9"/>
  <c r="F78" i="9"/>
  <c r="H78" i="9"/>
  <c r="T78" i="9"/>
  <c r="Q78" i="9"/>
  <c r="K78" i="9"/>
  <c r="O78" i="9"/>
  <c r="I78" i="9"/>
  <c r="S78" i="9"/>
  <c r="U78" i="9"/>
  <c r="V78" i="9"/>
  <c r="M78" i="9"/>
  <c r="L78" i="9"/>
  <c r="N78" i="9"/>
  <c r="Q101" i="9"/>
  <c r="P101" i="9"/>
  <c r="H101" i="9"/>
  <c r="R101" i="9"/>
  <c r="W101" i="9"/>
  <c r="D101" i="9"/>
  <c r="I101" i="9"/>
  <c r="J101" i="9"/>
  <c r="E101" i="9"/>
  <c r="C101" i="9"/>
  <c r="N101" i="9"/>
  <c r="F101" i="9"/>
  <c r="T101" i="9"/>
  <c r="O101" i="9"/>
  <c r="V101" i="9"/>
  <c r="G101" i="9"/>
  <c r="M101" i="9"/>
  <c r="S101" i="9"/>
  <c r="K101" i="9"/>
  <c r="U101" i="9"/>
  <c r="L101" i="9"/>
  <c r="T97" i="9"/>
  <c r="U97" i="9"/>
  <c r="O97" i="9"/>
  <c r="F97" i="9"/>
  <c r="M97" i="9"/>
  <c r="C97" i="9"/>
  <c r="N97" i="9"/>
  <c r="S97" i="9"/>
  <c r="P97" i="9"/>
  <c r="G97" i="9"/>
  <c r="I97" i="9"/>
  <c r="W97" i="9"/>
  <c r="E97" i="9"/>
  <c r="K97" i="9"/>
  <c r="J97" i="9"/>
  <c r="H97" i="9"/>
  <c r="L97" i="9"/>
  <c r="R97" i="9"/>
  <c r="V97" i="9"/>
  <c r="D97" i="9"/>
  <c r="Q97" i="9"/>
  <c r="T112" i="9"/>
  <c r="D112" i="9"/>
  <c r="U112" i="9"/>
  <c r="W112" i="9"/>
  <c r="J112" i="9"/>
  <c r="G112" i="9"/>
  <c r="Q112" i="9"/>
  <c r="K112" i="9"/>
  <c r="E112" i="9"/>
  <c r="N112" i="9"/>
  <c r="H112" i="9"/>
  <c r="S112" i="9"/>
  <c r="V112" i="9"/>
  <c r="I112" i="9"/>
  <c r="P112" i="9"/>
  <c r="M112" i="9"/>
  <c r="O112" i="9"/>
  <c r="L112" i="9"/>
  <c r="R112" i="9"/>
  <c r="C112" i="9"/>
  <c r="F112" i="9"/>
  <c r="M98" i="9"/>
  <c r="P98" i="9"/>
  <c r="H98" i="9"/>
  <c r="G98" i="9"/>
  <c r="Q98" i="9"/>
  <c r="R98" i="9"/>
  <c r="D98" i="9"/>
  <c r="N98" i="9"/>
  <c r="E98" i="9"/>
  <c r="U98" i="9"/>
  <c r="F98" i="9"/>
  <c r="L98" i="9"/>
  <c r="V98" i="9"/>
  <c r="C98" i="9"/>
  <c r="W98" i="9"/>
  <c r="K98" i="9"/>
  <c r="O98" i="9"/>
  <c r="T98" i="9"/>
  <c r="J98" i="9"/>
  <c r="S98" i="9"/>
  <c r="I98" i="9"/>
  <c r="G61" i="9"/>
  <c r="G62" i="9"/>
  <c r="W113" i="9"/>
  <c r="O113" i="9"/>
  <c r="Q113" i="9"/>
  <c r="T113" i="9"/>
  <c r="V113" i="9"/>
  <c r="K113" i="9"/>
  <c r="D113" i="9"/>
  <c r="F113" i="9"/>
  <c r="S113" i="9"/>
  <c r="C113" i="9"/>
  <c r="L113" i="9"/>
  <c r="H113" i="9"/>
  <c r="G113" i="9"/>
  <c r="R113" i="9"/>
  <c r="J113" i="9"/>
  <c r="E113" i="9"/>
  <c r="I113" i="9"/>
  <c r="P113" i="9"/>
  <c r="M113" i="9"/>
  <c r="U113" i="9"/>
  <c r="N113" i="9"/>
  <c r="T90" i="9"/>
  <c r="U90" i="9"/>
  <c r="J90" i="9"/>
  <c r="G90" i="9"/>
  <c r="L90" i="9"/>
  <c r="E90" i="9"/>
  <c r="F90" i="9"/>
  <c r="W90" i="9"/>
  <c r="I90" i="9"/>
  <c r="S90" i="9"/>
  <c r="H90" i="9"/>
  <c r="C90" i="9"/>
  <c r="D90" i="9"/>
  <c r="N90" i="9"/>
  <c r="R90" i="9"/>
  <c r="M90" i="9"/>
  <c r="P90" i="9"/>
  <c r="V90" i="9"/>
  <c r="K90" i="9"/>
  <c r="O90" i="9"/>
  <c r="Q90" i="9"/>
  <c r="H110" i="9"/>
  <c r="W110" i="9"/>
  <c r="Q110" i="9"/>
  <c r="G110" i="9"/>
  <c r="E110" i="9"/>
  <c r="O110" i="9"/>
  <c r="K110" i="9"/>
  <c r="F110" i="9"/>
  <c r="S110" i="9"/>
  <c r="U110" i="9"/>
  <c r="M110" i="9"/>
  <c r="N110" i="9"/>
  <c r="I110" i="9"/>
  <c r="D110" i="9"/>
  <c r="L110" i="9"/>
  <c r="V110" i="9"/>
  <c r="J110" i="9"/>
  <c r="R110" i="9"/>
  <c r="P110" i="9"/>
  <c r="T110" i="9"/>
  <c r="C110" i="9"/>
  <c r="R91" i="9"/>
  <c r="T91" i="9"/>
  <c r="W91" i="9"/>
  <c r="G91" i="9"/>
  <c r="N91" i="9"/>
  <c r="M91" i="9"/>
  <c r="K91" i="9"/>
  <c r="O91" i="9"/>
  <c r="H91" i="9"/>
  <c r="Q91" i="9"/>
  <c r="V91" i="9"/>
  <c r="P91" i="9"/>
  <c r="F91" i="9"/>
  <c r="C91" i="9"/>
  <c r="L91" i="9"/>
  <c r="U91" i="9"/>
  <c r="S91" i="9"/>
  <c r="D91" i="9"/>
  <c r="E91" i="9"/>
  <c r="J91" i="9"/>
  <c r="I91" i="9"/>
  <c r="S86" i="9"/>
  <c r="D86" i="9"/>
  <c r="N86" i="9"/>
  <c r="H86" i="9"/>
  <c r="W86" i="9"/>
  <c r="J86" i="9"/>
  <c r="O86" i="9"/>
  <c r="L86" i="9"/>
  <c r="K86" i="9"/>
  <c r="E86" i="9"/>
  <c r="U86" i="9"/>
  <c r="G86" i="9"/>
  <c r="T86" i="9"/>
  <c r="I86" i="9"/>
  <c r="Q86" i="9"/>
  <c r="C86" i="9"/>
  <c r="M86" i="9"/>
  <c r="V86" i="9"/>
  <c r="F86" i="9"/>
  <c r="R86" i="9"/>
  <c r="P86" i="9"/>
  <c r="K59" i="9"/>
  <c r="E119" i="1"/>
  <c r="E121" i="1" s="1"/>
  <c r="O95" i="9"/>
  <c r="E95" i="9"/>
  <c r="L95" i="9"/>
  <c r="V95" i="9"/>
  <c r="K95" i="9"/>
  <c r="P95" i="9"/>
  <c r="S95" i="9"/>
  <c r="D95" i="9"/>
  <c r="N95" i="9"/>
  <c r="C95" i="9"/>
  <c r="Q95" i="9"/>
  <c r="M95" i="9"/>
  <c r="U95" i="9"/>
  <c r="W95" i="9"/>
  <c r="H95" i="9"/>
  <c r="G95" i="9"/>
  <c r="T95" i="9"/>
  <c r="I95" i="9"/>
  <c r="R95" i="9"/>
  <c r="J95" i="9"/>
  <c r="F95" i="9"/>
  <c r="N81" i="9"/>
  <c r="H81" i="9"/>
  <c r="V81" i="9"/>
  <c r="L81" i="9"/>
  <c r="C81" i="9"/>
  <c r="I81" i="9"/>
  <c r="R81" i="9"/>
  <c r="J81" i="9"/>
  <c r="O81" i="9"/>
  <c r="T81" i="9"/>
  <c r="G81" i="9"/>
  <c r="S81" i="9"/>
  <c r="W81" i="9"/>
  <c r="K81" i="9"/>
  <c r="F81" i="9"/>
  <c r="E81" i="9"/>
  <c r="D81" i="9"/>
  <c r="P81" i="9"/>
  <c r="U81" i="9"/>
  <c r="M81" i="9"/>
  <c r="Q81" i="9"/>
  <c r="C82" i="9"/>
  <c r="R82" i="9"/>
  <c r="L82" i="9"/>
  <c r="E82" i="9"/>
  <c r="I82" i="9"/>
  <c r="Q82" i="9"/>
  <c r="M82" i="9"/>
  <c r="N82" i="9"/>
  <c r="H82" i="9"/>
  <c r="D82" i="9"/>
  <c r="S82" i="9"/>
  <c r="V82" i="9"/>
  <c r="J82" i="9"/>
  <c r="P82" i="9"/>
  <c r="W82" i="9"/>
  <c r="U82" i="9"/>
  <c r="T82" i="9"/>
  <c r="K82" i="9"/>
  <c r="G82" i="9"/>
  <c r="F82" i="9"/>
  <c r="O82" i="9"/>
  <c r="Q100" i="9"/>
  <c r="R100" i="9"/>
  <c r="G100" i="9"/>
  <c r="N100" i="9"/>
  <c r="O100" i="9"/>
  <c r="T100" i="9"/>
  <c r="S100" i="9"/>
  <c r="F100" i="9"/>
  <c r="C100" i="9"/>
  <c r="W100" i="9"/>
  <c r="P100" i="9"/>
  <c r="V100" i="9"/>
  <c r="J100" i="9"/>
  <c r="E100" i="9"/>
  <c r="U100" i="9"/>
  <c r="M100" i="9"/>
  <c r="K100" i="9"/>
  <c r="I100" i="9"/>
  <c r="D100" i="9"/>
  <c r="H100" i="9"/>
  <c r="L100" i="9"/>
  <c r="R83" i="9"/>
  <c r="C83" i="9"/>
  <c r="D83" i="9"/>
  <c r="W83" i="9"/>
  <c r="T83" i="9"/>
  <c r="I83" i="9"/>
  <c r="V83" i="9"/>
  <c r="F83" i="9"/>
  <c r="N83" i="9"/>
  <c r="G83" i="9"/>
  <c r="J83" i="9"/>
  <c r="M83" i="9"/>
  <c r="L83" i="9"/>
  <c r="E83" i="9"/>
  <c r="U83" i="9"/>
  <c r="O83" i="9"/>
  <c r="K83" i="9"/>
  <c r="H83" i="9"/>
  <c r="P83" i="9"/>
  <c r="S83" i="9"/>
  <c r="Q83" i="9"/>
  <c r="F175" i="9"/>
  <c r="F205" i="9"/>
  <c r="J205" i="9" s="1"/>
  <c r="H55" i="9" s="1"/>
  <c r="B109" i="9" s="1"/>
  <c r="F200" i="9"/>
  <c r="J200" i="9" s="1"/>
  <c r="H50" i="9" s="1"/>
  <c r="B104" i="9" s="1"/>
  <c r="F185" i="9"/>
  <c r="J185" i="9" s="1"/>
  <c r="H35" i="9" s="1"/>
  <c r="B89" i="9" s="1"/>
  <c r="F190" i="9"/>
  <c r="J190" i="9" s="1"/>
  <c r="H40" i="9" s="1"/>
  <c r="B94" i="9" s="1"/>
  <c r="F195" i="9"/>
  <c r="J195" i="9" s="1"/>
  <c r="H45" i="9" s="1"/>
  <c r="B99" i="9" s="1"/>
  <c r="F180" i="9"/>
  <c r="J180" i="9" s="1"/>
  <c r="H30" i="9" s="1"/>
  <c r="B84" i="9" s="1"/>
  <c r="K77" i="9"/>
  <c r="P77" i="9"/>
  <c r="C77" i="9"/>
  <c r="T77" i="9"/>
  <c r="I77" i="9"/>
  <c r="O77" i="9"/>
  <c r="G77" i="9"/>
  <c r="W77" i="9"/>
  <c r="R77" i="9"/>
  <c r="U77" i="9"/>
  <c r="H77" i="9"/>
  <c r="S77" i="9"/>
  <c r="E77" i="9"/>
  <c r="J77" i="9"/>
  <c r="V77" i="9"/>
  <c r="F77" i="9"/>
  <c r="L77" i="9"/>
  <c r="Q77" i="9"/>
  <c r="D77" i="9"/>
  <c r="N77" i="9"/>
  <c r="M77" i="9"/>
  <c r="R103" i="9"/>
  <c r="P103" i="9"/>
  <c r="E103" i="9"/>
  <c r="S103" i="9"/>
  <c r="W103" i="9"/>
  <c r="Q103" i="9"/>
  <c r="C103" i="9"/>
  <c r="V103" i="9"/>
  <c r="G103" i="9"/>
  <c r="D103" i="9"/>
  <c r="J103" i="9"/>
  <c r="T103" i="9"/>
  <c r="O103" i="9"/>
  <c r="N103" i="9"/>
  <c r="L103" i="9"/>
  <c r="I103" i="9"/>
  <c r="F103" i="9"/>
  <c r="M103" i="9"/>
  <c r="K103" i="9"/>
  <c r="H103" i="9"/>
  <c r="U103" i="9"/>
  <c r="U76" i="9"/>
  <c r="E76" i="9"/>
  <c r="F76" i="9"/>
  <c r="T76" i="9"/>
  <c r="P76" i="9"/>
  <c r="S76" i="9"/>
  <c r="O76" i="9"/>
  <c r="L76" i="9"/>
  <c r="H76" i="9"/>
  <c r="I76" i="9"/>
  <c r="V76" i="9"/>
  <c r="K76" i="9"/>
  <c r="N76" i="9"/>
  <c r="D76" i="9"/>
  <c r="Q76" i="9"/>
  <c r="G76" i="9"/>
  <c r="M76" i="9"/>
  <c r="W76" i="9"/>
  <c r="J76" i="9"/>
  <c r="C76" i="9"/>
  <c r="R76" i="9"/>
  <c r="H75" i="9"/>
  <c r="N75" i="9"/>
  <c r="K75" i="9"/>
  <c r="L75" i="9"/>
  <c r="W75" i="9"/>
  <c r="F75" i="9"/>
  <c r="S75" i="9"/>
  <c r="Q75" i="9"/>
  <c r="T75" i="9"/>
  <c r="U75" i="9"/>
  <c r="J75" i="9"/>
  <c r="E75" i="9"/>
  <c r="R75" i="9"/>
  <c r="O75" i="9"/>
  <c r="G75" i="9"/>
  <c r="P75" i="9"/>
  <c r="V75" i="9"/>
  <c r="C75" i="9"/>
  <c r="D75" i="9"/>
  <c r="I75" i="9"/>
  <c r="M75" i="9"/>
  <c r="L61" i="9"/>
  <c r="L62" i="9"/>
  <c r="P85" i="9"/>
  <c r="G85" i="9"/>
  <c r="L85" i="9"/>
  <c r="V85" i="9"/>
  <c r="N85" i="9"/>
  <c r="Q85" i="9"/>
  <c r="S85" i="9"/>
  <c r="M85" i="9"/>
  <c r="J85" i="9"/>
  <c r="F85" i="9"/>
  <c r="O85" i="9"/>
  <c r="C85" i="9"/>
  <c r="U85" i="9"/>
  <c r="H85" i="9"/>
  <c r="T85" i="9"/>
  <c r="E85" i="9"/>
  <c r="K85" i="9"/>
  <c r="D85" i="9"/>
  <c r="W85" i="9"/>
  <c r="I85" i="9"/>
  <c r="R85" i="9"/>
  <c r="I107" i="9"/>
  <c r="P107" i="9"/>
  <c r="W107" i="9"/>
  <c r="C107" i="9"/>
  <c r="F107" i="9"/>
  <c r="G107" i="9"/>
  <c r="N107" i="9"/>
  <c r="D107" i="9"/>
  <c r="O107" i="9"/>
  <c r="M107" i="9"/>
  <c r="Q107" i="9"/>
  <c r="E107" i="9"/>
  <c r="J107" i="9"/>
  <c r="H107" i="9"/>
  <c r="S107" i="9"/>
  <c r="V107" i="9"/>
  <c r="T107" i="9"/>
  <c r="K107" i="9"/>
  <c r="R107" i="9"/>
  <c r="U107" i="9"/>
  <c r="L107" i="9"/>
  <c r="J170" i="9"/>
  <c r="E210" i="9"/>
  <c r="J93" i="9"/>
  <c r="R93" i="9"/>
  <c r="G93" i="9"/>
  <c r="F93" i="9"/>
  <c r="P93" i="9"/>
  <c r="N93" i="9"/>
  <c r="Q93" i="9"/>
  <c r="C93" i="9"/>
  <c r="H93" i="9"/>
  <c r="U93" i="9"/>
  <c r="V93" i="9"/>
  <c r="O93" i="9"/>
  <c r="E93" i="9"/>
  <c r="T93" i="9"/>
  <c r="M93" i="9"/>
  <c r="D93" i="9"/>
  <c r="W93" i="9"/>
  <c r="I93" i="9"/>
  <c r="K93" i="9"/>
  <c r="S93" i="9"/>
  <c r="L93" i="9"/>
  <c r="S108" i="9"/>
  <c r="N108" i="9"/>
  <c r="D108" i="9"/>
  <c r="C108" i="9"/>
  <c r="L108" i="9"/>
  <c r="E108" i="9"/>
  <c r="Q108" i="9"/>
  <c r="G108" i="9"/>
  <c r="U108" i="9"/>
  <c r="P108" i="9"/>
  <c r="W108" i="9"/>
  <c r="R108" i="9"/>
  <c r="O108" i="9"/>
  <c r="T108" i="9"/>
  <c r="V108" i="9"/>
  <c r="K108" i="9"/>
  <c r="J108" i="9"/>
  <c r="F108" i="9"/>
  <c r="M108" i="9"/>
  <c r="I108" i="9"/>
  <c r="H108" i="9"/>
  <c r="R96" i="9"/>
  <c r="G96" i="9"/>
  <c r="L96" i="9"/>
  <c r="E96" i="9"/>
  <c r="K96" i="9"/>
  <c r="U96" i="9"/>
  <c r="V96" i="9"/>
  <c r="N96" i="9"/>
  <c r="Q96" i="9"/>
  <c r="F96" i="9"/>
  <c r="C96" i="9"/>
  <c r="D96" i="9"/>
  <c r="O96" i="9"/>
  <c r="W96" i="9"/>
  <c r="J96" i="9"/>
  <c r="S96" i="9"/>
  <c r="T96" i="9"/>
  <c r="P96" i="9"/>
  <c r="M96" i="9"/>
  <c r="H96" i="9"/>
  <c r="I96" i="9"/>
  <c r="V80" i="9"/>
  <c r="R80" i="9"/>
  <c r="J80" i="9"/>
  <c r="Q80" i="9"/>
  <c r="E80" i="9"/>
  <c r="M80" i="9"/>
  <c r="D80" i="9"/>
  <c r="K80" i="9"/>
  <c r="U80" i="9"/>
  <c r="F80" i="9"/>
  <c r="N80" i="9"/>
  <c r="O80" i="9"/>
  <c r="T80" i="9"/>
  <c r="P80" i="9"/>
  <c r="G80" i="9"/>
  <c r="W80" i="9"/>
  <c r="S80" i="9"/>
  <c r="L80" i="9"/>
  <c r="H80" i="9"/>
  <c r="C80" i="9"/>
  <c r="I80" i="9"/>
  <c r="D106" i="9"/>
  <c r="H106" i="9"/>
  <c r="Q106" i="9"/>
  <c r="C106" i="9"/>
  <c r="G106" i="9"/>
  <c r="V106" i="9"/>
  <c r="L106" i="9"/>
  <c r="R106" i="9"/>
  <c r="S106" i="9"/>
  <c r="W106" i="9"/>
  <c r="J106" i="9"/>
  <c r="E106" i="9"/>
  <c r="N106" i="9"/>
  <c r="P106" i="9"/>
  <c r="I106" i="9"/>
  <c r="O106" i="9"/>
  <c r="U106" i="9"/>
  <c r="M106" i="9"/>
  <c r="T106" i="9"/>
  <c r="F106" i="9"/>
  <c r="K106" i="9"/>
  <c r="L92" i="9"/>
  <c r="V92" i="9"/>
  <c r="F92" i="9"/>
  <c r="K92" i="9"/>
  <c r="M92" i="9"/>
  <c r="J92" i="9"/>
  <c r="D92" i="9"/>
  <c r="H92" i="9"/>
  <c r="U92" i="9"/>
  <c r="C92" i="9"/>
  <c r="Q92" i="9"/>
  <c r="E92" i="9"/>
  <c r="I92" i="9"/>
  <c r="T92" i="9"/>
  <c r="N92" i="9"/>
  <c r="G92" i="9"/>
  <c r="P92" i="9"/>
  <c r="W92" i="9"/>
  <c r="R92" i="9"/>
  <c r="O92" i="9"/>
  <c r="S92" i="9"/>
  <c r="R104" i="9" l="1"/>
  <c r="L104" i="9"/>
  <c r="T104" i="9"/>
  <c r="U104" i="9"/>
  <c r="F104" i="9"/>
  <c r="Q104" i="9"/>
  <c r="V104" i="9"/>
  <c r="J104" i="9"/>
  <c r="K104" i="9"/>
  <c r="D104" i="9"/>
  <c r="W104" i="9"/>
  <c r="P104" i="9"/>
  <c r="S104" i="9"/>
  <c r="G104" i="9"/>
  <c r="O104" i="9"/>
  <c r="C104" i="9"/>
  <c r="M104" i="9"/>
  <c r="E104" i="9"/>
  <c r="H104" i="9"/>
  <c r="N104" i="9"/>
  <c r="I104" i="9"/>
  <c r="T62" i="9"/>
  <c r="D12" i="9" s="1"/>
  <c r="D14" i="9" s="1"/>
  <c r="T61" i="9"/>
  <c r="J109" i="9"/>
  <c r="V109" i="9"/>
  <c r="D109" i="9"/>
  <c r="R109" i="9"/>
  <c r="S109" i="9"/>
  <c r="C109" i="9"/>
  <c r="G109" i="9"/>
  <c r="H109" i="9"/>
  <c r="N109" i="9"/>
  <c r="W109" i="9"/>
  <c r="U109" i="9"/>
  <c r="P109" i="9"/>
  <c r="M109" i="9"/>
  <c r="I109" i="9"/>
  <c r="Q109" i="9"/>
  <c r="T109" i="9"/>
  <c r="O109" i="9"/>
  <c r="F109" i="9"/>
  <c r="E109" i="9"/>
  <c r="K109" i="9"/>
  <c r="L109" i="9"/>
  <c r="J175" i="9"/>
  <c r="H25" i="9" s="1"/>
  <c r="B79" i="9" s="1"/>
  <c r="F210" i="9"/>
  <c r="H20" i="9"/>
  <c r="J84" i="9"/>
  <c r="K84" i="9"/>
  <c r="M84" i="9"/>
  <c r="O84" i="9"/>
  <c r="N84" i="9"/>
  <c r="S84" i="9"/>
  <c r="Q84" i="9"/>
  <c r="C84" i="9"/>
  <c r="W84" i="9"/>
  <c r="U84" i="9"/>
  <c r="P84" i="9"/>
  <c r="F84" i="9"/>
  <c r="V84" i="9"/>
  <c r="E84" i="9"/>
  <c r="T84" i="9"/>
  <c r="G84" i="9"/>
  <c r="L84" i="9"/>
  <c r="H84" i="9"/>
  <c r="I84" i="9"/>
  <c r="R84" i="9"/>
  <c r="D84" i="9"/>
  <c r="M41" i="9"/>
  <c r="M40" i="9"/>
  <c r="M24" i="9"/>
  <c r="M29" i="9"/>
  <c r="M20" i="9"/>
  <c r="M31" i="9"/>
  <c r="M47" i="9"/>
  <c r="M25" i="9"/>
  <c r="M37" i="9"/>
  <c r="M50" i="9"/>
  <c r="M34" i="9"/>
  <c r="M38" i="9"/>
  <c r="M35" i="9"/>
  <c r="M48" i="9"/>
  <c r="M59" i="9"/>
  <c r="M52" i="9"/>
  <c r="M45" i="9"/>
  <c r="M42" i="9"/>
  <c r="M21" i="9"/>
  <c r="M27" i="9"/>
  <c r="M44" i="9"/>
  <c r="M56" i="9"/>
  <c r="M32" i="9"/>
  <c r="M53" i="9"/>
  <c r="I53" i="9" s="1"/>
  <c r="M51" i="9"/>
  <c r="M57" i="9"/>
  <c r="M39" i="9"/>
  <c r="M30" i="9"/>
  <c r="I30" i="9" s="1"/>
  <c r="M22" i="9"/>
  <c r="M28" i="9"/>
  <c r="M55" i="9"/>
  <c r="M58" i="9"/>
  <c r="M43" i="9"/>
  <c r="M46" i="9"/>
  <c r="M33" i="9"/>
  <c r="M54" i="9"/>
  <c r="M49" i="9"/>
  <c r="M36" i="9"/>
  <c r="M26" i="9"/>
  <c r="M23" i="9"/>
  <c r="M99" i="9"/>
  <c r="Q99" i="9"/>
  <c r="L99" i="9"/>
  <c r="D99" i="9"/>
  <c r="V99" i="9"/>
  <c r="O99" i="9"/>
  <c r="R99" i="9"/>
  <c r="C99" i="9"/>
  <c r="E99" i="9"/>
  <c r="I99" i="9"/>
  <c r="J99" i="9"/>
  <c r="T99" i="9"/>
  <c r="F99" i="9"/>
  <c r="S99" i="9"/>
  <c r="W99" i="9"/>
  <c r="G99" i="9"/>
  <c r="K99" i="9"/>
  <c r="N99" i="9"/>
  <c r="P99" i="9"/>
  <c r="H99" i="9"/>
  <c r="U99" i="9"/>
  <c r="K62" i="9"/>
  <c r="K61" i="9"/>
  <c r="O61" i="9"/>
  <c r="O62" i="9"/>
  <c r="P19" i="9"/>
  <c r="W19" i="9" s="1"/>
  <c r="O94" i="9"/>
  <c r="V94" i="9"/>
  <c r="K94" i="9"/>
  <c r="J94" i="9"/>
  <c r="G94" i="9"/>
  <c r="R94" i="9"/>
  <c r="E94" i="9"/>
  <c r="C94" i="9"/>
  <c r="L94" i="9"/>
  <c r="F94" i="9"/>
  <c r="M94" i="9"/>
  <c r="W94" i="9"/>
  <c r="H94" i="9"/>
  <c r="Q94" i="9"/>
  <c r="U94" i="9"/>
  <c r="S94" i="9"/>
  <c r="N94" i="9"/>
  <c r="T94" i="9"/>
  <c r="P94" i="9"/>
  <c r="D94" i="9"/>
  <c r="I94" i="9"/>
  <c r="P89" i="9"/>
  <c r="N89" i="9"/>
  <c r="L89" i="9"/>
  <c r="G89" i="9"/>
  <c r="T89" i="9"/>
  <c r="U89" i="9"/>
  <c r="W89" i="9"/>
  <c r="Q89" i="9"/>
  <c r="K89" i="9"/>
  <c r="C89" i="9"/>
  <c r="I89" i="9"/>
  <c r="S89" i="9"/>
  <c r="H89" i="9"/>
  <c r="F89" i="9"/>
  <c r="M89" i="9"/>
  <c r="E89" i="9"/>
  <c r="J89" i="9"/>
  <c r="R89" i="9"/>
  <c r="D89" i="9"/>
  <c r="V89" i="9"/>
  <c r="O89" i="9"/>
  <c r="I21" i="9" l="1"/>
  <c r="I23" i="9"/>
  <c r="I36" i="9"/>
  <c r="I57" i="9"/>
  <c r="I49" i="9"/>
  <c r="I54" i="9"/>
  <c r="I43" i="9"/>
  <c r="I46" i="9"/>
  <c r="I42" i="9"/>
  <c r="I25" i="9"/>
  <c r="I26" i="9"/>
  <c r="I32" i="9"/>
  <c r="I51" i="9"/>
  <c r="I45" i="9"/>
  <c r="I58" i="9"/>
  <c r="I33" i="9"/>
  <c r="I39" i="9"/>
  <c r="I48" i="9"/>
  <c r="I22" i="9"/>
  <c r="I41" i="9"/>
  <c r="I55" i="9"/>
  <c r="I28" i="9"/>
  <c r="I35" i="9"/>
  <c r="I50" i="9"/>
  <c r="I40" i="9"/>
  <c r="H62" i="9"/>
  <c r="H61" i="9"/>
  <c r="I37" i="9"/>
  <c r="B74" i="9"/>
  <c r="I52" i="9"/>
  <c r="I47" i="9"/>
  <c r="T79" i="9"/>
  <c r="W79" i="9"/>
  <c r="Q79" i="9"/>
  <c r="K79" i="9"/>
  <c r="R79" i="9"/>
  <c r="D79" i="9"/>
  <c r="N79" i="9"/>
  <c r="I79" i="9"/>
  <c r="V79" i="9"/>
  <c r="E79" i="9"/>
  <c r="L79" i="9"/>
  <c r="G79" i="9"/>
  <c r="P79" i="9"/>
  <c r="U79" i="9"/>
  <c r="M79" i="9"/>
  <c r="C79" i="9"/>
  <c r="O79" i="9"/>
  <c r="H79" i="9"/>
  <c r="F79" i="9"/>
  <c r="S79" i="9"/>
  <c r="J79" i="9"/>
  <c r="I56" i="9"/>
  <c r="I31" i="9"/>
  <c r="I44" i="9"/>
  <c r="M62" i="9"/>
  <c r="E12" i="9" s="1"/>
  <c r="E14" i="9" s="1"/>
  <c r="M61" i="9"/>
  <c r="I20" i="9"/>
  <c r="I27" i="9"/>
  <c r="I38" i="9"/>
  <c r="I29" i="9"/>
  <c r="I34" i="9"/>
  <c r="I24" i="9"/>
  <c r="J210" i="9"/>
  <c r="G38" i="10" s="1"/>
  <c r="G163" i="16" s="1"/>
  <c r="V74" i="9" l="1"/>
  <c r="K74" i="9"/>
  <c r="P74" i="9"/>
  <c r="N74" i="9"/>
  <c r="S74" i="9"/>
  <c r="I74" i="9"/>
  <c r="M74" i="9"/>
  <c r="J74" i="9"/>
  <c r="Q74" i="9"/>
  <c r="T74" i="9"/>
  <c r="D74" i="9"/>
  <c r="E74" i="9"/>
  <c r="R74" i="9"/>
  <c r="H74" i="9"/>
  <c r="C74" i="9"/>
  <c r="U74" i="9"/>
  <c r="L74" i="9"/>
  <c r="W74" i="9"/>
  <c r="F74" i="9"/>
  <c r="G74" i="9"/>
  <c r="O74" i="9"/>
  <c r="I59" i="9"/>
  <c r="I62" i="9" s="1"/>
  <c r="B12" i="9" s="1"/>
  <c r="B14" i="9" s="1"/>
  <c r="G34" i="10"/>
  <c r="G37" i="10"/>
  <c r="G162" i="16" s="1"/>
  <c r="G36" i="10"/>
  <c r="G161" i="16" s="1"/>
  <c r="G39" i="10" l="1"/>
  <c r="G164" i="16" s="1"/>
  <c r="G159" i="16"/>
  <c r="I61" i="9"/>
  <c r="X95" i="9" a="1"/>
  <c r="X95" i="9" s="1"/>
  <c r="Q41" i="9" s="1"/>
  <c r="X83" i="9" a="1"/>
  <c r="X83" i="9" s="1"/>
  <c r="Q29" i="9" s="1"/>
  <c r="X113" i="9" a="1"/>
  <c r="X113" i="9" s="1"/>
  <c r="X118" i="9" a="1"/>
  <c r="X118" i="9" s="1"/>
  <c r="X106" i="9" a="1"/>
  <c r="X106" i="9" s="1"/>
  <c r="Q52" i="9" s="1"/>
  <c r="X86" i="9" a="1"/>
  <c r="X86" i="9" s="1"/>
  <c r="Q32" i="9" s="1"/>
  <c r="X98" i="9" a="1"/>
  <c r="X98" i="9" s="1"/>
  <c r="Q44" i="9" s="1"/>
  <c r="X133" i="9" a="1"/>
  <c r="X133" i="9" s="1"/>
  <c r="X78" i="9" a="1"/>
  <c r="X78" i="9" s="1"/>
  <c r="Q24" i="9" s="1"/>
  <c r="X80" i="9" a="1"/>
  <c r="X80" i="9" s="1"/>
  <c r="Q26" i="9" s="1"/>
  <c r="X96" i="9" a="1"/>
  <c r="X96" i="9" s="1"/>
  <c r="Q42" i="9" s="1"/>
  <c r="X126" i="9" a="1"/>
  <c r="X126" i="9" s="1"/>
  <c r="X121" i="9" a="1"/>
  <c r="X121" i="9" s="1"/>
  <c r="X125" i="9" a="1"/>
  <c r="X125" i="9" s="1"/>
  <c r="X74" i="9" a="1"/>
  <c r="X74" i="9" s="1"/>
  <c r="Q20" i="9" s="1"/>
  <c r="X81" i="9" a="1"/>
  <c r="X81" i="9" s="1"/>
  <c r="Q27" i="9" s="1"/>
  <c r="X79" i="9" a="1"/>
  <c r="X79" i="9" s="1"/>
  <c r="Q25" i="9" s="1"/>
  <c r="X82" i="9" a="1"/>
  <c r="X82" i="9" s="1"/>
  <c r="Q28" i="9" s="1"/>
  <c r="X89" i="9" a="1"/>
  <c r="X89" i="9" s="1"/>
  <c r="Q35" i="9" s="1"/>
  <c r="X131" i="9" a="1"/>
  <c r="X131" i="9" s="1"/>
  <c r="X116" i="9" a="1"/>
  <c r="X116" i="9" s="1"/>
  <c r="X129" i="9" a="1"/>
  <c r="X129" i="9" s="1"/>
  <c r="X101" i="9" a="1"/>
  <c r="X101" i="9" s="1"/>
  <c r="Q47" i="9" s="1"/>
  <c r="X76" i="9" a="1"/>
  <c r="X76" i="9" s="1"/>
  <c r="Q22" i="9" s="1"/>
  <c r="X93" i="9" a="1"/>
  <c r="X93" i="9" s="1"/>
  <c r="Q39" i="9" s="1"/>
  <c r="X109" i="9" a="1"/>
  <c r="X109" i="9" s="1"/>
  <c r="Q55" i="9" s="1"/>
  <c r="X120" i="9" a="1"/>
  <c r="X120" i="9" s="1"/>
  <c r="X117" i="9" a="1"/>
  <c r="X117" i="9" s="1"/>
  <c r="X114" i="9" a="1"/>
  <c r="X114" i="9" s="1"/>
  <c r="X123" i="9" a="1"/>
  <c r="X123" i="9" s="1"/>
  <c r="X103" i="9" a="1"/>
  <c r="X103" i="9" s="1"/>
  <c r="Q49" i="9" s="1"/>
  <c r="X75" i="9" a="1"/>
  <c r="X75" i="9" s="1"/>
  <c r="Q21" i="9" s="1"/>
  <c r="X99" i="9" a="1"/>
  <c r="X99" i="9" s="1"/>
  <c r="Q45" i="9" s="1"/>
  <c r="X94" i="9" a="1"/>
  <c r="X94" i="9" s="1"/>
  <c r="Q40" i="9" s="1"/>
  <c r="X100" i="9" a="1"/>
  <c r="X100" i="9" s="1"/>
  <c r="Q46" i="9" s="1"/>
  <c r="X90" i="9" a="1"/>
  <c r="X90" i="9" s="1"/>
  <c r="Q36" i="9" s="1"/>
  <c r="X84" i="9" a="1"/>
  <c r="X84" i="9" s="1"/>
  <c r="Q30" i="9" s="1"/>
  <c r="X73" i="9" a="1"/>
  <c r="X73" i="9" s="1"/>
  <c r="Q19" i="9" s="1"/>
  <c r="X111" i="9" a="1"/>
  <c r="X111" i="9" s="1"/>
  <c r="Q57" i="9" s="1"/>
  <c r="X104" i="9" a="1"/>
  <c r="X104" i="9" s="1"/>
  <c r="Q50" i="9" s="1"/>
  <c r="X87" i="9" a="1"/>
  <c r="X87" i="9" s="1"/>
  <c r="Q33" i="9" s="1"/>
  <c r="X97" i="9" a="1"/>
  <c r="X97" i="9" s="1"/>
  <c r="Q43" i="9" s="1"/>
  <c r="X85" i="9" a="1"/>
  <c r="X85" i="9" s="1"/>
  <c r="Q31" i="9" s="1"/>
  <c r="X130" i="9" a="1"/>
  <c r="X130" i="9" s="1"/>
  <c r="X105" i="9" a="1"/>
  <c r="X105" i="9" s="1"/>
  <c r="Q51" i="9" s="1"/>
  <c r="X112" i="9" a="1"/>
  <c r="X112" i="9" s="1"/>
  <c r="Q58" i="9" s="1"/>
  <c r="X107" i="9" a="1"/>
  <c r="X107" i="9" s="1"/>
  <c r="Q53" i="9" s="1"/>
  <c r="X108" i="9" a="1"/>
  <c r="X108" i="9" s="1"/>
  <c r="Q54" i="9" s="1"/>
  <c r="X110" i="9" a="1"/>
  <c r="X110" i="9" s="1"/>
  <c r="Q56" i="9" s="1"/>
  <c r="X88" i="9" a="1"/>
  <c r="X88" i="9" s="1"/>
  <c r="Q34" i="9" s="1"/>
  <c r="X134" i="9" a="1"/>
  <c r="X134" i="9" s="1"/>
  <c r="X132" i="9" a="1"/>
  <c r="X132" i="9" s="1"/>
  <c r="X124" i="9" a="1"/>
  <c r="X124" i="9" s="1"/>
  <c r="X122" i="9" a="1"/>
  <c r="X122" i="9" s="1"/>
  <c r="X91" i="9" a="1"/>
  <c r="X91" i="9" s="1"/>
  <c r="Q37" i="9" s="1"/>
  <c r="X77" i="9" a="1"/>
  <c r="X77" i="9" s="1"/>
  <c r="Q23" i="9" s="1"/>
  <c r="X102" i="9" a="1"/>
  <c r="X102" i="9" s="1"/>
  <c r="Q48" i="9" s="1"/>
  <c r="X92" i="9" a="1"/>
  <c r="X92" i="9" s="1"/>
  <c r="Q38" i="9" s="1"/>
  <c r="X119" i="9" a="1"/>
  <c r="X119" i="9" s="1"/>
  <c r="X128" i="9" a="1"/>
  <c r="X128" i="9" s="1"/>
  <c r="X127" i="9" a="1"/>
  <c r="X127" i="9" s="1"/>
  <c r="X115" i="9" a="1"/>
  <c r="X115" i="9" s="1"/>
  <c r="Q59" i="9" l="1"/>
  <c r="Q61" i="9" s="1"/>
  <c r="R19" i="9"/>
  <c r="S19" i="9" s="1"/>
  <c r="U19" i="9" s="1"/>
  <c r="V19" i="9" s="1"/>
  <c r="Q62" i="9" l="1"/>
  <c r="C12" i="9" s="1"/>
  <c r="C14" i="9" s="1"/>
  <c r="B5" i="9" s="1"/>
  <c r="E32" i="9" s="1"/>
  <c r="P32" i="9" s="1"/>
  <c r="E30" i="9" l="1"/>
  <c r="P30" i="9" s="1"/>
  <c r="W30" i="9" s="1"/>
  <c r="E59" i="9"/>
  <c r="P59" i="9" s="1"/>
  <c r="R59" i="9" s="1"/>
  <c r="S59" i="9" s="1"/>
  <c r="U59" i="9" s="1"/>
  <c r="E45" i="9"/>
  <c r="P45" i="9" s="1"/>
  <c r="R45" i="9" s="1"/>
  <c r="S45" i="9" s="1"/>
  <c r="U45" i="9" s="1"/>
  <c r="E21" i="9"/>
  <c r="P21" i="9" s="1"/>
  <c r="R21" i="9" s="1"/>
  <c r="S21" i="9" s="1"/>
  <c r="U21" i="9" s="1"/>
  <c r="E27" i="9"/>
  <c r="P27" i="9" s="1"/>
  <c r="R27" i="9" s="1"/>
  <c r="S27" i="9" s="1"/>
  <c r="U27" i="9" s="1"/>
  <c r="E56" i="9"/>
  <c r="P56" i="9" s="1"/>
  <c r="R56" i="9" s="1"/>
  <c r="S56" i="9" s="1"/>
  <c r="U56" i="9" s="1"/>
  <c r="E39" i="9"/>
  <c r="P39" i="9" s="1"/>
  <c r="R39" i="9" s="1"/>
  <c r="S39" i="9" s="1"/>
  <c r="U39" i="9" s="1"/>
  <c r="E58" i="9"/>
  <c r="P58" i="9" s="1"/>
  <c r="R58" i="9" s="1"/>
  <c r="S58" i="9" s="1"/>
  <c r="U58" i="9" s="1"/>
  <c r="E53" i="9"/>
  <c r="P53" i="9" s="1"/>
  <c r="W53" i="9" s="1"/>
  <c r="B7" i="9"/>
  <c r="B1" i="8" s="1"/>
  <c r="E22" i="9"/>
  <c r="P22" i="9" s="1"/>
  <c r="R22" i="9" s="1"/>
  <c r="S22" i="9" s="1"/>
  <c r="U22" i="9" s="1"/>
  <c r="E54" i="9"/>
  <c r="P54" i="9" s="1"/>
  <c r="R54" i="9" s="1"/>
  <c r="S54" i="9" s="1"/>
  <c r="U54" i="9" s="1"/>
  <c r="E50" i="9"/>
  <c r="P50" i="9" s="1"/>
  <c r="R50" i="9" s="1"/>
  <c r="S50" i="9" s="1"/>
  <c r="U50" i="9" s="1"/>
  <c r="E42" i="9"/>
  <c r="P42" i="9" s="1"/>
  <c r="R42" i="9" s="1"/>
  <c r="S42" i="9" s="1"/>
  <c r="U42" i="9" s="1"/>
  <c r="E46" i="9"/>
  <c r="P46" i="9" s="1"/>
  <c r="R46" i="9" s="1"/>
  <c r="S46" i="9" s="1"/>
  <c r="U46" i="9" s="1"/>
  <c r="E38" i="9"/>
  <c r="P38" i="9" s="1"/>
  <c r="R38" i="9" s="1"/>
  <c r="S38" i="9" s="1"/>
  <c r="U38" i="9" s="1"/>
  <c r="E28" i="9"/>
  <c r="P28" i="9" s="1"/>
  <c r="W28" i="9" s="1"/>
  <c r="E40" i="9"/>
  <c r="P40" i="9" s="1"/>
  <c r="W40" i="9" s="1"/>
  <c r="E52" i="9"/>
  <c r="P52" i="9" s="1"/>
  <c r="W52" i="9" s="1"/>
  <c r="E48" i="9"/>
  <c r="P48" i="9" s="1"/>
  <c r="W48" i="9" s="1"/>
  <c r="E20" i="9"/>
  <c r="P20" i="9" s="1"/>
  <c r="E49" i="9"/>
  <c r="P49" i="9" s="1"/>
  <c r="R49" i="9" s="1"/>
  <c r="S49" i="9" s="1"/>
  <c r="U49" i="9" s="1"/>
  <c r="E47" i="9"/>
  <c r="P47" i="9" s="1"/>
  <c r="W47" i="9" s="1"/>
  <c r="E23" i="9"/>
  <c r="P23" i="9" s="1"/>
  <c r="R23" i="9" s="1"/>
  <c r="S23" i="9" s="1"/>
  <c r="U23" i="9" s="1"/>
  <c r="E34" i="9"/>
  <c r="P34" i="9" s="1"/>
  <c r="W34" i="9" s="1"/>
  <c r="E37" i="9"/>
  <c r="P37" i="9" s="1"/>
  <c r="W37" i="9" s="1"/>
  <c r="E57" i="9"/>
  <c r="P57" i="9" s="1"/>
  <c r="R57" i="9" s="1"/>
  <c r="S57" i="9" s="1"/>
  <c r="U57" i="9" s="1"/>
  <c r="E41" i="9"/>
  <c r="P41" i="9" s="1"/>
  <c r="W41" i="9" s="1"/>
  <c r="E33" i="9"/>
  <c r="P33" i="9" s="1"/>
  <c r="W33" i="9" s="1"/>
  <c r="E24" i="9"/>
  <c r="P24" i="9" s="1"/>
  <c r="R24" i="9" s="1"/>
  <c r="S24" i="9" s="1"/>
  <c r="U24" i="9" s="1"/>
  <c r="E51" i="9"/>
  <c r="P51" i="9" s="1"/>
  <c r="R51" i="9" s="1"/>
  <c r="S51" i="9" s="1"/>
  <c r="U51" i="9" s="1"/>
  <c r="E35" i="9"/>
  <c r="P35" i="9" s="1"/>
  <c r="R35" i="9" s="1"/>
  <c r="S35" i="9" s="1"/>
  <c r="U35" i="9" s="1"/>
  <c r="E29" i="9"/>
  <c r="P29" i="9" s="1"/>
  <c r="R29" i="9" s="1"/>
  <c r="S29" i="9" s="1"/>
  <c r="U29" i="9" s="1"/>
  <c r="E36" i="9"/>
  <c r="P36" i="9" s="1"/>
  <c r="R36" i="9" s="1"/>
  <c r="S36" i="9" s="1"/>
  <c r="U36" i="9" s="1"/>
  <c r="E25" i="9"/>
  <c r="P25" i="9" s="1"/>
  <c r="W25" i="9" s="1"/>
  <c r="E44" i="9"/>
  <c r="P44" i="9" s="1"/>
  <c r="R44" i="9" s="1"/>
  <c r="S44" i="9" s="1"/>
  <c r="U44" i="9" s="1"/>
  <c r="E43" i="9"/>
  <c r="P43" i="9" s="1"/>
  <c r="W43" i="9" s="1"/>
  <c r="E26" i="9"/>
  <c r="P26" i="9" s="1"/>
  <c r="W26" i="9" s="1"/>
  <c r="E55" i="9"/>
  <c r="P55" i="9" s="1"/>
  <c r="W55" i="9" s="1"/>
  <c r="E31" i="9"/>
  <c r="P31" i="9" s="1"/>
  <c r="R31" i="9" s="1"/>
  <c r="S31" i="9" s="1"/>
  <c r="U31" i="9" s="1"/>
  <c r="R30" i="9"/>
  <c r="S30" i="9" s="1"/>
  <c r="U30" i="9" s="1"/>
  <c r="R32" i="9"/>
  <c r="S32" i="9" s="1"/>
  <c r="U32" i="9" s="1"/>
  <c r="W32" i="9"/>
  <c r="R53" i="9" l="1"/>
  <c r="S53" i="9" s="1"/>
  <c r="U53" i="9" s="1"/>
  <c r="B1" i="1"/>
  <c r="B1" i="10"/>
  <c r="B1" i="9"/>
  <c r="B1" i="16"/>
  <c r="B1" i="3"/>
  <c r="R28" i="9"/>
  <c r="S28" i="9" s="1"/>
  <c r="U28" i="9" s="1"/>
  <c r="W54" i="9"/>
  <c r="W56" i="9"/>
  <c r="W49" i="9"/>
  <c r="R40" i="9"/>
  <c r="S40" i="9" s="1"/>
  <c r="U40" i="9" s="1"/>
  <c r="W59" i="9"/>
  <c r="W42" i="9"/>
  <c r="W45" i="9"/>
  <c r="W21" i="9"/>
  <c r="W27" i="9"/>
  <c r="W50" i="9"/>
  <c r="R48" i="9"/>
  <c r="S48" i="9" s="1"/>
  <c r="U48" i="9" s="1"/>
  <c r="R47" i="9"/>
  <c r="S47" i="9" s="1"/>
  <c r="U47" i="9" s="1"/>
  <c r="W22" i="9"/>
  <c r="W39" i="9"/>
  <c r="W38" i="9"/>
  <c r="W23" i="9"/>
  <c r="W58" i="9"/>
  <c r="W46" i="9"/>
  <c r="R52" i="9"/>
  <c r="S52" i="9" s="1"/>
  <c r="U52" i="9" s="1"/>
  <c r="W24" i="9"/>
  <c r="R33" i="9"/>
  <c r="S33" i="9" s="1"/>
  <c r="U33" i="9" s="1"/>
  <c r="W57" i="9"/>
  <c r="R34" i="9"/>
  <c r="S34" i="9" s="1"/>
  <c r="U34" i="9" s="1"/>
  <c r="R37" i="9"/>
  <c r="S37" i="9" s="1"/>
  <c r="U37" i="9" s="1"/>
  <c r="W51" i="9"/>
  <c r="R55" i="9"/>
  <c r="S55" i="9" s="1"/>
  <c r="U55" i="9" s="1"/>
  <c r="W35" i="9"/>
  <c r="R41" i="9"/>
  <c r="S41" i="9" s="1"/>
  <c r="U41" i="9" s="1"/>
  <c r="W44" i="9"/>
  <c r="W29" i="9"/>
  <c r="W36" i="9"/>
  <c r="R43" i="9"/>
  <c r="S43" i="9" s="1"/>
  <c r="U43" i="9" s="1"/>
  <c r="R25" i="9"/>
  <c r="S25" i="9" s="1"/>
  <c r="U25" i="9" s="1"/>
  <c r="E61" i="9"/>
  <c r="E62" i="9"/>
  <c r="J12" i="9" s="1"/>
  <c r="J13" i="9" s="1"/>
  <c r="W31" i="9"/>
  <c r="R26" i="9"/>
  <c r="S26" i="9" s="1"/>
  <c r="U26" i="9" s="1"/>
  <c r="P62" i="9"/>
  <c r="W20" i="9"/>
  <c r="P61" i="9"/>
  <c r="R20" i="9"/>
  <c r="R62" i="9" l="1"/>
  <c r="R61" i="9"/>
  <c r="S20" i="9"/>
  <c r="W62" i="9"/>
  <c r="W61" i="9"/>
  <c r="S62" i="9" l="1"/>
  <c r="U20" i="9"/>
  <c r="S61" i="9"/>
  <c r="U61" i="9" l="1"/>
  <c r="B6" i="10" s="1" a="1"/>
  <c r="B6" i="10" s="1"/>
  <c r="B23" i="10" s="1"/>
  <c r="B6" i="9"/>
  <c r="U62" i="9"/>
  <c r="C6" i="10" s="1" a="1"/>
  <c r="V20" i="9"/>
  <c r="V21" i="9" l="1"/>
  <c r="V22" i="9" s="1"/>
  <c r="V23" i="9" s="1"/>
  <c r="V24" i="9" s="1"/>
  <c r="V25" i="9" s="1"/>
  <c r="V26" i="9" s="1"/>
  <c r="V27" i="9" s="1"/>
  <c r="V28" i="9" s="1"/>
  <c r="V29" i="9" s="1"/>
  <c r="V30" i="9" s="1"/>
  <c r="V31" i="9" s="1"/>
  <c r="V32" i="9" s="1"/>
  <c r="V33" i="9" s="1"/>
  <c r="V34" i="9" s="1"/>
  <c r="V35" i="9" s="1"/>
  <c r="V36" i="9" s="1"/>
  <c r="V37" i="9" s="1"/>
  <c r="V38" i="9" s="1"/>
  <c r="V39" i="9" s="1"/>
  <c r="V40" i="9" s="1"/>
  <c r="V41" i="9" s="1"/>
  <c r="V42" i="9" s="1"/>
  <c r="V43" i="9" s="1"/>
  <c r="V44" i="9" s="1"/>
  <c r="V45" i="9" s="1"/>
  <c r="V46" i="9" s="1"/>
  <c r="V47" i="9" s="1"/>
  <c r="V48" i="9" s="1"/>
  <c r="V49" i="9" s="1"/>
  <c r="V50" i="9" s="1"/>
  <c r="V51" i="9" s="1"/>
  <c r="V52" i="9" s="1"/>
  <c r="V53" i="9" s="1"/>
  <c r="V54" i="9" s="1"/>
  <c r="V55" i="9" s="1"/>
  <c r="V56" i="9" s="1"/>
  <c r="V57" i="9" s="1"/>
  <c r="V58" i="9" s="1"/>
  <c r="V59" i="9" s="1"/>
  <c r="G10" i="10"/>
  <c r="G9" i="10"/>
  <c r="G11" i="10"/>
  <c r="G8" i="10"/>
  <c r="C6" i="10"/>
  <c r="G7" i="10"/>
  <c r="H9" i="10" l="1"/>
  <c r="C171" i="16" s="1"/>
  <c r="B171" i="16"/>
  <c r="B172" i="16"/>
  <c r="H10" i="10"/>
  <c r="G13" i="10"/>
  <c r="G16" i="10" s="1"/>
  <c r="C23" i="10"/>
  <c r="B173" i="16"/>
  <c r="H11" i="10"/>
  <c r="V62" i="9"/>
  <c r="H7" i="10"/>
  <c r="B32" i="10" s="1"/>
  <c r="B169" i="16"/>
  <c r="H8" i="10"/>
  <c r="B170" i="16"/>
  <c r="V61" i="9"/>
  <c r="D32" i="10" l="1"/>
  <c r="D33" i="10"/>
  <c r="D158" i="16" s="1"/>
  <c r="D38" i="10"/>
  <c r="D163" i="16" s="1"/>
  <c r="D37" i="10"/>
  <c r="D162" i="16" s="1"/>
  <c r="D34" i="10"/>
  <c r="D159" i="16" s="1"/>
  <c r="D35" i="10"/>
  <c r="D160" i="16" s="1"/>
  <c r="D36" i="10"/>
  <c r="D161" i="16" s="1"/>
  <c r="C170" i="16"/>
  <c r="C35" i="10"/>
  <c r="C160" i="16" s="1"/>
  <c r="C33" i="10"/>
  <c r="C158" i="16" s="1"/>
  <c r="C34" i="10"/>
  <c r="C159" i="16" s="1"/>
  <c r="C36" i="10"/>
  <c r="C161" i="16" s="1"/>
  <c r="D141" i="16" s="1"/>
  <c r="C32" i="10"/>
  <c r="C38" i="10"/>
  <c r="C163" i="16" s="1"/>
  <c r="C37" i="10"/>
  <c r="C162" i="16" s="1"/>
  <c r="C172" i="16"/>
  <c r="B36" i="10"/>
  <c r="B161" i="16" s="1"/>
  <c r="B34" i="10"/>
  <c r="B159" i="16" s="1"/>
  <c r="B35" i="10"/>
  <c r="B160" i="16" s="1"/>
  <c r="B33" i="10"/>
  <c r="B158" i="16" s="1"/>
  <c r="B37" i="10"/>
  <c r="B162" i="16" s="1"/>
  <c r="B38" i="10"/>
  <c r="B163" i="16" s="1"/>
  <c r="C169" i="16"/>
  <c r="H16" i="10"/>
  <c r="I9" i="10" s="1"/>
  <c r="C173" i="16"/>
  <c r="F141" i="16" s="1"/>
  <c r="I11" i="10" l="1"/>
  <c r="I7" i="10"/>
  <c r="B39" i="10"/>
  <c r="B157" i="16"/>
  <c r="B141" i="16"/>
  <c r="I10" i="10"/>
  <c r="C39" i="10"/>
  <c r="C164" i="16" s="1"/>
  <c r="E141" i="16" s="1"/>
  <c r="C157" i="16"/>
  <c r="I8" i="10"/>
  <c r="D157" i="16"/>
  <c r="D39" i="10"/>
  <c r="D164" i="16" s="1"/>
  <c r="B164" i="16" l="1"/>
  <c r="C141" i="16" s="1"/>
  <c r="G141" i="16" s="1"/>
  <c r="D40" i="10"/>
  <c r="D165" i="16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<sst xmlns="http://schemas.openxmlformats.org/spreadsheetml/2006/main" count="1084" uniqueCount="659">
  <si>
    <t>Process Assumptions</t>
  </si>
  <si>
    <t>Results</t>
  </si>
  <si>
    <t>NPV</t>
  </si>
  <si>
    <t>Year</t>
  </si>
  <si>
    <t>Analysis year</t>
  </si>
  <si>
    <t>Operation year</t>
  </si>
  <si>
    <t>Inflation rate increase factor</t>
  </si>
  <si>
    <t>Revenues</t>
  </si>
  <si>
    <t>Initial depreciable capital financed with debt</t>
  </si>
  <si>
    <t>Initial equity depriciable capital</t>
  </si>
  <si>
    <t>Replacement costs</t>
  </si>
  <si>
    <t>Cash from working capital reserve</t>
  </si>
  <si>
    <t>Salvage value</t>
  </si>
  <si>
    <t>Decommisioning cost</t>
  </si>
  <si>
    <t>Fixed operating costs</t>
  </si>
  <si>
    <t>Variable operating costs</t>
  </si>
  <si>
    <t>Debt interest</t>
  </si>
  <si>
    <t>Pre-depreciation income</t>
  </si>
  <si>
    <t>Depreciation charge</t>
  </si>
  <si>
    <t>Taxable income</t>
  </si>
  <si>
    <t>Total tax</t>
  </si>
  <si>
    <t>Principal payment</t>
  </si>
  <si>
    <t>After-tax, post-depreciation cash flow</t>
  </si>
  <si>
    <t>Cumulative cash flow</t>
  </si>
  <si>
    <t>Pre-tax cash flow</t>
  </si>
  <si>
    <t>Capacity factor</t>
  </si>
  <si>
    <t>Industrial electricity</t>
  </si>
  <si>
    <t>$/kWh</t>
  </si>
  <si>
    <t>System cost</t>
  </si>
  <si>
    <t>Total</t>
  </si>
  <si>
    <t>Financial</t>
  </si>
  <si>
    <t>Length of Construction Period (years)</t>
  </si>
  <si>
    <t>% of Capital Spent in 1st Year of Construction</t>
  </si>
  <si>
    <t>% of Capital Spent in 2nd Year of Construction</t>
  </si>
  <si>
    <t>% of Capital Spent in 3rd Year of Construction</t>
  </si>
  <si>
    <t>% of Capital Spent in 4th Year of Construction</t>
  </si>
  <si>
    <t>Start-up Time (years)</t>
  </si>
  <si>
    <t>Plant life (years)</t>
  </si>
  <si>
    <t>Analysis period (years)</t>
  </si>
  <si>
    <t>Depreciation Schedule Length (years)</t>
  </si>
  <si>
    <t>Depreciation Type</t>
  </si>
  <si>
    <t xml:space="preserve"> % Debt Financing</t>
  </si>
  <si>
    <t xml:space="preserve"> % Equity Financing</t>
  </si>
  <si>
    <t>Interest rate on debt, if applicable (%)</t>
  </si>
  <si>
    <t>Debt period (years)</t>
  </si>
  <si>
    <t>% of Fixed Operating Costs During Start-up (%)</t>
  </si>
  <si>
    <t>% of Revenues During Start-up (%)</t>
  </si>
  <si>
    <t>% of Variable Operating Costs During Start-up (%)</t>
  </si>
  <si>
    <t>Decommissioning costs (% of depreciable capital investment)</t>
  </si>
  <si>
    <t>Salvage value (% of total capital investment)</t>
  </si>
  <si>
    <t>Inflation rate (%)</t>
  </si>
  <si>
    <t>State Taxes (%)</t>
  </si>
  <si>
    <t>Federal Taxes (%)</t>
  </si>
  <si>
    <t>Total Tax Rate (%)</t>
  </si>
  <si>
    <t>WORKING CAPITAL (% of yearly change in operating costs)</t>
  </si>
  <si>
    <t>After-tax real IRR</t>
  </si>
  <si>
    <t>After-tax nominal IRR</t>
  </si>
  <si>
    <t>Capital costs</t>
  </si>
  <si>
    <t>Values in startup year</t>
  </si>
  <si>
    <t>Depreciable capital costs</t>
  </si>
  <si>
    <t>Direct capital cost</t>
  </si>
  <si>
    <t>Indirect capital cost</t>
  </si>
  <si>
    <t>Site preparation</t>
  </si>
  <si>
    <t>Engineering and design</t>
  </si>
  <si>
    <t>Project contingency</t>
  </si>
  <si>
    <t>Total depreciable capital cost</t>
  </si>
  <si>
    <t>Non depreciable capital costs</t>
  </si>
  <si>
    <t>Cost of land (5 acre, $50,000/acre)</t>
  </si>
  <si>
    <t>Total capital costs</t>
  </si>
  <si>
    <t>G&amp;A ($/year)</t>
  </si>
  <si>
    <t>Property taxes and insurance ($/year)</t>
  </si>
  <si>
    <t>Production maintenance and repairs ($/year)</t>
  </si>
  <si>
    <t>Total fixed operating costs ($/year)</t>
  </si>
  <si>
    <t>Energy utilities costs</t>
  </si>
  <si>
    <t>Non energy utilities costs</t>
  </si>
  <si>
    <t>Total variable operating costs ($/year)</t>
  </si>
  <si>
    <t>Replacements</t>
  </si>
  <si>
    <t>Cost reference</t>
  </si>
  <si>
    <t>Unplanned replacement capital cost (0.5% of total direct capital costs/year)</t>
  </si>
  <si>
    <t>Discounted values</t>
  </si>
  <si>
    <t>Tax coefficient</t>
  </si>
  <si>
    <t>Depreciation calculation table</t>
  </si>
  <si>
    <t>Annual depreciable capital</t>
  </si>
  <si>
    <t>Depreciation type</t>
  </si>
  <si>
    <t>Depreciation period</t>
  </si>
  <si>
    <t>Total initial depreciable capital</t>
  </si>
  <si>
    <t>Depreciation charges</t>
  </si>
  <si>
    <t>Depreciable capital</t>
  </si>
  <si>
    <t>PV of cash flows</t>
  </si>
  <si>
    <t>Principal</t>
  </si>
  <si>
    <t>Operating costs</t>
  </si>
  <si>
    <t>Tax incentives</t>
  </si>
  <si>
    <t>Present values</t>
  </si>
  <si>
    <t>Values in startup year dollars</t>
  </si>
  <si>
    <t>Plant cost index</t>
  </si>
  <si>
    <t>Deflator price index</t>
  </si>
  <si>
    <t>MACRS Depreciation Table (Half-Year Convention)</t>
  </si>
  <si>
    <t>Recovery Period</t>
  </si>
  <si>
    <t>Recovery Year</t>
  </si>
  <si>
    <t>NPV - Real IRR</t>
  </si>
  <si>
    <t>NPV - Nominal IRR</t>
  </si>
  <si>
    <t>MACRS</t>
  </si>
  <si>
    <t>Chemical price index</t>
  </si>
  <si>
    <t>Labor cost index</t>
  </si>
  <si>
    <t>Cash flow</t>
  </si>
  <si>
    <t>Year of analysis</t>
  </si>
  <si>
    <t>Scaling factor exponent</t>
  </si>
  <si>
    <t>Design capacity</t>
  </si>
  <si>
    <t>Average production rate</t>
  </si>
  <si>
    <r>
      <t>kg CO</t>
    </r>
    <r>
      <rPr>
        <vertAlign val="subscript"/>
        <sz val="10"/>
        <rFont val="Arial"/>
        <family val="2"/>
      </rPr>
      <t>2</t>
    </r>
    <r>
      <rPr>
        <sz val="10"/>
        <rFont val="Arial"/>
        <family val="2"/>
      </rPr>
      <t>/day</t>
    </r>
  </si>
  <si>
    <t>Cost factor</t>
  </si>
  <si>
    <t>Notes</t>
  </si>
  <si>
    <t>Electrodialysis</t>
  </si>
  <si>
    <t>Screening</t>
  </si>
  <si>
    <t>Membrane contactor</t>
  </si>
  <si>
    <t>Water condenser</t>
  </si>
  <si>
    <t>Stack cost</t>
  </si>
  <si>
    <t>mol/s</t>
  </si>
  <si>
    <t>R  (gas constant)</t>
  </si>
  <si>
    <r>
      <rPr>
        <sz val="10"/>
        <rFont val="Arial"/>
        <family val="2"/>
      </rPr>
      <t>T (temperature)</t>
    </r>
  </si>
  <si>
    <t>K</t>
  </si>
  <si>
    <t>Motor efficiency</t>
  </si>
  <si>
    <t>gal/min</t>
  </si>
  <si>
    <t>ft</t>
  </si>
  <si>
    <t>lb/gallon</t>
  </si>
  <si>
    <t>1.025 kg/m3</t>
  </si>
  <si>
    <t>Pump efficiency</t>
  </si>
  <si>
    <t>Motor power consumption</t>
  </si>
  <si>
    <r>
      <t>t CO</t>
    </r>
    <r>
      <rPr>
        <vertAlign val="subscript"/>
        <sz val="10"/>
        <rFont val="Arial"/>
        <family val="2"/>
      </rPr>
      <t>2</t>
    </r>
    <r>
      <rPr>
        <sz val="10"/>
        <rFont val="Arial"/>
        <family val="2"/>
      </rPr>
      <t>/year</t>
    </r>
  </si>
  <si>
    <t>Current density</t>
  </si>
  <si>
    <t xml:space="preserve">Voltage </t>
  </si>
  <si>
    <t>V</t>
  </si>
  <si>
    <r>
      <t>kWh/kg CO</t>
    </r>
    <r>
      <rPr>
        <vertAlign val="subscript"/>
        <sz val="10"/>
        <color theme="1"/>
        <rFont val="Arial"/>
        <family val="2"/>
      </rPr>
      <t>2</t>
    </r>
  </si>
  <si>
    <t>Specified replacement cost (electrodialyzer/5year)</t>
  </si>
  <si>
    <t>Specified replacement cost (60% pre-treatment/5year)</t>
  </si>
  <si>
    <t>Specified replacement cost (gas stripping/10year)</t>
  </si>
  <si>
    <t>Baseline capacity</t>
  </si>
  <si>
    <t>DIC</t>
  </si>
  <si>
    <t>K1</t>
  </si>
  <si>
    <t>K2</t>
  </si>
  <si>
    <t>new titration data</t>
  </si>
  <si>
    <t xml:space="preserve">pH </t>
  </si>
  <si>
    <t>DIC concentration</t>
  </si>
  <si>
    <t>mol/L</t>
  </si>
  <si>
    <t>Oceanwater target pH</t>
  </si>
  <si>
    <t>Electrodialysis acidified stream target pH</t>
  </si>
  <si>
    <t>kg/mol</t>
  </si>
  <si>
    <t>Microscreening</t>
  </si>
  <si>
    <t>Nanofiltration</t>
  </si>
  <si>
    <t>Upfront permitting cost (legal and contractors fees)</t>
  </si>
  <si>
    <r>
      <t>$/ton CO</t>
    </r>
    <r>
      <rPr>
        <b/>
        <vertAlign val="subscript"/>
        <sz val="18"/>
        <color theme="1"/>
        <rFont val="Arial"/>
        <family val="2"/>
      </rPr>
      <t>2</t>
    </r>
  </si>
  <si>
    <t>Basis year</t>
  </si>
  <si>
    <t>Startup year (= reference year = current year)</t>
  </si>
  <si>
    <t>CEPCI inflator (basis year to startup year)</t>
  </si>
  <si>
    <t>Chemical price inflator (basis year to startup year)</t>
  </si>
  <si>
    <t>Consumer price inflator  (basis year to startup year)</t>
  </si>
  <si>
    <t>Inflation factor (basis year to startup year)</t>
  </si>
  <si>
    <t>Ws/kWh</t>
  </si>
  <si>
    <t>s/hr</t>
  </si>
  <si>
    <t>Hours to seconds</t>
  </si>
  <si>
    <t>Liters to cubic meters</t>
  </si>
  <si>
    <t>Tons to kg</t>
  </si>
  <si>
    <t>kg/ton</t>
  </si>
  <si>
    <t>Bar to pascal</t>
  </si>
  <si>
    <t>Pa/bar</t>
  </si>
  <si>
    <t>Energy in kWh to energy in Joules</t>
  </si>
  <si>
    <t>Conversions (non-SI to SI, SI/non-SI)</t>
  </si>
  <si>
    <r>
      <t>[CO</t>
    </r>
    <r>
      <rPr>
        <vertAlign val="subscript"/>
        <sz val="10"/>
        <color theme="1"/>
        <rFont val="Arial"/>
        <family val="2"/>
      </rPr>
      <t>2</t>
    </r>
    <r>
      <rPr>
        <sz val="10"/>
        <color theme="1"/>
        <rFont val="Arial"/>
        <family val="2"/>
      </rPr>
      <t>]/[DIC] at oceanwater target pH</t>
    </r>
  </si>
  <si>
    <t>Gas volume of 1 mol</t>
  </si>
  <si>
    <t>L/mol</t>
  </si>
  <si>
    <t>J/(K*mol)</t>
  </si>
  <si>
    <t>Bar to ft head</t>
  </si>
  <si>
    <t>ft head/bar</t>
  </si>
  <si>
    <t>bar</t>
  </si>
  <si>
    <t>Multiplier</t>
  </si>
  <si>
    <t>Number of channels in electrodialyzer (3, but flow 2x in diluate)</t>
  </si>
  <si>
    <t>Baseline installed cost in startup year dollars</t>
  </si>
  <si>
    <t>Scale Factor</t>
  </si>
  <si>
    <t>Labor baseline capacity</t>
  </si>
  <si>
    <t>Scale ratio</t>
  </si>
  <si>
    <t>20 kmol/hr, from Eisaman, used only for labor scaling</t>
  </si>
  <si>
    <t>Ratio of total scaled installed capital capital cost to total baseline installed capital costs.  Used for exponential scaling.</t>
  </si>
  <si>
    <t>Values in startup year dollars (except land in basis year)</t>
  </si>
  <si>
    <t>Labor scale ratio</t>
  </si>
  <si>
    <t>Values in basis year dollars</t>
  </si>
  <si>
    <t>Labor inflator (2018 to startup year)</t>
  </si>
  <si>
    <t>Labor cost ($50/FTE/hour) ($/year)</t>
  </si>
  <si>
    <t>Non-depreciable capital cost</t>
  </si>
  <si>
    <t>Recovery rate</t>
  </si>
  <si>
    <t>Intake</t>
  </si>
  <si>
    <t>Centrifugal pump #1</t>
  </si>
  <si>
    <t>Vacuum pump #1</t>
  </si>
  <si>
    <t>Micro/ultrafiltration</t>
  </si>
  <si>
    <t>Centrifugal pump #2</t>
  </si>
  <si>
    <t>Centrifugal pump #3</t>
  </si>
  <si>
    <t>Filter</t>
  </si>
  <si>
    <t>Flow Rate</t>
  </si>
  <si>
    <t>Pressure</t>
  </si>
  <si>
    <t>Fraction Oceanwater</t>
  </si>
  <si>
    <r>
      <t>CO</t>
    </r>
    <r>
      <rPr>
        <vertAlign val="subscript"/>
        <sz val="10"/>
        <color theme="1"/>
        <rFont val="Arial"/>
        <family val="2"/>
      </rPr>
      <t>2</t>
    </r>
    <r>
      <rPr>
        <sz val="10"/>
        <color theme="1"/>
        <rFont val="Arial"/>
        <family val="2"/>
      </rPr>
      <t xml:space="preserve"> molar mass</t>
    </r>
  </si>
  <si>
    <r>
      <t>m</t>
    </r>
    <r>
      <rPr>
        <vertAlign val="superscript"/>
        <sz val="10"/>
        <color theme="1"/>
        <rFont val="Arial"/>
        <family val="2"/>
      </rPr>
      <t>3</t>
    </r>
    <r>
      <rPr>
        <sz val="10"/>
        <color theme="1"/>
        <rFont val="Arial"/>
        <family val="2"/>
      </rPr>
      <t>/L</t>
    </r>
  </si>
  <si>
    <t>Equipment</t>
  </si>
  <si>
    <t>Centrifugal Pump #1</t>
  </si>
  <si>
    <t>CO2 Concentration</t>
  </si>
  <si>
    <t>Oceanwater Flow Rate (At a given extraction efficiency)</t>
  </si>
  <si>
    <t>Radial Centrifugal Pump Types</t>
  </si>
  <si>
    <t>No. Stages</t>
  </si>
  <si>
    <t>Shaft rpm</t>
  </si>
  <si>
    <t>Case-split orientation</t>
  </si>
  <si>
    <t>Maximum motor Hp</t>
  </si>
  <si>
    <t>Type Factor</t>
  </si>
  <si>
    <t>VSC</t>
  </si>
  <si>
    <t>HSC</t>
  </si>
  <si>
    <t>Flow rate min (gpm)</t>
  </si>
  <si>
    <t>Flow rate max (gpm)</t>
  </si>
  <si>
    <t>Pump head min (ft)</t>
  </si>
  <si>
    <t>Pump head max (ft)</t>
  </si>
  <si>
    <t>Seider Table 22.20 Page 561</t>
  </si>
  <si>
    <t>Centrifugal Motor #1</t>
  </si>
  <si>
    <t>Centrifugal Pump Materials of Construction</t>
  </si>
  <si>
    <t>Seider Table 22.21 Page 562</t>
  </si>
  <si>
    <t>Material</t>
  </si>
  <si>
    <t>Material Factor</t>
  </si>
  <si>
    <t>Cast iron</t>
  </si>
  <si>
    <t>Ductile iron</t>
  </si>
  <si>
    <t>Cast steel</t>
  </si>
  <si>
    <t>Bronze</t>
  </si>
  <si>
    <t>Stainless steel</t>
  </si>
  <si>
    <t>Hastelloy C</t>
  </si>
  <si>
    <t>Monel</t>
  </si>
  <si>
    <t>Nickel</t>
  </si>
  <si>
    <t>Type</t>
  </si>
  <si>
    <t>Head</t>
  </si>
  <si>
    <t>Valid?</t>
  </si>
  <si>
    <t>Motor Type</t>
  </si>
  <si>
    <t>Motor Types</t>
  </si>
  <si>
    <t>Seider Table 22.22 Page 563</t>
  </si>
  <si>
    <t>Name</t>
  </si>
  <si>
    <t>Open, drip-proof</t>
  </si>
  <si>
    <t>Totally enclosed, fan-cooled</t>
  </si>
  <si>
    <t>Explosion-proof</t>
  </si>
  <si>
    <t>Hp min</t>
  </si>
  <si>
    <t>Hp Max</t>
  </si>
  <si>
    <t>Type factor</t>
  </si>
  <si>
    <t>Size factor</t>
  </si>
  <si>
    <t>Material type factor</t>
  </si>
  <si>
    <t>Number of units</t>
  </si>
  <si>
    <t>Uninstalled cost</t>
  </si>
  <si>
    <t>Installed cost</t>
  </si>
  <si>
    <t>Bare cost motor</t>
  </si>
  <si>
    <t>Motor type factor</t>
  </si>
  <si>
    <t>Pump Index</t>
  </si>
  <si>
    <t>Titanium</t>
  </si>
  <si>
    <t>Bare cost</t>
  </si>
  <si>
    <t>Pump type factor</t>
  </si>
  <si>
    <t>Pump brake horsepower</t>
  </si>
  <si>
    <t>Density seawater</t>
  </si>
  <si>
    <t>Pump capacity (gal/min)</t>
  </si>
  <si>
    <t>TOTAL</t>
  </si>
  <si>
    <t>Total Fixed Cost</t>
  </si>
  <si>
    <t>Purchase cost, CE 500</t>
  </si>
  <si>
    <t>Cost per unit, CE 607.5</t>
  </si>
  <si>
    <r>
      <t>m</t>
    </r>
    <r>
      <rPr>
        <vertAlign val="superscript"/>
        <sz val="10"/>
        <color theme="1"/>
        <rFont val="Arial"/>
        <family val="2"/>
      </rPr>
      <t>3</t>
    </r>
    <r>
      <rPr>
        <sz val="10"/>
        <color theme="1"/>
        <rFont val="Arial"/>
        <family val="2"/>
      </rPr>
      <t>/day</t>
    </r>
  </si>
  <si>
    <t>Energy Usage</t>
  </si>
  <si>
    <t xml:space="preserve">Capital Cost </t>
  </si>
  <si>
    <r>
      <t>Unit capacity (m</t>
    </r>
    <r>
      <rPr>
        <b/>
        <vertAlign val="superscript"/>
        <sz val="10"/>
        <color theme="1"/>
        <rFont val="Arial"/>
        <family val="2"/>
      </rPr>
      <t>3</t>
    </r>
    <r>
      <rPr>
        <b/>
        <sz val="10"/>
        <color theme="1"/>
        <rFont val="Arial"/>
        <family val="2"/>
      </rPr>
      <t>/day)</t>
    </r>
  </si>
  <si>
    <t>4 or 2 are best</t>
  </si>
  <si>
    <t>Included in intake</t>
  </si>
  <si>
    <t>Centrifugal Pump Calculations</t>
  </si>
  <si>
    <t>Vacuum Pump Calculations</t>
  </si>
  <si>
    <t>Vacuum Pumps</t>
  </si>
  <si>
    <t>Seider Table 22.32 Page 595</t>
  </si>
  <si>
    <t>Flow rate min (ft^3/min)</t>
  </si>
  <si>
    <t>Flow rate max (ft^3/min)</t>
  </si>
  <si>
    <t>Purchase cost exponent</t>
  </si>
  <si>
    <t>Purchase cost factor</t>
  </si>
  <si>
    <t>CP=(purchase cost factor)*S^(purchase cost exponent)</t>
  </si>
  <si>
    <t>One-stage jet ejector</t>
  </si>
  <si>
    <t>Liquid ring pumps</t>
  </si>
  <si>
    <t>Three-stage claw</t>
  </si>
  <si>
    <t>Screw compressors</t>
  </si>
  <si>
    <r>
      <t>m</t>
    </r>
    <r>
      <rPr>
        <vertAlign val="superscript"/>
        <sz val="10"/>
        <color theme="1"/>
        <rFont val="Arial"/>
        <family val="2"/>
      </rPr>
      <t>3</t>
    </r>
    <r>
      <rPr>
        <sz val="10"/>
        <color theme="1"/>
        <rFont val="Arial"/>
        <family val="2"/>
      </rPr>
      <t>/ft</t>
    </r>
    <r>
      <rPr>
        <vertAlign val="superscript"/>
        <sz val="10"/>
        <color theme="1"/>
        <rFont val="Arial"/>
        <family val="2"/>
      </rPr>
      <t>3</t>
    </r>
  </si>
  <si>
    <t>Cubic feet to cubic meters</t>
  </si>
  <si>
    <t>Days to minutes</t>
  </si>
  <si>
    <t>days/min</t>
  </si>
  <si>
    <t>Constants</t>
  </si>
  <si>
    <t>kg/day</t>
  </si>
  <si>
    <t>ft/min</t>
  </si>
  <si>
    <t>kg/s</t>
  </si>
  <si>
    <t>CO2 Production Rate (At a given extraction efficiency)</t>
  </si>
  <si>
    <r>
      <t>m</t>
    </r>
    <r>
      <rPr>
        <vertAlign val="superscript"/>
        <sz val="10"/>
        <color theme="1"/>
        <rFont val="Arial"/>
        <family val="2"/>
      </rPr>
      <t>3</t>
    </r>
    <r>
      <rPr>
        <sz val="10"/>
        <color theme="1"/>
        <rFont val="Arial"/>
        <family val="2"/>
      </rPr>
      <t>/h</t>
    </r>
  </si>
  <si>
    <t>MGD</t>
  </si>
  <si>
    <t>Energy of vacuum pump (J/kg)</t>
  </si>
  <si>
    <r>
      <t>Pump energy usage (kWh/kg CO</t>
    </r>
    <r>
      <rPr>
        <b/>
        <vertAlign val="subscript"/>
        <sz val="10"/>
        <color theme="1"/>
        <rFont val="Arial"/>
        <family val="2"/>
      </rPr>
      <t>2</t>
    </r>
    <r>
      <rPr>
        <b/>
        <sz val="10"/>
        <color theme="1"/>
        <rFont val="Arial"/>
        <family val="2"/>
      </rPr>
      <t>)</t>
    </r>
  </si>
  <si>
    <t>Centrifugal motor #1</t>
  </si>
  <si>
    <t>Intake piping</t>
  </si>
  <si>
    <t>Centrifugal motor #2</t>
  </si>
  <si>
    <t>Fraction oceanwater</t>
  </si>
  <si>
    <t>Flow rate</t>
  </si>
  <si>
    <t>Centrifugal motor #3</t>
  </si>
  <si>
    <t>As/mol (charge per mol e-s)</t>
  </si>
  <si>
    <t>Faraday's constant</t>
  </si>
  <si>
    <r>
      <t>m</t>
    </r>
    <r>
      <rPr>
        <vertAlign val="superscript"/>
        <sz val="10"/>
        <rFont val="Arial"/>
        <family val="2"/>
      </rPr>
      <t>3</t>
    </r>
    <r>
      <rPr>
        <sz val="10"/>
        <rFont val="Arial"/>
        <family val="2"/>
      </rPr>
      <t>/day</t>
    </r>
  </si>
  <si>
    <r>
      <t>m</t>
    </r>
    <r>
      <rPr>
        <vertAlign val="superscript"/>
        <sz val="10"/>
        <rFont val="Arial"/>
        <family val="2"/>
      </rPr>
      <t>3</t>
    </r>
    <r>
      <rPr>
        <sz val="10"/>
        <rFont val="Arial"/>
        <family val="2"/>
      </rPr>
      <t>/h</t>
    </r>
  </si>
  <si>
    <t>L/s</t>
  </si>
  <si>
    <t>ED Stack Calculations</t>
  </si>
  <si>
    <r>
      <t>Membrane Cost ($/cm</t>
    </r>
    <r>
      <rPr>
        <b/>
        <vertAlign val="superscript"/>
        <sz val="10"/>
        <color theme="1"/>
        <rFont val="Arial"/>
        <family val="2"/>
      </rPr>
      <t>2</t>
    </r>
    <r>
      <rPr>
        <b/>
        <sz val="10"/>
        <color theme="1"/>
        <rFont val="Arial"/>
        <family val="2"/>
      </rPr>
      <t>)</t>
    </r>
  </si>
  <si>
    <t>BPM cost</t>
  </si>
  <si>
    <t>CEM/AEM cost</t>
  </si>
  <si>
    <t>ED Stack</t>
  </si>
  <si>
    <r>
      <t>CO</t>
    </r>
    <r>
      <rPr>
        <b/>
        <vertAlign val="subscript"/>
        <sz val="12"/>
        <color theme="1"/>
        <rFont val="Arial"/>
        <family val="2"/>
      </rPr>
      <t>2</t>
    </r>
    <r>
      <rPr>
        <b/>
        <sz val="12"/>
        <color theme="1"/>
        <rFont val="Arial"/>
        <family val="2"/>
      </rPr>
      <t xml:space="preserve"> Stripping</t>
    </r>
  </si>
  <si>
    <t>Base pressure (Torr)</t>
  </si>
  <si>
    <r>
      <rPr>
        <i/>
        <sz val="10"/>
        <rFont val="Arial"/>
        <family val="2"/>
      </rPr>
      <t>κ</t>
    </r>
    <r>
      <rPr>
        <sz val="10"/>
        <rFont val="Arial"/>
        <family val="2"/>
      </rPr>
      <t>CO</t>
    </r>
    <r>
      <rPr>
        <vertAlign val="subscript"/>
        <sz val="10"/>
        <rFont val="Arial"/>
        <family val="2"/>
      </rPr>
      <t>2</t>
    </r>
    <r>
      <rPr>
        <sz val="10"/>
        <color rgb="FF000000"/>
        <rFont val="Arial"/>
        <family val="2"/>
      </rPr>
      <t xml:space="preserve"> (adibatic constant of CO</t>
    </r>
    <r>
      <rPr>
        <vertAlign val="subscript"/>
        <sz val="10"/>
        <color rgb="FF000000"/>
        <rFont val="Arial"/>
        <family val="2"/>
      </rPr>
      <t>2</t>
    </r>
    <r>
      <rPr>
        <sz val="10"/>
        <color rgb="FF000000"/>
        <rFont val="Arial"/>
        <family val="2"/>
      </rPr>
      <t>)</t>
    </r>
  </si>
  <si>
    <r>
      <rPr>
        <i/>
        <sz val="10"/>
        <rFont val="Arial"/>
        <family val="2"/>
      </rPr>
      <t>κN</t>
    </r>
    <r>
      <rPr>
        <vertAlign val="subscript"/>
        <sz val="10"/>
        <rFont val="Arial"/>
        <family val="2"/>
      </rPr>
      <t>2</t>
    </r>
    <r>
      <rPr>
        <sz val="10"/>
        <color rgb="FF000000"/>
        <rFont val="Arial"/>
        <family val="2"/>
      </rPr>
      <t xml:space="preserve"> (adibatic constant of N</t>
    </r>
    <r>
      <rPr>
        <vertAlign val="subscript"/>
        <sz val="10"/>
        <color rgb="FF000000"/>
        <rFont val="Arial"/>
        <family val="2"/>
      </rPr>
      <t>2</t>
    </r>
    <r>
      <rPr>
        <sz val="10"/>
        <color rgb="FF000000"/>
        <rFont val="Arial"/>
        <family val="2"/>
      </rPr>
      <t>)</t>
    </r>
  </si>
  <si>
    <t>Total Energy Usage</t>
  </si>
  <si>
    <t>Capital Cost</t>
  </si>
  <si>
    <t>Total Capital Cost</t>
  </si>
  <si>
    <r>
      <t>CO</t>
    </r>
    <r>
      <rPr>
        <vertAlign val="subscript"/>
        <sz val="10"/>
        <color theme="1"/>
        <rFont val="Arial"/>
        <family val="2"/>
      </rPr>
      <t xml:space="preserve">2 </t>
    </r>
    <r>
      <rPr>
        <sz val="10"/>
        <color theme="1"/>
        <rFont val="Arial"/>
        <family val="2"/>
      </rPr>
      <t>stripping</t>
    </r>
  </si>
  <si>
    <r>
      <t>CO</t>
    </r>
    <r>
      <rPr>
        <b/>
        <vertAlign val="subscript"/>
        <sz val="10"/>
        <color theme="1"/>
        <rFont val="Arial"/>
        <family val="2"/>
      </rPr>
      <t>2</t>
    </r>
    <r>
      <rPr>
        <b/>
        <sz val="10"/>
        <color theme="1"/>
        <rFont val="Arial"/>
        <family val="2"/>
      </rPr>
      <t xml:space="preserve"> production cost ($/kg)</t>
    </r>
  </si>
  <si>
    <r>
      <t>CO</t>
    </r>
    <r>
      <rPr>
        <b/>
        <vertAlign val="subscript"/>
        <sz val="10"/>
        <color theme="1"/>
        <rFont val="Arial"/>
        <family val="2"/>
      </rPr>
      <t>2</t>
    </r>
    <r>
      <rPr>
        <b/>
        <sz val="10"/>
        <color theme="1"/>
        <rFont val="Arial"/>
        <family val="2"/>
      </rPr>
      <t xml:space="preserve"> cost ($/kg) in year of analysis</t>
    </r>
  </si>
  <si>
    <t>Calculation</t>
  </si>
  <si>
    <r>
      <t>CO</t>
    </r>
    <r>
      <rPr>
        <b/>
        <vertAlign val="subscript"/>
        <sz val="10"/>
        <color theme="1"/>
        <rFont val="Arial"/>
        <family val="2"/>
      </rPr>
      <t>2</t>
    </r>
    <r>
      <rPr>
        <b/>
        <sz val="10"/>
        <color theme="1"/>
        <rFont val="Arial"/>
        <family val="2"/>
      </rPr>
      <t xml:space="preserve"> sales (kg/year)</t>
    </r>
  </si>
  <si>
    <r>
      <t>HCO</t>
    </r>
    <r>
      <rPr>
        <vertAlign val="subscript"/>
        <sz val="10"/>
        <color theme="1"/>
        <rFont val="Arial"/>
        <family val="2"/>
      </rPr>
      <t>3</t>
    </r>
    <r>
      <rPr>
        <vertAlign val="superscript"/>
        <sz val="10"/>
        <color theme="1"/>
        <rFont val="Arial"/>
        <family val="2"/>
      </rPr>
      <t>−</t>
    </r>
  </si>
  <si>
    <r>
      <t>CO</t>
    </r>
    <r>
      <rPr>
        <vertAlign val="subscript"/>
        <sz val="10"/>
        <color theme="1"/>
        <rFont val="Arial"/>
        <family val="2"/>
      </rPr>
      <t>3</t>
    </r>
    <r>
      <rPr>
        <vertAlign val="superscript"/>
        <sz val="10"/>
        <color theme="1"/>
        <rFont val="Arial"/>
        <family val="2"/>
      </rPr>
      <t>2−</t>
    </r>
  </si>
  <si>
    <r>
      <t>H</t>
    </r>
    <r>
      <rPr>
        <vertAlign val="superscript"/>
        <sz val="10"/>
        <color theme="1"/>
        <rFont val="Arial"/>
        <family val="2"/>
      </rPr>
      <t>+</t>
    </r>
  </si>
  <si>
    <r>
      <t>OH</t>
    </r>
    <r>
      <rPr>
        <vertAlign val="superscript"/>
        <sz val="10"/>
        <color theme="1"/>
        <rFont val="Arial"/>
        <family val="2"/>
      </rPr>
      <t>−</t>
    </r>
  </si>
  <si>
    <r>
      <t>H</t>
    </r>
    <r>
      <rPr>
        <vertAlign val="superscript"/>
        <sz val="10"/>
        <color theme="1"/>
        <rFont val="Arial"/>
        <family val="2"/>
      </rPr>
      <t>+</t>
    </r>
    <r>
      <rPr>
        <sz val="10"/>
        <color theme="1"/>
        <rFont val="Arial"/>
        <family val="2"/>
      </rPr>
      <t xml:space="preserve"> / OH− added</t>
    </r>
  </si>
  <si>
    <r>
      <t>1/</t>
    </r>
    <r>
      <rPr>
        <i/>
        <sz val="10"/>
        <color theme="1"/>
        <rFont val="Arial"/>
        <family val="2"/>
      </rPr>
      <t>x</t>
    </r>
    <r>
      <rPr>
        <sz val="10"/>
        <color theme="1"/>
        <rFont val="Arial"/>
        <family val="2"/>
      </rPr>
      <t xml:space="preserve"> processed oceanwater</t>
    </r>
  </si>
  <si>
    <t>Intake energy</t>
  </si>
  <si>
    <t>Screening energy</t>
  </si>
  <si>
    <t>Micro/ultrafiltration energy</t>
  </si>
  <si>
    <t>Nanofiltration energy</t>
  </si>
  <si>
    <t>Electrodialysis energy</t>
  </si>
  <si>
    <r>
      <t>CO</t>
    </r>
    <r>
      <rPr>
        <vertAlign val="subscript"/>
        <sz val="10"/>
        <color theme="1"/>
        <rFont val="Arial"/>
        <family val="2"/>
      </rPr>
      <t xml:space="preserve">2 </t>
    </r>
    <r>
      <rPr>
        <sz val="10"/>
        <color theme="1"/>
        <rFont val="Arial"/>
        <family val="2"/>
      </rPr>
      <t>stripping energy</t>
    </r>
  </si>
  <si>
    <t>Baseline installed cost in basis year dollars</t>
  </si>
  <si>
    <t>Scaled installed cost in startup year dollars</t>
  </si>
  <si>
    <t>Combined plant scaling and inflation factor</t>
  </si>
  <si>
    <t>Cost Factors</t>
  </si>
  <si>
    <t>Item</t>
  </si>
  <si>
    <t>Factor</t>
  </si>
  <si>
    <t>Eisaman Table S1</t>
  </si>
  <si>
    <t>Pumps</t>
  </si>
  <si>
    <t>ED</t>
  </si>
  <si>
    <t>Filters</t>
  </si>
  <si>
    <r>
      <t>CO</t>
    </r>
    <r>
      <rPr>
        <b/>
        <vertAlign val="subscript"/>
        <sz val="18"/>
        <color theme="1"/>
        <rFont val="Arial"/>
        <family val="2"/>
      </rPr>
      <t>2</t>
    </r>
    <r>
      <rPr>
        <b/>
        <sz val="18"/>
        <color theme="1"/>
        <rFont val="Arial"/>
        <family val="2"/>
      </rPr>
      <t xml:space="preserve"> Price</t>
    </r>
  </si>
  <si>
    <t>Other</t>
  </si>
  <si>
    <t>Equipment erection</t>
  </si>
  <si>
    <t>Piping</t>
  </si>
  <si>
    <t>Instrumentation &amp; control</t>
  </si>
  <si>
    <t>Electrical</t>
  </si>
  <si>
    <t>Civil</t>
  </si>
  <si>
    <t>Structures &amp; buildings</t>
  </si>
  <si>
    <t>Lagging &amp; Paint</t>
  </si>
  <si>
    <t>Total ISBL</t>
  </si>
  <si>
    <t>Offsites</t>
  </si>
  <si>
    <t>D&amp;E</t>
  </si>
  <si>
    <t>Contingency</t>
  </si>
  <si>
    <t>T&amp;S Table 7.5, Fluids</t>
  </si>
  <si>
    <t>Total OSBL</t>
  </si>
  <si>
    <t>Use to compare to ID</t>
  </si>
  <si>
    <t>Extractable CO2/Added H+</t>
  </si>
  <si>
    <t>Cash Flow</t>
  </si>
  <si>
    <t>Breakdown by Process Step</t>
  </si>
  <si>
    <t>Frequency</t>
  </si>
  <si>
    <t>Unplanned yearly</t>
  </si>
  <si>
    <t>Unspecified/regular basis</t>
  </si>
  <si>
    <t>Specified: electrodialysis</t>
  </si>
  <si>
    <t>Specified: pre-treatment</t>
  </si>
  <si>
    <t>Specified: gas stripping</t>
  </si>
  <si>
    <t>fixed opex</t>
  </si>
  <si>
    <t>variable opex</t>
  </si>
  <si>
    <t>replacements</t>
  </si>
  <si>
    <t>capex</t>
  </si>
  <si>
    <r>
      <t>mA/cm</t>
    </r>
    <r>
      <rPr>
        <b/>
        <vertAlign val="superscript"/>
        <sz val="10"/>
        <rFont val="Arial"/>
        <family val="2"/>
      </rPr>
      <t>2</t>
    </r>
  </si>
  <si>
    <t>Membrane contactor efficiency</t>
  </si>
  <si>
    <t>Price</t>
  </si>
  <si>
    <t>Initial equity depreciable capital</t>
  </si>
  <si>
    <t>Revenue</t>
  </si>
  <si>
    <t>Taxes</t>
  </si>
  <si>
    <t>Taxes &amp; Working Capital</t>
  </si>
  <si>
    <t>fixed opex (cancels)</t>
  </si>
  <si>
    <t>taxes &amp; working capital</t>
  </si>
  <si>
    <t>revenue</t>
  </si>
  <si>
    <t>X (included in principal + interest)</t>
  </si>
  <si>
    <t>X (sum)</t>
  </si>
  <si>
    <t>%</t>
  </si>
  <si>
    <t>Categorization</t>
  </si>
  <si>
    <t>Category</t>
  </si>
  <si>
    <t>Cost breakdown</t>
  </si>
  <si>
    <r>
      <t>Contribution to CO</t>
    </r>
    <r>
      <rPr>
        <b/>
        <vertAlign val="subscript"/>
        <sz val="10"/>
        <color theme="1"/>
        <rFont val="Arial"/>
        <family val="2"/>
      </rPr>
      <t>2</t>
    </r>
    <r>
      <rPr>
        <b/>
        <sz val="10"/>
        <color theme="1"/>
        <rFont val="Arial"/>
        <family val="2"/>
      </rPr>
      <t xml:space="preserve"> price</t>
    </r>
  </si>
  <si>
    <t>Total CO2 Sales (kg)</t>
  </si>
  <si>
    <t>Calculated without tax coefficient</t>
  </si>
  <si>
    <t>Electricity cost %</t>
  </si>
  <si>
    <t>Replacements %</t>
  </si>
  <si>
    <t>Capital cost %</t>
  </si>
  <si>
    <t>Electrodialysis electricity</t>
  </si>
  <si>
    <t>Label</t>
  </si>
  <si>
    <t>Intake electricity</t>
  </si>
  <si>
    <t>*Includes replacements</t>
  </si>
  <si>
    <t>Detailed Breakdown</t>
  </si>
  <si>
    <t>Intake/screening CapEx</t>
  </si>
  <si>
    <t>Param to vary</t>
  </si>
  <si>
    <t>Values to sweep</t>
  </si>
  <si>
    <t>Parameter Sweep</t>
  </si>
  <si>
    <t>Microfiltration</t>
  </si>
  <si>
    <t>Electrodialysis CapEx</t>
  </si>
  <si>
    <r>
      <t>CO</t>
    </r>
    <r>
      <rPr>
        <vertAlign val="subscript"/>
        <sz val="10"/>
        <color theme="1"/>
        <rFont val="Arial"/>
        <family val="2"/>
      </rPr>
      <t>2</t>
    </r>
    <r>
      <rPr>
        <sz val="10"/>
        <color theme="1"/>
        <rFont val="Arial"/>
        <family val="2"/>
      </rPr>
      <t xml:space="preserve"> stripping CapEx</t>
    </r>
  </si>
  <si>
    <t>Fixed OpEx</t>
  </si>
  <si>
    <t>change in H+ ions due to this species from pH 8.1</t>
  </si>
  <si>
    <t>equilibrium concentrations</t>
  </si>
  <si>
    <r>
      <t>L OW/kg CO</t>
    </r>
    <r>
      <rPr>
        <vertAlign val="subscript"/>
        <sz val="10"/>
        <color theme="1"/>
        <rFont val="Arial"/>
        <family val="2"/>
      </rPr>
      <t>2</t>
    </r>
  </si>
  <si>
    <r>
      <t>CO</t>
    </r>
    <r>
      <rPr>
        <b/>
        <vertAlign val="subscript"/>
        <sz val="12"/>
        <color theme="1"/>
        <rFont val="Arial"/>
        <family val="2"/>
      </rPr>
      <t>2</t>
    </r>
    <r>
      <rPr>
        <b/>
        <sz val="12"/>
        <color theme="1"/>
        <rFont val="Arial"/>
        <family val="2"/>
      </rPr>
      <t xml:space="preserve"> to H+ and Oceanwater Inverconversions</t>
    </r>
  </si>
  <si>
    <t>mol/mol</t>
  </si>
  <si>
    <r>
      <t>Moles H+ added to kg CO</t>
    </r>
    <r>
      <rPr>
        <vertAlign val="subscript"/>
        <sz val="10"/>
        <rFont val="Arial"/>
        <family val="2"/>
      </rPr>
      <t>2</t>
    </r>
  </si>
  <si>
    <r>
      <t>Moles H+ added to moles CO</t>
    </r>
    <r>
      <rPr>
        <vertAlign val="subscript"/>
        <sz val="10"/>
        <rFont val="Arial"/>
        <family val="2"/>
      </rPr>
      <t>2</t>
    </r>
    <r>
      <rPr>
        <sz val="10"/>
        <rFont val="Arial"/>
        <family val="2"/>
      </rPr>
      <t xml:space="preserve"> extracted</t>
    </r>
  </si>
  <si>
    <t>Moles H+ produced by ED to moles H+ in ED stream</t>
  </si>
  <si>
    <t>Membrane Contactors</t>
  </si>
  <si>
    <t>Area (m^2)</t>
  </si>
  <si>
    <t>Price per area ($/m^2)</t>
  </si>
  <si>
    <t>Max liquid flow rate (m^3/hr)</t>
  </si>
  <si>
    <t>Permselect &amp; liquicell websites</t>
  </si>
  <si>
    <t>Assuming liquid flow on shell side (more efficient)</t>
  </si>
  <si>
    <t>Volume (m^3)</t>
  </si>
  <si>
    <t>Packing fraction (m^2/m^3)</t>
  </si>
  <si>
    <t>Thickness (m)</t>
  </si>
  <si>
    <t>Liquicell (PP)</t>
  </si>
  <si>
    <t>Permselect (PDMS)</t>
  </si>
  <si>
    <t>Max flow rate (m^3/hr/m^2)</t>
  </si>
  <si>
    <t>MC type</t>
  </si>
  <si>
    <r>
      <t>Moles H+ added to moles CO</t>
    </r>
    <r>
      <rPr>
        <b/>
        <vertAlign val="subscript"/>
        <sz val="10"/>
        <rFont val="Arial"/>
        <family val="2"/>
      </rPr>
      <t>2</t>
    </r>
    <r>
      <rPr>
        <b/>
        <sz val="10"/>
        <rFont val="Arial"/>
        <family val="2"/>
      </rPr>
      <t xml:space="preserve"> in equilibrium</t>
    </r>
  </si>
  <si>
    <t>Electricity cost $/ton</t>
  </si>
  <si>
    <t>Replacements $/ton</t>
  </si>
  <si>
    <t>Capital cost $/ton</t>
  </si>
  <si>
    <t>Desal Table 17.4 (~buildings + electrical)</t>
  </si>
  <si>
    <r>
      <t xml:space="preserve">Replacement costs (15% of </t>
    </r>
    <r>
      <rPr>
        <i/>
        <sz val="10"/>
        <color theme="1"/>
        <rFont val="Arial"/>
        <family val="2"/>
      </rPr>
      <t>remaining</t>
    </r>
    <r>
      <rPr>
        <sz val="10"/>
        <color theme="1"/>
        <rFont val="Arial"/>
        <family val="2"/>
      </rPr>
      <t xml:space="preserve"> depreciable capital cost/5 year)</t>
    </r>
  </si>
  <si>
    <t>Desal Fig 6.8. HDPE, offshore intake, 10 m of piping</t>
  </si>
  <si>
    <t>Desal Fig 8.14, microscreen to go with MF/UF</t>
  </si>
  <si>
    <t>Desal pg 315</t>
  </si>
  <si>
    <t>6/10 rule</t>
  </si>
  <si>
    <t>Extrapolation</t>
  </si>
  <si>
    <t>Desal Table 14.1</t>
  </si>
  <si>
    <r>
      <t>m</t>
    </r>
    <r>
      <rPr>
        <vertAlign val="superscript"/>
        <sz val="10"/>
        <color theme="1"/>
        <rFont val="Arial"/>
        <family val="2"/>
      </rPr>
      <t>3</t>
    </r>
    <r>
      <rPr>
        <sz val="10"/>
        <color theme="1"/>
        <rFont val="Arial"/>
        <family val="2"/>
      </rPr>
      <t>/gal</t>
    </r>
  </si>
  <si>
    <t>Gallons to cubic meters</t>
  </si>
  <si>
    <t>Desal table 14.23 and following pages</t>
  </si>
  <si>
    <t>2D Parameter Sweep</t>
  </si>
  <si>
    <t>Param to vary 1</t>
  </si>
  <si>
    <t>Param to vary 2</t>
  </si>
  <si>
    <t>extraction_efficiency</t>
  </si>
  <si>
    <t>[H+] in acid stream needed to achieve target pH above</t>
  </si>
  <si>
    <r>
      <t>[CO</t>
    </r>
    <r>
      <rPr>
        <vertAlign val="subscript"/>
        <sz val="10"/>
        <color theme="1"/>
        <rFont val="Arial"/>
        <family val="2"/>
      </rPr>
      <t>2</t>
    </r>
    <r>
      <rPr>
        <sz val="10"/>
        <color theme="1"/>
        <rFont val="Arial"/>
        <family val="2"/>
      </rPr>
      <t>]/s at oceanwater target pH (</t>
    </r>
    <r>
      <rPr>
        <sz val="10"/>
        <color theme="1"/>
        <rFont val="Arial"/>
        <family val="2"/>
      </rPr>
      <t>*nonEq)</t>
    </r>
  </si>
  <si>
    <t>[H+]/s added to OW stream to achieve target pH (*nonEq)</t>
  </si>
  <si>
    <t>Catalytic turnover factor (*nonEq unless CTF=1)</t>
  </si>
  <si>
    <t>Calculated ctf (for varying extraction efficiency)</t>
  </si>
  <si>
    <t>Secondary result</t>
  </si>
  <si>
    <t>secondary result</t>
  </si>
  <si>
    <t>Catalytic turnover number (Eq)</t>
  </si>
  <si>
    <t>Calculated extraction efficiency (for varying ctf)</t>
  </si>
  <si>
    <t>Extraction efficiency (= cell below when varying ctf)</t>
  </si>
  <si>
    <t>Also calculate</t>
  </si>
  <si>
    <t>ctn_calc</t>
  </si>
  <si>
    <t>Equlibirum Line</t>
  </si>
  <si>
    <t>x</t>
  </si>
  <si>
    <t>y</t>
  </si>
  <si>
    <t>$100/ton Line</t>
  </si>
  <si>
    <t>Proportionality</t>
  </si>
  <si>
    <t>Extraction Efficiency</t>
  </si>
  <si>
    <t>primary result (price)</t>
  </si>
  <si>
    <t>t CO2/year in Eisaman analysis</t>
  </si>
  <si>
    <t>Eisaman</t>
  </si>
  <si>
    <t>Seider</t>
  </si>
  <si>
    <t>kmol/hr</t>
  </si>
  <si>
    <t>tons/year</t>
  </si>
  <si>
    <t>tons/yr</t>
  </si>
  <si>
    <t>1 bar included in microfiltration pumping</t>
  </si>
  <si>
    <t>Desal fig 12.11, redid fit as polynomial</t>
  </si>
  <si>
    <t>voltage</t>
  </si>
  <si>
    <t>Liquicell/Eisaman</t>
  </si>
  <si>
    <t>Partial presure in (Torr)</t>
  </si>
  <si>
    <t>Partial pressure out (Torr)</t>
  </si>
  <si>
    <t>Electricity price</t>
  </si>
  <si>
    <t>0.5x</t>
  </si>
  <si>
    <t>Nanofiltration CapEx</t>
  </si>
  <si>
    <t>Membrane contactor cost</t>
  </si>
  <si>
    <t>ED membrane cost</t>
  </si>
  <si>
    <t>ED voltage</t>
  </si>
  <si>
    <t>ED current density</t>
  </si>
  <si>
    <t>Intake piping cost</t>
  </si>
  <si>
    <t>1x</t>
  </si>
  <si>
    <t>1.5x</t>
  </si>
  <si>
    <t>Sensitivity Analysis: megaton scale, $0.02/kWh</t>
  </si>
  <si>
    <t>Sensitivity Analysis: 10 kiloton scale, $0.05/kWh</t>
  </si>
  <si>
    <t>50% less</t>
  </si>
  <si>
    <t>50% more</t>
  </si>
  <si>
    <t>cap_factor</t>
  </si>
  <si>
    <t>elec_cost</t>
  </si>
  <si>
    <t>PV system</t>
  </si>
  <si>
    <t>Included in intake pumping, desal pg 248</t>
  </si>
  <si>
    <t>Included in intake pumping, from Liquicell spec sheet</t>
  </si>
  <si>
    <t>5 m (intake) + 0.5 bar (membrane contactor) + 0.25 bar (screening)</t>
  </si>
  <si>
    <t>Assuming CTN=1</t>
  </si>
  <si>
    <t>Oceanwater volume to extracted CO2 volume</t>
  </si>
  <si>
    <r>
      <t>L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>/L</t>
    </r>
    <r>
      <rPr>
        <vertAlign val="subscript"/>
        <sz val="10"/>
        <color theme="1"/>
        <rFont val="Arial"/>
        <family val="2"/>
      </rPr>
      <t>CO2</t>
    </r>
  </si>
  <si>
    <t>https://vacaero.com/information-resources/vacuum-pump-technology-education-and-training/1039-an-introduction-to-vacuum-pumps.html</t>
  </si>
  <si>
    <t>Three-stage lobe (roots)</t>
  </si>
  <si>
    <t>Not possible to separate working fluid from output</t>
  </si>
  <si>
    <t>Some amount of liquid in output. Can pump down from atmosphere, good option</t>
  </si>
  <si>
    <t>Low pumping efficiency from atm – would likely need backing pump</t>
  </si>
  <si>
    <r>
      <t>CO</t>
    </r>
    <r>
      <rPr>
        <b/>
        <vertAlign val="subscript"/>
        <sz val="10"/>
        <color theme="1"/>
        <rFont val="Arial"/>
        <family val="2"/>
      </rPr>
      <t>2</t>
    </r>
    <r>
      <rPr>
        <b/>
        <sz val="10"/>
        <color theme="1"/>
        <rFont val="Arial"/>
        <family val="2"/>
      </rPr>
      <t xml:space="preserve"> pumping speed (kg/s)</t>
    </r>
  </si>
  <si>
    <r>
      <t>Unit capacity, OW (m</t>
    </r>
    <r>
      <rPr>
        <b/>
        <vertAlign val="superscript"/>
        <sz val="10"/>
        <color theme="1"/>
        <rFont val="Arial"/>
        <family val="2"/>
      </rPr>
      <t>3</t>
    </r>
    <r>
      <rPr>
        <b/>
        <sz val="10"/>
        <color theme="1"/>
        <rFont val="Arial"/>
        <family val="2"/>
      </rPr>
      <t>/day)</t>
    </r>
  </si>
  <si>
    <r>
      <t>m</t>
    </r>
    <r>
      <rPr>
        <vertAlign val="superscript"/>
        <sz val="10"/>
        <color theme="1"/>
        <rFont val="Arial"/>
        <family val="2"/>
      </rPr>
      <t>3</t>
    </r>
    <r>
      <rPr>
        <sz val="10"/>
        <color theme="1"/>
        <rFont val="Arial"/>
        <family val="2"/>
      </rPr>
      <t>/h (air, pumping)</t>
    </r>
  </si>
  <si>
    <t>Torr to pascal</t>
  </si>
  <si>
    <t>Pa/torr</t>
  </si>
  <si>
    <t>For STP</t>
  </si>
  <si>
    <r>
      <t>Flow rate min (m</t>
    </r>
    <r>
      <rPr>
        <b/>
        <vertAlign val="superscript"/>
        <sz val="10"/>
        <color theme="1"/>
        <rFont val="Arial"/>
        <family val="2"/>
      </rPr>
      <t>3</t>
    </r>
    <r>
      <rPr>
        <b/>
        <sz val="10"/>
        <color theme="1"/>
        <rFont val="Arial"/>
        <family val="2"/>
      </rPr>
      <t>/hr)</t>
    </r>
  </si>
  <si>
    <r>
      <t>Flow rate max (m</t>
    </r>
    <r>
      <rPr>
        <b/>
        <vertAlign val="superscript"/>
        <sz val="10"/>
        <color theme="1"/>
        <rFont val="Arial"/>
        <family val="2"/>
      </rPr>
      <t>3</t>
    </r>
    <r>
      <rPr>
        <b/>
        <sz val="10"/>
        <color theme="1"/>
        <rFont val="Arial"/>
        <family val="2"/>
      </rPr>
      <t>/hr)</t>
    </r>
  </si>
  <si>
    <r>
      <t>Pump capacity (m</t>
    </r>
    <r>
      <rPr>
        <b/>
        <vertAlign val="superscript"/>
        <sz val="10"/>
        <color theme="1"/>
        <rFont val="Arial"/>
        <family val="2"/>
      </rPr>
      <t>3</t>
    </r>
    <r>
      <rPr>
        <b/>
        <sz val="10"/>
        <color theme="1"/>
        <rFont val="Arial"/>
        <family val="2"/>
      </rPr>
      <t>/h)</t>
    </r>
  </si>
  <si>
    <r>
      <t>CO</t>
    </r>
    <r>
      <rPr>
        <b/>
        <vertAlign val="subscript"/>
        <sz val="10"/>
        <color theme="1"/>
        <rFont val="Arial"/>
        <family val="2"/>
      </rPr>
      <t>2</t>
    </r>
    <r>
      <rPr>
        <b/>
        <sz val="10"/>
        <color theme="1"/>
        <rFont val="Arial"/>
        <family val="2"/>
      </rPr>
      <t xml:space="preserve"> pumping speed (mol/s)</t>
    </r>
  </si>
  <si>
    <t>Pump power consumption (W)</t>
  </si>
  <si>
    <t>Electrical efficiency</t>
  </si>
  <si>
    <t>Power consumption is the work of adiabatic compression. Note that this is for ALL pumps, not just for one pump – multiplied by # of pumps.</t>
  </si>
  <si>
    <t>""</t>
  </si>
  <si>
    <t>10 kilotons/year</t>
  </si>
  <si>
    <t>1 megaton/year</t>
  </si>
  <si>
    <t>Partial pressure in</t>
  </si>
  <si>
    <r>
      <t>m</t>
    </r>
    <r>
      <rPr>
        <vertAlign val="superscript"/>
        <sz val="10"/>
        <color theme="1"/>
        <rFont val="Arial"/>
        <family val="2"/>
      </rPr>
      <t>3</t>
    </r>
    <r>
      <rPr>
        <sz val="10"/>
        <color theme="1"/>
        <rFont val="Arial"/>
        <family val="2"/>
      </rPr>
      <t xml:space="preserve"> CO</t>
    </r>
    <r>
      <rPr>
        <vertAlign val="subscript"/>
        <sz val="10"/>
        <color theme="1"/>
        <rFont val="Arial"/>
        <family val="2"/>
      </rPr>
      <t>2</t>
    </r>
    <r>
      <rPr>
        <sz val="10"/>
        <color theme="1"/>
        <rFont val="Arial"/>
        <family val="2"/>
      </rPr>
      <t>/h</t>
    </r>
  </si>
  <si>
    <t>Max flow rates updated from:</t>
  </si>
  <si>
    <r>
      <t>Pump power (W/(m</t>
    </r>
    <r>
      <rPr>
        <b/>
        <vertAlign val="superscript"/>
        <sz val="10"/>
        <color theme="1"/>
        <rFont val="Arial"/>
        <family val="2"/>
      </rPr>
      <t>3</t>
    </r>
    <r>
      <rPr>
        <b/>
        <sz val="10"/>
        <color theme="1"/>
        <rFont val="Arial"/>
        <family val="2"/>
      </rPr>
      <t>/hr))</t>
    </r>
  </si>
  <si>
    <t>x processed OW</t>
  </si>
  <si>
    <r>
      <rPr>
        <i/>
        <sz val="10"/>
        <color theme="1"/>
        <rFont val="Arial"/>
        <family val="2"/>
      </rPr>
      <t>x</t>
    </r>
    <r>
      <rPr>
        <sz val="10"/>
        <color theme="1"/>
        <rFont val="Arial"/>
        <family val="2"/>
      </rPr>
      <t xml:space="preserve"> electrodialyzed oceanwater for acidified stream</t>
    </r>
  </si>
  <si>
    <t>1/x =</t>
  </si>
  <si>
    <t>Calculated ctn (for varying extraction efficiency or ctf)</t>
  </si>
  <si>
    <t>CTF = 2</t>
  </si>
  <si>
    <t>Fixed OpEx &amp; Other</t>
  </si>
  <si>
    <r>
      <t>Eisaman's TEA shows much higher CO</t>
    </r>
    <r>
      <rPr>
        <b/>
        <vertAlign val="subscript"/>
        <sz val="14"/>
        <color theme="1"/>
        <rFont val="Arial"/>
        <family val="2"/>
      </rPr>
      <t>2</t>
    </r>
    <r>
      <rPr>
        <b/>
        <sz val="14"/>
        <color theme="1"/>
        <rFont val="Arial"/>
        <family val="2"/>
      </rPr>
      <t xml:space="preserve"> cost than ours. Why? </t>
    </r>
  </si>
  <si>
    <t>1. Difference in scale</t>
  </si>
  <si>
    <t>Eisaman:</t>
  </si>
  <si>
    <t>Us:</t>
  </si>
  <si>
    <t>Scale (tons/yr)</t>
  </si>
  <si>
    <t>Cost ($/kg)</t>
  </si>
  <si>
    <r>
      <t>ft</t>
    </r>
    <r>
      <rPr>
        <vertAlign val="superscript"/>
        <sz val="10"/>
        <color theme="1"/>
        <rFont val="Arial"/>
        <family val="2"/>
      </rPr>
      <t>3</t>
    </r>
    <r>
      <rPr>
        <sz val="10"/>
        <color theme="1"/>
        <rFont val="Arial"/>
        <family val="2"/>
      </rPr>
      <t xml:space="preserve"> CO</t>
    </r>
    <r>
      <rPr>
        <vertAlign val="subscript"/>
        <sz val="10"/>
        <color theme="1"/>
        <rFont val="Arial"/>
        <family val="2"/>
      </rPr>
      <t>2</t>
    </r>
    <r>
      <rPr>
        <sz val="10"/>
        <color theme="1"/>
        <rFont val="Arial"/>
        <family val="2"/>
      </rPr>
      <t>/min</t>
    </r>
  </si>
  <si>
    <t>(assuming 100 mA/cm2 and 2.5 V)</t>
  </si>
  <si>
    <t>Our costs are relatively close if you compare their co-location, best case to ours (but theirs doesn't include costs of intake &amp; micro/ultrafiltration)</t>
  </si>
  <si>
    <t>Best case, co-location, acid process</t>
  </si>
  <si>
    <t>Fixed OpEx $/ton</t>
  </si>
  <si>
    <t>Waste $/ton</t>
  </si>
  <si>
    <t>BoP</t>
  </si>
  <si>
    <t>Us</t>
  </si>
  <si>
    <t>100 mA/cm2, 2.5 V, same scale as theirs</t>
  </si>
  <si>
    <t>2. We assume a floating platform, much smaller intake costs</t>
  </si>
  <si>
    <t>Them</t>
  </si>
  <si>
    <t>Electricity price $/kWh</t>
  </si>
  <si>
    <t>MC cost $/m^3/hr</t>
  </si>
  <si>
    <t>ED membrane cost $/m^2</t>
  </si>
  <si>
    <t>Intake $M/MGD</t>
  </si>
  <si>
    <t>Outfall $M/MGD</t>
  </si>
  <si>
    <t>Pretreatment $M/MGD</t>
  </si>
  <si>
    <t>3. We may be underestimating nanofiltration capital costs</t>
  </si>
  <si>
    <t>Co-location, acid process</t>
  </si>
  <si>
    <t>Qty</t>
  </si>
  <si>
    <t>Purch. Cost ($/Unit)</t>
  </si>
  <si>
    <t>Purch Cost ($)</t>
  </si>
  <si>
    <t>Cost Factor</t>
  </si>
  <si>
    <t>Installed Cost</t>
  </si>
  <si>
    <t>Membrane contactor CO2</t>
  </si>
  <si>
    <t>Nanofilter</t>
  </si>
  <si>
    <t>RO Concentrator</t>
  </si>
  <si>
    <t>Clarifier</t>
  </si>
  <si>
    <t>Ion exchange</t>
  </si>
  <si>
    <t>ED package</t>
  </si>
  <si>
    <t>Vacuum pump</t>
  </si>
  <si>
    <t>Vacuum pump chiller</t>
  </si>
  <si>
    <t>needed for demineralized water</t>
  </si>
  <si>
    <t>needed for divalent cation removal</t>
  </si>
  <si>
    <t>We can achieve a pretty good match if we increase CapEx at multiple steps</t>
  </si>
  <si>
    <t>Fixed OpEx; Taxes</t>
  </si>
  <si>
    <t>Increase CapEx by 20x (to include outfall too)</t>
  </si>
  <si>
    <t>Increase CapEx by 10x</t>
  </si>
  <si>
    <t>CO2 stripping</t>
  </si>
  <si>
    <t>Keep labor the same, multiply CapEx by 0.25</t>
  </si>
  <si>
    <t>ED CapEx &amp; Replacements</t>
  </si>
  <si>
    <t>BoP CapEx</t>
  </si>
  <si>
    <t>ED Electricity</t>
  </si>
  <si>
    <t>BoP Electricity</t>
  </si>
  <si>
    <t>Check sum</t>
  </si>
  <si>
    <t>Total cost</t>
  </si>
  <si>
    <t>Our baseline</t>
  </si>
  <si>
    <t>Smaller scale</t>
  </si>
  <si>
    <t>1 megaton to 7709 tons</t>
  </si>
  <si>
    <t>Worse ED performance</t>
  </si>
  <si>
    <t>500 to 100 mA/cm^2</t>
  </si>
  <si>
    <t>Higher electricity price</t>
  </si>
  <si>
    <t>$0.02 to $0.049/kWh</t>
  </si>
  <si>
    <t>Onshore intake &amp; outfall</t>
  </si>
  <si>
    <t xml:space="preserve">20x intake CapEx </t>
  </si>
  <si>
    <t>LINKED</t>
  </si>
  <si>
    <t>future</t>
  </si>
  <si>
    <t>torr</t>
  </si>
  <si>
    <r>
      <t>CO</t>
    </r>
    <r>
      <rPr>
        <b/>
        <vertAlign val="subscript"/>
        <sz val="10"/>
        <color theme="1"/>
        <rFont val="Arial"/>
        <family val="2"/>
      </rPr>
      <t>2</t>
    </r>
    <r>
      <rPr>
        <b/>
        <sz val="10"/>
        <color theme="1"/>
        <rFont val="Arial"/>
        <family val="2"/>
      </rPr>
      <t xml:space="preserve"> volumetric flow rate</t>
    </r>
  </si>
  <si>
    <t>equilibrium lfr/gfr</t>
  </si>
  <si>
    <t>Coincidence that this is the same as the OW flow rate at 35 Torr? Yes</t>
  </si>
  <si>
    <t>Extraction efficiency</t>
  </si>
  <si>
    <t>Liquid flow rate</t>
  </si>
  <si>
    <t>Gas flow rate</t>
  </si>
  <si>
    <t>Ratio of flow rates</t>
  </si>
  <si>
    <r>
      <t>CO</t>
    </r>
    <r>
      <rPr>
        <vertAlign val="subscript"/>
        <sz val="10"/>
        <color theme="1"/>
        <rFont val="Arial"/>
        <family val="2"/>
      </rPr>
      <t>2</t>
    </r>
    <r>
      <rPr>
        <sz val="10"/>
        <color theme="1"/>
        <rFont val="Arial"/>
        <family val="2"/>
      </rPr>
      <t xml:space="preserve"> partial pressure (Torr)</t>
    </r>
  </si>
  <si>
    <t>Torr</t>
  </si>
  <si>
    <t>1/min</t>
  </si>
  <si>
    <t>current or future?</t>
  </si>
  <si>
    <t>equilibrium or steady-state (0D model)?</t>
  </si>
  <si>
    <t>kg/L (ss)</t>
  </si>
  <si>
    <r>
      <t>Oceanwater volume to extracted CO</t>
    </r>
    <r>
      <rPr>
        <b/>
        <vertAlign val="subscript"/>
        <sz val="10"/>
        <color rgb="FF000000"/>
        <rFont val="Arial"/>
        <family val="2"/>
      </rPr>
      <t>2</t>
    </r>
    <r>
      <rPr>
        <b/>
        <sz val="10"/>
        <color rgb="FF000000"/>
        <rFont val="Arial"/>
        <family val="2"/>
      </rPr>
      <t xml:space="preserve"> weight (ss)</t>
    </r>
  </si>
  <si>
    <r>
      <t>Oceanwater volume to extracted CO</t>
    </r>
    <r>
      <rPr>
        <vertAlign val="subscript"/>
        <sz val="10"/>
        <color rgb="FF000000"/>
        <rFont val="Arial"/>
        <family val="2"/>
      </rPr>
      <t>2</t>
    </r>
    <r>
      <rPr>
        <sz val="10"/>
        <color rgb="FF000000"/>
        <rFont val="Arial"/>
        <family val="2"/>
      </rPr>
      <t xml:space="preserve"> weight (ss)</t>
    </r>
  </si>
  <si>
    <r>
      <t>kg/m</t>
    </r>
    <r>
      <rPr>
        <vertAlign val="superscript"/>
        <sz val="10"/>
        <color theme="1"/>
        <rFont val="Arial"/>
        <family val="2"/>
      </rPr>
      <t>3</t>
    </r>
    <r>
      <rPr>
        <sz val="10"/>
        <color theme="1"/>
        <rFont val="Arial"/>
        <family val="2"/>
      </rPr>
      <t xml:space="preserve"> (ss)</t>
    </r>
  </si>
  <si>
    <t>Steady-state</t>
  </si>
  <si>
    <r>
      <t>CO2 pumping speed (m</t>
    </r>
    <r>
      <rPr>
        <b/>
        <vertAlign val="superscript"/>
        <sz val="10"/>
        <color theme="1"/>
        <rFont val="Arial"/>
        <family val="2"/>
      </rPr>
      <t>3</t>
    </r>
    <r>
      <rPr>
        <b/>
        <sz val="10"/>
        <color theme="1"/>
        <rFont val="Arial"/>
        <family val="2"/>
      </rPr>
      <t>/day)</t>
    </r>
  </si>
  <si>
    <t>0D Model Calculations</t>
  </si>
  <si>
    <t>Assume vols are equal at min number of each. If lfr multiplier &gt; 1, need lower gfr and more VPs. If multiplier &lt; 1, need lower lfr and more MCs.</t>
  </si>
  <si>
    <t>Seider. Not rounding for ease of lfr/gfr calculation</t>
  </si>
  <si>
    <r>
      <t>Since the pressure is the partial pressure of CO</t>
    </r>
    <r>
      <rPr>
        <vertAlign val="subscript"/>
        <sz val="10"/>
        <color rgb="FF000000"/>
        <rFont val="Arial"/>
        <family val="2"/>
      </rPr>
      <t>2</t>
    </r>
    <r>
      <rPr>
        <sz val="10"/>
        <color rgb="FF000000"/>
        <rFont val="Arial"/>
        <family val="2"/>
      </rPr>
      <t>, we don't need to multiply by the fraction of the gas that is CO</t>
    </r>
    <r>
      <rPr>
        <vertAlign val="subscript"/>
        <sz val="10"/>
        <color rgb="FF000000"/>
        <rFont val="Arial"/>
        <family val="2"/>
      </rPr>
      <t>2</t>
    </r>
    <r>
      <rPr>
        <sz val="10"/>
        <color rgb="FF000000"/>
        <rFont val="Arial"/>
        <family val="2"/>
      </rPr>
      <t xml:space="preserve"> (Dalton's Law).</t>
    </r>
  </si>
  <si>
    <t>(copy-paste this when varying pressure)</t>
  </si>
  <si>
    <t>150 Torr</t>
  </si>
  <si>
    <t>70 Torr</t>
  </si>
  <si>
    <t>20 Torr</t>
  </si>
  <si>
    <t>2 Torr</t>
  </si>
  <si>
    <t>vacuum</t>
  </si>
  <si>
    <t>membrane contactor</t>
  </si>
  <si>
    <t>Max lfr (1/min)</t>
  </si>
  <si>
    <t>Lfr</t>
  </si>
  <si>
    <t>Max MC Lfr</t>
  </si>
  <si>
    <t>Unit capacity</t>
  </si>
  <si>
    <t>Max unit capacity</t>
  </si>
  <si>
    <t>steady-state</t>
  </si>
  <si>
    <t>Area</t>
  </si>
  <si>
    <t>Thickness</t>
  </si>
  <si>
    <t>m^2</t>
  </si>
  <si>
    <t>Henry's constant</t>
  </si>
  <si>
    <t>CO2 dissolved</t>
  </si>
  <si>
    <t>Head gas</t>
  </si>
  <si>
    <t>Gas permeability</t>
  </si>
  <si>
    <t>m</t>
  </si>
  <si>
    <t>mM/atm</t>
  </si>
  <si>
    <t>mM</t>
  </si>
  <si>
    <t>Atm</t>
  </si>
  <si>
    <t>mol*m/(m^2 s Pa)</t>
  </si>
  <si>
    <t>L/min</t>
  </si>
  <si>
    <t xml:space="preserve">Rate </t>
  </si>
  <si>
    <t xml:space="preserve"> mol/s</t>
  </si>
  <si>
    <t>50% H2O</t>
  </si>
  <si>
    <t>40-50 Torr</t>
  </si>
  <si>
    <t>50% CO2</t>
  </si>
  <si>
    <t>Partial pressure of CO2 is 25 Torr</t>
  </si>
  <si>
    <t>CO₂</t>
  </si>
  <si>
    <t>OH⁻</t>
  </si>
  <si>
    <t>HCO₃⁻</t>
  </si>
  <si>
    <t>H⁺</t>
  </si>
  <si>
    <r>
      <t>CO₃²</t>
    </r>
    <r>
      <rPr>
        <vertAlign val="superscript"/>
        <sz val="10"/>
        <color theme="1"/>
        <rFont val="Arial"/>
        <family val="2"/>
      </rPr>
      <t>⁻</t>
    </r>
  </si>
  <si>
    <t>current_density</t>
  </si>
  <si>
    <t>CapEx</t>
  </si>
  <si>
    <t>Variable OpEx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</si>
</sst>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7">
    <numFmt numFmtId="5" formatCode="&quot;$&quot;#,##0_);\(&quot;$&quot;#,##0\)"/>
    <numFmt numFmtId="6" formatCode="&quot;$&quot;#,##0_);[Red]\(&quot;$&quot;#,##0\)"/>
    <numFmt numFmtId="8" formatCode="&quot;$&quot;#,##0.00_);[Red]\(&quot;$&quot;#,##0.00\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&quot;$&quot;* #,##0_);_(&quot;$&quot;* \(#,##0\);_(&quot;$&quot;* &quot;-&quot;??_);_(@_)"/>
    <numFmt numFmtId="165" formatCode="&quot;$&quot;#,##0"/>
    <numFmt numFmtId="166" formatCode="&quot;$&quot;#,##0.00"/>
    <numFmt numFmtId="167" formatCode="0;;&quot;Constant debt&quot;"/>
    <numFmt numFmtId="168" formatCode="0.0%"/>
    <numFmt numFmtId="169" formatCode="0.000"/>
    <numFmt numFmtId="170" formatCode="&quot;$&quot;#,##0.0000000000"/>
    <numFmt numFmtId="171" formatCode="0.00000%"/>
    <numFmt numFmtId="172" formatCode="&quot;$&quot;#,##0.000000"/>
    <numFmt numFmtId="173" formatCode="#,##0;\(#,##0\)"/>
    <numFmt numFmtId="174" formatCode="#,##0.000000000_);\(#,##0.000000000\)"/>
    <numFmt numFmtId="175" formatCode="#,##0.000"/>
    <numFmt numFmtId="176" formatCode="0.0"/>
    <numFmt numFmtId="177" formatCode="_(* #,##0_);_(* \(#,##0\);_(* &quot;-&quot;??_);_(@_)"/>
    <numFmt numFmtId="178" formatCode="_(* #,##0.0_);_(* \(#,##0.0\);_(* &quot;-&quot;_);_(@_)"/>
    <numFmt numFmtId="179" formatCode="_(* #,##0.00_);_(* \(#,##0.00\);_(* &quot;-&quot;_);_(@_)"/>
    <numFmt numFmtId="180" formatCode="_(* #,##0.000_);_(* \(#,##0.000\);_(* &quot;-&quot;_);_(@_)"/>
    <numFmt numFmtId="181" formatCode="&quot;$&quot;#,##0.00000"/>
    <numFmt numFmtId="182" formatCode="&quot;$&quot;#,##0.000"/>
    <numFmt numFmtId="183" formatCode="&quot;$&quot;#,##0.0"/>
    <numFmt numFmtId="184" formatCode="_(* #,##0.0_);_(* \(#,##0.0\);_(* &quot;-&quot;??_);_(@_)"/>
  </numFmts>
  <fonts count="41" x14ac:knownFonts="1"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b/>
      <sz val="12"/>
      <color theme="1"/>
      <name val="Arial"/>
      <family val="2"/>
    </font>
    <font>
      <sz val="10"/>
      <name val="Arial"/>
      <family val="2"/>
    </font>
    <font>
      <vertAlign val="subscript"/>
      <sz val="10"/>
      <name val="Arial"/>
      <family val="2"/>
    </font>
    <font>
      <i/>
      <sz val="10"/>
      <color theme="1"/>
      <name val="Arial"/>
      <family val="2"/>
    </font>
    <font>
      <vertAlign val="superscript"/>
      <sz val="10"/>
      <name val="Arial"/>
      <family val="2"/>
    </font>
    <font>
      <b/>
      <sz val="10"/>
      <color theme="1"/>
      <name val="Arial"/>
      <family val="2"/>
    </font>
    <font>
      <b/>
      <sz val="12"/>
      <name val="Arial"/>
      <family val="2"/>
    </font>
    <font>
      <b/>
      <sz val="18"/>
      <color theme="1"/>
      <name val="Arial"/>
      <family val="2"/>
    </font>
    <font>
      <vertAlign val="subscript"/>
      <sz val="10"/>
      <color theme="1"/>
      <name val="Arial"/>
      <family val="2"/>
    </font>
    <font>
      <b/>
      <vertAlign val="subscript"/>
      <sz val="12"/>
      <color theme="1"/>
      <name val="Arial"/>
      <family val="2"/>
    </font>
    <font>
      <b/>
      <sz val="10"/>
      <name val="Arial"/>
      <family val="2"/>
    </font>
    <font>
      <u/>
      <sz val="11"/>
      <color theme="10"/>
      <name val="Calibri"/>
      <family val="2"/>
      <scheme val="minor"/>
    </font>
    <font>
      <b/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b/>
      <sz val="12"/>
      <color rgb="FF000000"/>
      <name val="Arial"/>
      <family val="2"/>
    </font>
    <font>
      <sz val="10"/>
      <color rgb="FF000000"/>
      <name val="Arial"/>
      <family val="2"/>
    </font>
    <font>
      <b/>
      <sz val="10"/>
      <color rgb="FF000000"/>
      <name val="Arial"/>
      <family val="2"/>
    </font>
    <font>
      <i/>
      <sz val="10"/>
      <color rgb="FF000000"/>
      <name val="Arial"/>
      <family val="2"/>
    </font>
    <font>
      <sz val="10"/>
      <color rgb="FFFF0000"/>
      <name val="Arial"/>
      <family val="2"/>
    </font>
    <font>
      <i/>
      <sz val="10"/>
      <name val="Arial"/>
      <family val="2"/>
    </font>
    <font>
      <b/>
      <vertAlign val="subscript"/>
      <sz val="18"/>
      <color theme="1"/>
      <name val="Arial"/>
      <family val="2"/>
    </font>
    <font>
      <vertAlign val="superscript"/>
      <sz val="10"/>
      <color theme="1"/>
      <name val="Arial"/>
      <family val="2"/>
    </font>
    <font>
      <b/>
      <i/>
      <sz val="10"/>
      <color theme="1"/>
      <name val="Arial"/>
      <family val="2"/>
    </font>
    <font>
      <vertAlign val="subscript"/>
      <sz val="10"/>
      <color rgb="FF000000"/>
      <name val="Arial"/>
      <family val="2"/>
    </font>
    <font>
      <u/>
      <sz val="10"/>
      <color theme="10"/>
      <name val="Arial"/>
      <family val="2"/>
    </font>
    <font>
      <sz val="10"/>
      <color rgb="FF222222"/>
      <name val="Arial"/>
      <family val="2"/>
    </font>
    <font>
      <b/>
      <sz val="10"/>
      <color rgb="FFFF0000"/>
      <name val="Arial"/>
      <family val="2"/>
    </font>
    <font>
      <sz val="12"/>
      <color theme="1"/>
      <name val="Arial"/>
      <family val="2"/>
    </font>
    <font>
      <b/>
      <u/>
      <sz val="10"/>
      <color theme="10"/>
      <name val="Arial"/>
      <family val="2"/>
    </font>
    <font>
      <b/>
      <vertAlign val="superscript"/>
      <sz val="10"/>
      <color theme="1"/>
      <name val="Arial"/>
      <family val="2"/>
    </font>
    <font>
      <b/>
      <vertAlign val="subscript"/>
      <sz val="10"/>
      <color theme="1"/>
      <name val="Arial"/>
      <family val="2"/>
    </font>
    <font>
      <b/>
      <vertAlign val="superscript"/>
      <sz val="10"/>
      <name val="Arial"/>
      <family val="2"/>
    </font>
    <font>
      <b/>
      <vertAlign val="subscript"/>
      <sz val="10"/>
      <name val="Arial"/>
      <family val="2"/>
    </font>
    <font>
      <b/>
      <vertAlign val="subscript"/>
      <sz val="10"/>
      <color rgb="FF000000"/>
      <name val="Arial"/>
      <family val="2"/>
    </font>
    <font>
      <b/>
      <sz val="14"/>
      <color theme="1"/>
      <name val="Arial"/>
      <family val="2"/>
    </font>
    <font>
      <b/>
      <vertAlign val="subscript"/>
      <sz val="14"/>
      <color theme="1"/>
      <name val="Arial"/>
      <family val="2"/>
    </font>
    <font>
      <b/>
      <sz val="10"/>
      <color theme="4"/>
      <name val="Arial"/>
      <family val="2"/>
    </font>
    <font>
      <b/>
      <sz val="10"/>
      <color theme="8"/>
      <name val="Arial"/>
      <family val="2"/>
    </font>
  </fonts>
  <fills count="11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4.9989318521683403E-2"/>
        <bgColor indexed="64"/>
      </patternFill>
    </fill>
    <fill>
      <patternFill patternType="solid">
        <fgColor theme="2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7">
    <xf numFmtId="0" fontId="0" fillId="0" borderId="0"/>
    <xf numFmtId="9" fontId="1" fillId="0" borderId="0" applyFont="0" applyFill="0" applyBorder="0" applyAlignment="0" applyProtection="0"/>
    <xf numFmtId="0" fontId="4" fillId="0" borderId="0"/>
    <xf numFmtId="0" fontId="4" fillId="0" borderId="0"/>
    <xf numFmtId="0" fontId="14" fillId="0" borderId="0" applyNumberFormat="0" applyFill="0" applyBorder="0" applyAlignment="0" applyProtection="0"/>
    <xf numFmtId="41" fontId="2" fillId="0" borderId="0" applyFont="0" applyFill="0" applyBorder="0" applyAlignment="0" applyProtection="0"/>
    <xf numFmtId="165" fontId="2" fillId="0" borderId="0" applyFont="0" applyFill="0" applyBorder="0" applyAlignment="0" applyProtection="0"/>
  </cellStyleXfs>
  <cellXfs count="692">
    <xf numFmtId="0" fontId="0" fillId="0" borderId="0" xfId="0"/>
    <xf numFmtId="0" fontId="2" fillId="5" borderId="0" xfId="1" applyNumberFormat="1" applyFont="1" applyFill="1" applyBorder="1" applyAlignment="1">
      <alignment vertical="top" wrapText="1"/>
    </xf>
    <xf numFmtId="9" fontId="2" fillId="5" borderId="0" xfId="1" applyFont="1" applyFill="1" applyBorder="1" applyAlignment="1">
      <alignment vertical="top" wrapText="1"/>
    </xf>
    <xf numFmtId="0" fontId="2" fillId="0" borderId="0" xfId="0" applyFont="1" applyBorder="1" applyAlignment="1">
      <alignment vertical="center"/>
    </xf>
    <xf numFmtId="0" fontId="8" fillId="5" borderId="0" xfId="1" applyNumberFormat="1" applyFont="1" applyFill="1" applyBorder="1" applyAlignment="1">
      <alignment vertical="top" wrapText="1"/>
    </xf>
    <xf numFmtId="38" fontId="2" fillId="0" borderId="0" xfId="0" applyNumberFormat="1" applyFont="1" applyBorder="1" applyAlignment="1">
      <alignment vertical="center"/>
    </xf>
    <xf numFmtId="0" fontId="2" fillId="2" borderId="0" xfId="0" applyFont="1" applyFill="1" applyBorder="1" applyAlignment="1">
      <alignment vertical="center"/>
    </xf>
    <xf numFmtId="0" fontId="8" fillId="0" borderId="0" xfId="0" applyFont="1"/>
    <xf numFmtId="0" fontId="17" fillId="0" borderId="0" xfId="0" applyFont="1" applyFill="1" applyBorder="1" applyAlignment="1"/>
    <xf numFmtId="0" fontId="27" fillId="0" borderId="0" xfId="4" applyFont="1" applyFill="1" applyBorder="1" applyAlignment="1">
      <alignment vertical="center" wrapText="1"/>
    </xf>
    <xf numFmtId="173" fontId="18" fillId="0" borderId="0" xfId="0" applyNumberFormat="1" applyFont="1" applyFill="1" applyBorder="1" applyAlignment="1">
      <alignment vertical="center"/>
    </xf>
    <xf numFmtId="0" fontId="19" fillId="0" borderId="0" xfId="0" applyFont="1" applyFill="1" applyBorder="1" applyAlignment="1">
      <alignment vertical="center"/>
    </xf>
    <xf numFmtId="0" fontId="0" fillId="0" borderId="0" xfId="0"/>
    <xf numFmtId="0" fontId="19" fillId="0" borderId="0" xfId="0" applyFont="1" applyFill="1" applyBorder="1" applyAlignment="1"/>
    <xf numFmtId="0" fontId="0" fillId="0" borderId="0" xfId="0" applyFont="1" applyFill="1" applyBorder="1" applyAlignment="1">
      <alignment vertical="center"/>
    </xf>
    <xf numFmtId="0" fontId="4" fillId="0" borderId="0" xfId="0" applyFont="1" applyFill="1" applyBorder="1" applyAlignment="1">
      <alignment vertical="center" wrapText="1"/>
    </xf>
    <xf numFmtId="0" fontId="20" fillId="0" borderId="0" xfId="0" applyFont="1" applyFill="1" applyBorder="1" applyAlignment="1">
      <alignment wrapText="1"/>
    </xf>
    <xf numFmtId="0" fontId="0" fillId="0" borderId="0" xfId="0" applyFont="1" applyFill="1" applyBorder="1" applyAlignment="1"/>
    <xf numFmtId="11" fontId="0" fillId="0" borderId="0" xfId="0" applyNumberFormat="1" applyFont="1" applyFill="1" applyBorder="1" applyAlignment="1">
      <alignment wrapText="1"/>
    </xf>
    <xf numFmtId="0" fontId="0" fillId="0" borderId="0" xfId="0" applyFont="1" applyFill="1" applyBorder="1" applyAlignment="1">
      <alignment vertical="center" wrapText="1"/>
    </xf>
    <xf numFmtId="0" fontId="0" fillId="0" borderId="0" xfId="0" applyFont="1"/>
    <xf numFmtId="0" fontId="31" fillId="0" borderId="0" xfId="4" applyFont="1" applyFill="1" applyBorder="1" applyAlignment="1">
      <alignment vertical="center" wrapText="1"/>
    </xf>
    <xf numFmtId="0" fontId="0" fillId="7" borderId="0" xfId="0" applyFont="1" applyFill="1" applyBorder="1" applyAlignment="1"/>
    <xf numFmtId="0" fontId="3" fillId="8" borderId="0" xfId="0" applyFont="1" applyFill="1" applyBorder="1" applyAlignment="1"/>
    <xf numFmtId="0" fontId="30" fillId="8" borderId="0" xfId="0" applyFont="1" applyFill="1" applyBorder="1" applyAlignment="1"/>
    <xf numFmtId="0" fontId="0" fillId="8" borderId="0" xfId="0" applyFont="1" applyFill="1" applyBorder="1" applyAlignment="1"/>
    <xf numFmtId="177" fontId="0" fillId="8" borderId="0" xfId="5" applyNumberFormat="1" applyFont="1" applyFill="1" applyBorder="1" applyAlignment="1"/>
    <xf numFmtId="0" fontId="8" fillId="8" borderId="1" xfId="0" applyFont="1" applyFill="1" applyBorder="1" applyAlignment="1"/>
    <xf numFmtId="0" fontId="8" fillId="8" borderId="4" xfId="0" applyFont="1" applyFill="1" applyBorder="1" applyAlignment="1"/>
    <xf numFmtId="1" fontId="0" fillId="8" borderId="0" xfId="0" applyNumberFormat="1" applyFont="1" applyFill="1" applyBorder="1" applyAlignment="1"/>
    <xf numFmtId="0" fontId="3" fillId="6" borderId="0" xfId="0" applyFont="1" applyFill="1" applyBorder="1" applyAlignment="1"/>
    <xf numFmtId="0" fontId="30" fillId="6" borderId="0" xfId="0" applyFont="1" applyFill="1" applyBorder="1" applyAlignment="1"/>
    <xf numFmtId="0" fontId="0" fillId="6" borderId="0" xfId="0" applyFont="1" applyFill="1" applyBorder="1" applyAlignment="1"/>
    <xf numFmtId="177" fontId="0" fillId="6" borderId="0" xfId="5" applyNumberFormat="1" applyFont="1" applyFill="1" applyBorder="1" applyAlignment="1"/>
    <xf numFmtId="0" fontId="8" fillId="6" borderId="1" xfId="0" applyFont="1" applyFill="1" applyBorder="1" applyAlignment="1"/>
    <xf numFmtId="0" fontId="8" fillId="6" borderId="4" xfId="0" applyFont="1" applyFill="1" applyBorder="1" applyAlignment="1"/>
    <xf numFmtId="1" fontId="0" fillId="6" borderId="0" xfId="0" applyNumberFormat="1" applyFont="1" applyFill="1" applyBorder="1" applyAlignment="1"/>
    <xf numFmtId="0" fontId="3" fillId="8" borderId="0" xfId="0" applyFont="1" applyFill="1" applyBorder="1" applyAlignment="1">
      <alignment vertical="center"/>
    </xf>
    <xf numFmtId="0" fontId="3" fillId="6" borderId="0" xfId="0" applyFont="1" applyFill="1" applyBorder="1" applyAlignment="1">
      <alignment vertical="center"/>
    </xf>
    <xf numFmtId="0" fontId="3" fillId="5" borderId="0" xfId="0" applyFont="1" applyFill="1" applyBorder="1" applyAlignment="1">
      <alignment vertical="center"/>
    </xf>
    <xf numFmtId="0" fontId="18" fillId="5" borderId="0" xfId="0" applyFont="1" applyFill="1" applyBorder="1" applyAlignment="1"/>
    <xf numFmtId="0" fontId="3" fillId="2" borderId="0" xfId="0" applyFont="1" applyFill="1" applyBorder="1" applyAlignment="1"/>
    <xf numFmtId="0" fontId="30" fillId="2" borderId="0" xfId="0" applyFont="1" applyFill="1" applyBorder="1" applyAlignment="1"/>
    <xf numFmtId="0" fontId="0" fillId="2" borderId="0" xfId="0" applyFont="1" applyFill="1" applyBorder="1" applyAlignment="1"/>
    <xf numFmtId="177" fontId="0" fillId="2" borderId="0" xfId="5" applyNumberFormat="1" applyFont="1" applyFill="1" applyBorder="1" applyAlignment="1"/>
    <xf numFmtId="0" fontId="8" fillId="2" borderId="1" xfId="0" applyFont="1" applyFill="1" applyBorder="1" applyAlignment="1"/>
    <xf numFmtId="0" fontId="8" fillId="2" borderId="4" xfId="0" applyFont="1" applyFill="1" applyBorder="1" applyAlignment="1"/>
    <xf numFmtId="176" fontId="0" fillId="2" borderId="0" xfId="0" applyNumberFormat="1" applyFont="1" applyFill="1" applyBorder="1" applyAlignment="1"/>
    <xf numFmtId="1" fontId="0" fillId="2" borderId="0" xfId="0" applyNumberFormat="1" applyFont="1" applyFill="1" applyBorder="1" applyAlignment="1"/>
    <xf numFmtId="0" fontId="3" fillId="3" borderId="0" xfId="0" applyFont="1" applyFill="1" applyBorder="1" applyAlignment="1"/>
    <xf numFmtId="0" fontId="30" fillId="3" borderId="0" xfId="0" applyFont="1" applyFill="1" applyBorder="1" applyAlignment="1"/>
    <xf numFmtId="0" fontId="0" fillId="3" borderId="0" xfId="0" applyFont="1" applyFill="1" applyBorder="1" applyAlignment="1"/>
    <xf numFmtId="177" fontId="0" fillId="3" borderId="0" xfId="5" applyNumberFormat="1" applyFont="1" applyFill="1" applyBorder="1" applyAlignment="1"/>
    <xf numFmtId="0" fontId="8" fillId="3" borderId="1" xfId="0" applyFont="1" applyFill="1" applyBorder="1" applyAlignment="1"/>
    <xf numFmtId="0" fontId="8" fillId="3" borderId="4" xfId="0" applyFont="1" applyFill="1" applyBorder="1" applyAlignment="1"/>
    <xf numFmtId="1" fontId="0" fillId="3" borderId="0" xfId="0" applyNumberFormat="1" applyFont="1" applyFill="1" applyBorder="1" applyAlignment="1"/>
    <xf numFmtId="0" fontId="3" fillId="4" borderId="0" xfId="0" applyFont="1" applyFill="1" applyBorder="1" applyAlignment="1"/>
    <xf numFmtId="0" fontId="30" fillId="4" borderId="0" xfId="0" applyFont="1" applyFill="1" applyBorder="1" applyAlignment="1"/>
    <xf numFmtId="0" fontId="0" fillId="4" borderId="0" xfId="0" applyFont="1" applyFill="1" applyBorder="1" applyAlignment="1"/>
    <xf numFmtId="177" fontId="0" fillId="4" borderId="0" xfId="5" applyNumberFormat="1" applyFont="1" applyFill="1" applyBorder="1" applyAlignment="1"/>
    <xf numFmtId="0" fontId="8" fillId="4" borderId="1" xfId="0" applyFont="1" applyFill="1" applyBorder="1" applyAlignment="1"/>
    <xf numFmtId="0" fontId="8" fillId="4" borderId="4" xfId="0" applyFont="1" applyFill="1" applyBorder="1" applyAlignment="1"/>
    <xf numFmtId="176" fontId="0" fillId="4" borderId="0" xfId="0" applyNumberFormat="1" applyFont="1" applyFill="1" applyBorder="1" applyAlignment="1"/>
    <xf numFmtId="1" fontId="0" fillId="4" borderId="0" xfId="0" applyNumberFormat="1" applyFont="1" applyFill="1" applyBorder="1" applyAlignment="1"/>
    <xf numFmtId="0" fontId="3" fillId="3" borderId="0" xfId="0" applyFont="1" applyFill="1" applyBorder="1" applyAlignment="1">
      <alignment vertical="center"/>
    </xf>
    <xf numFmtId="0" fontId="4" fillId="3" borderId="0" xfId="0" applyFont="1" applyFill="1" applyBorder="1" applyAlignment="1">
      <alignment vertical="center" wrapText="1"/>
    </xf>
    <xf numFmtId="0" fontId="3" fillId="4" borderId="0" xfId="0" applyFont="1" applyFill="1" applyBorder="1" applyAlignment="1">
      <alignment vertical="center"/>
    </xf>
    <xf numFmtId="0" fontId="4" fillId="4" borderId="0" xfId="0" applyFont="1" applyFill="1" applyBorder="1" applyAlignment="1">
      <alignment vertical="center" wrapText="1"/>
    </xf>
    <xf numFmtId="0" fontId="3" fillId="5" borderId="0" xfId="0" applyFont="1" applyFill="1" applyBorder="1" applyAlignment="1"/>
    <xf numFmtId="0" fontId="30" fillId="5" borderId="0" xfId="0" applyFont="1" applyFill="1" applyBorder="1" applyAlignment="1"/>
    <xf numFmtId="0" fontId="0" fillId="5" borderId="0" xfId="0" applyFont="1" applyFill="1" applyBorder="1" applyAlignment="1"/>
    <xf numFmtId="177" fontId="0" fillId="5" borderId="0" xfId="5" applyNumberFormat="1" applyFont="1" applyFill="1" applyBorder="1" applyAlignment="1"/>
    <xf numFmtId="0" fontId="8" fillId="5" borderId="1" xfId="0" applyFont="1" applyFill="1" applyBorder="1" applyAlignment="1"/>
    <xf numFmtId="0" fontId="8" fillId="5" borderId="4" xfId="0" applyFont="1" applyFill="1" applyBorder="1" applyAlignment="1"/>
    <xf numFmtId="176" fontId="0" fillId="5" borderId="0" xfId="0" applyNumberFormat="1" applyFont="1" applyFill="1" applyBorder="1" applyAlignment="1"/>
    <xf numFmtId="1" fontId="0" fillId="5" borderId="0" xfId="0" applyNumberFormat="1" applyFont="1" applyFill="1" applyBorder="1" applyAlignment="1"/>
    <xf numFmtId="9" fontId="0" fillId="5" borderId="0" xfId="1" applyFont="1" applyFill="1" applyBorder="1" applyAlignment="1"/>
    <xf numFmtId="168" fontId="0" fillId="5" borderId="0" xfId="1" applyNumberFormat="1" applyFont="1" applyFill="1" applyBorder="1" applyAlignment="1"/>
    <xf numFmtId="9" fontId="0" fillId="4" borderId="0" xfId="1" applyFont="1" applyFill="1" applyBorder="1" applyAlignment="1"/>
    <xf numFmtId="9" fontId="0" fillId="3" borderId="0" xfId="1" applyFont="1" applyFill="1" applyBorder="1" applyAlignment="1"/>
    <xf numFmtId="9" fontId="0" fillId="2" borderId="0" xfId="1" applyFont="1" applyFill="1" applyBorder="1" applyAlignment="1"/>
    <xf numFmtId="168" fontId="0" fillId="6" borderId="0" xfId="1" applyNumberFormat="1" applyFont="1" applyFill="1" applyBorder="1" applyAlignment="1"/>
    <xf numFmtId="9" fontId="0" fillId="6" borderId="0" xfId="1" applyFont="1" applyFill="1" applyBorder="1" applyAlignment="1"/>
    <xf numFmtId="9" fontId="0" fillId="8" borderId="0" xfId="1" applyFont="1" applyFill="1" applyBorder="1" applyAlignment="1"/>
    <xf numFmtId="0" fontId="8" fillId="0" borderId="0" xfId="0" applyFont="1" applyFill="1" applyBorder="1" applyAlignment="1"/>
    <xf numFmtId="0" fontId="8" fillId="9" borderId="1" xfId="0" applyFont="1" applyFill="1" applyBorder="1" applyAlignment="1"/>
    <xf numFmtId="0" fontId="8" fillId="9" borderId="4" xfId="0" applyFont="1" applyFill="1" applyBorder="1" applyAlignment="1"/>
    <xf numFmtId="0" fontId="0" fillId="0" borderId="0" xfId="0" applyAlignment="1"/>
    <xf numFmtId="0" fontId="6" fillId="2" borderId="0" xfId="0" applyFont="1" applyFill="1" applyAlignment="1">
      <alignment vertical="center"/>
    </xf>
    <xf numFmtId="0" fontId="0" fillId="2" borderId="0" xfId="0" applyFill="1" applyAlignment="1"/>
    <xf numFmtId="165" fontId="2" fillId="0" borderId="0" xfId="0" applyNumberFormat="1" applyFont="1" applyBorder="1" applyAlignment="1">
      <alignment vertical="center"/>
    </xf>
    <xf numFmtId="0" fontId="3" fillId="2" borderId="0" xfId="0" applyFont="1" applyFill="1" applyBorder="1" applyAlignment="1">
      <alignment vertical="center"/>
    </xf>
    <xf numFmtId="9" fontId="2" fillId="2" borderId="0" xfId="0" applyNumberFormat="1" applyFont="1" applyFill="1" applyBorder="1" applyAlignment="1">
      <alignment vertical="center"/>
    </xf>
    <xf numFmtId="0" fontId="2" fillId="0" borderId="0" xfId="0" applyFont="1" applyFill="1" applyBorder="1" applyAlignment="1">
      <alignment vertical="center"/>
    </xf>
    <xf numFmtId="3" fontId="2" fillId="0" borderId="0" xfId="0" applyNumberFormat="1" applyFont="1" applyFill="1" applyBorder="1" applyAlignment="1">
      <alignment vertical="center"/>
    </xf>
    <xf numFmtId="166" fontId="2" fillId="0" borderId="0" xfId="0" applyNumberFormat="1" applyFont="1" applyFill="1" applyBorder="1" applyAlignment="1">
      <alignment vertical="center"/>
    </xf>
    <xf numFmtId="0" fontId="8" fillId="2" borderId="0" xfId="0" applyFont="1" applyFill="1" applyBorder="1" applyAlignment="1">
      <alignment vertical="center"/>
    </xf>
    <xf numFmtId="0" fontId="2" fillId="3" borderId="0" xfId="0" applyFont="1" applyFill="1" applyBorder="1" applyAlignment="1">
      <alignment vertical="center"/>
    </xf>
    <xf numFmtId="165" fontId="2" fillId="4" borderId="0" xfId="0" applyNumberFormat="1" applyFont="1" applyFill="1" applyBorder="1" applyAlignment="1">
      <alignment vertical="center"/>
    </xf>
    <xf numFmtId="0" fontId="2" fillId="4" borderId="0" xfId="0" applyFont="1" applyFill="1" applyBorder="1" applyAlignment="1">
      <alignment vertical="center"/>
    </xf>
    <xf numFmtId="0" fontId="8" fillId="0" borderId="0" xfId="0" applyFont="1" applyFill="1" applyBorder="1" applyAlignment="1">
      <alignment vertical="center" wrapText="1"/>
    </xf>
    <xf numFmtId="0" fontId="8" fillId="4" borderId="0" xfId="0" applyFont="1" applyFill="1" applyBorder="1" applyAlignment="1">
      <alignment vertical="center" wrapText="1"/>
    </xf>
    <xf numFmtId="0" fontId="8" fillId="5" borderId="0" xfId="0" applyFont="1" applyFill="1" applyBorder="1" applyAlignment="1">
      <alignment vertical="top" wrapText="1"/>
    </xf>
    <xf numFmtId="0" fontId="2" fillId="5" borderId="0" xfId="0" applyFont="1" applyFill="1" applyBorder="1" applyAlignment="1">
      <alignment vertical="center"/>
    </xf>
    <xf numFmtId="0" fontId="2" fillId="5" borderId="0" xfId="0" applyFont="1" applyFill="1" applyBorder="1" applyAlignment="1">
      <alignment vertical="top" wrapText="1"/>
    </xf>
    <xf numFmtId="0" fontId="4" fillId="5" borderId="0" xfId="0" applyFont="1" applyFill="1" applyBorder="1" applyAlignment="1">
      <alignment vertical="top" wrapText="1"/>
    </xf>
    <xf numFmtId="164" fontId="8" fillId="0" borderId="0" xfId="0" applyNumberFormat="1" applyFont="1" applyFill="1" applyBorder="1" applyAlignment="1">
      <alignment vertical="center" wrapText="1"/>
    </xf>
    <xf numFmtId="9" fontId="2" fillId="5" borderId="0" xfId="0" applyNumberFormat="1" applyFont="1" applyFill="1" applyBorder="1" applyAlignment="1">
      <alignment vertical="top" wrapText="1"/>
    </xf>
    <xf numFmtId="10" fontId="4" fillId="5" borderId="0" xfId="0" applyNumberFormat="1" applyFont="1" applyFill="1" applyBorder="1" applyAlignment="1">
      <alignment vertical="top" wrapText="1"/>
    </xf>
    <xf numFmtId="167" fontId="4" fillId="5" borderId="0" xfId="0" applyNumberFormat="1" applyFont="1" applyFill="1" applyBorder="1" applyAlignment="1">
      <alignment vertical="top" wrapText="1"/>
    </xf>
    <xf numFmtId="168" fontId="2" fillId="5" borderId="0" xfId="0" applyNumberFormat="1" applyFont="1" applyFill="1" applyBorder="1" applyAlignment="1">
      <alignment vertical="top" wrapText="1"/>
    </xf>
    <xf numFmtId="10" fontId="2" fillId="5" borderId="0" xfId="0" applyNumberFormat="1" applyFont="1" applyFill="1" applyBorder="1" applyAlignment="1">
      <alignment vertical="top" wrapText="1"/>
    </xf>
    <xf numFmtId="9" fontId="2" fillId="5" borderId="0" xfId="0" applyNumberFormat="1" applyFont="1" applyFill="1" applyBorder="1" applyAlignment="1">
      <alignment vertical="center"/>
    </xf>
    <xf numFmtId="10" fontId="2" fillId="5" borderId="0" xfId="0" applyNumberFormat="1" applyFont="1" applyFill="1" applyBorder="1" applyAlignment="1">
      <alignment vertical="center"/>
    </xf>
    <xf numFmtId="2" fontId="2" fillId="5" borderId="0" xfId="0" applyNumberFormat="1" applyFont="1" applyFill="1" applyBorder="1" applyAlignment="1">
      <alignment vertical="center" wrapText="1"/>
    </xf>
    <xf numFmtId="0" fontId="2" fillId="6" borderId="0" xfId="0" applyFont="1" applyFill="1" applyBorder="1" applyAlignment="1">
      <alignment vertical="center"/>
    </xf>
    <xf numFmtId="0" fontId="8" fillId="6" borderId="0" xfId="0" applyFont="1" applyFill="1" applyBorder="1" applyAlignment="1">
      <alignment vertical="center"/>
    </xf>
    <xf numFmtId="166" fontId="2" fillId="6" borderId="0" xfId="0" applyNumberFormat="1" applyFont="1" applyFill="1" applyBorder="1" applyAlignment="1">
      <alignment vertical="center"/>
    </xf>
    <xf numFmtId="165" fontId="2" fillId="6" borderId="0" xfId="0" applyNumberFormat="1" applyFont="1" applyFill="1" applyBorder="1" applyAlignment="1">
      <alignment vertical="center"/>
    </xf>
    <xf numFmtId="9" fontId="2" fillId="6" borderId="0" xfId="0" applyNumberFormat="1" applyFont="1" applyFill="1" applyBorder="1" applyAlignment="1">
      <alignment vertical="center"/>
    </xf>
    <xf numFmtId="165" fontId="2" fillId="0" borderId="0" xfId="0" applyNumberFormat="1" applyFont="1" applyFill="1" applyBorder="1" applyAlignment="1">
      <alignment vertical="center"/>
    </xf>
    <xf numFmtId="168" fontId="2" fillId="6" borderId="0" xfId="0" applyNumberFormat="1" applyFont="1" applyFill="1" applyBorder="1" applyAlignment="1">
      <alignment vertical="center"/>
    </xf>
    <xf numFmtId="165" fontId="8" fillId="6" borderId="0" xfId="0" applyNumberFormat="1" applyFont="1" applyFill="1" applyBorder="1" applyAlignment="1">
      <alignment vertical="center"/>
    </xf>
    <xf numFmtId="2" fontId="2" fillId="6" borderId="0" xfId="0" applyNumberFormat="1" applyFont="1" applyFill="1" applyBorder="1" applyAlignment="1">
      <alignment vertical="center"/>
    </xf>
    <xf numFmtId="165" fontId="8" fillId="0" borderId="0" xfId="0" applyNumberFormat="1" applyFont="1" applyFill="1" applyBorder="1" applyAlignment="1">
      <alignment vertical="center"/>
    </xf>
    <xf numFmtId="0" fontId="2" fillId="8" borderId="0" xfId="0" applyFont="1" applyFill="1" applyBorder="1" applyAlignment="1">
      <alignment vertical="center"/>
    </xf>
    <xf numFmtId="2" fontId="2" fillId="8" borderId="0" xfId="0" applyNumberFormat="1" applyFont="1" applyFill="1" applyBorder="1" applyAlignment="1">
      <alignment vertical="center"/>
    </xf>
    <xf numFmtId="165" fontId="2" fillId="8" borderId="0" xfId="0" applyNumberFormat="1" applyFont="1" applyFill="1" applyBorder="1" applyAlignment="1">
      <alignment vertical="center"/>
    </xf>
    <xf numFmtId="9" fontId="2" fillId="8" borderId="0" xfId="0" applyNumberFormat="1" applyFont="1" applyFill="1" applyBorder="1" applyAlignment="1">
      <alignment vertical="center"/>
    </xf>
    <xf numFmtId="0" fontId="2" fillId="0" borderId="0" xfId="0" applyFont="1" applyFill="1" applyBorder="1" applyAlignment="1">
      <alignment vertical="center" wrapText="1"/>
    </xf>
    <xf numFmtId="0" fontId="8" fillId="8" borderId="0" xfId="0" applyFont="1" applyFill="1" applyBorder="1" applyAlignment="1">
      <alignment vertical="center"/>
    </xf>
    <xf numFmtId="165" fontId="8" fillId="8" borderId="0" xfId="0" applyNumberFormat="1" applyFont="1" applyFill="1" applyBorder="1" applyAlignment="1">
      <alignment vertical="center"/>
    </xf>
    <xf numFmtId="0" fontId="3" fillId="7" borderId="0" xfId="0" applyFont="1" applyFill="1" applyBorder="1" applyAlignment="1">
      <alignment vertical="center"/>
    </xf>
    <xf numFmtId="0" fontId="2" fillId="7" borderId="0" xfId="0" applyFont="1" applyFill="1" applyBorder="1" applyAlignment="1">
      <alignment vertical="center"/>
    </xf>
    <xf numFmtId="165" fontId="8" fillId="7" borderId="0" xfId="0" applyNumberFormat="1" applyFont="1" applyFill="1" applyBorder="1" applyAlignment="1">
      <alignment vertical="center"/>
    </xf>
    <xf numFmtId="9" fontId="2" fillId="7" borderId="0" xfId="0" applyNumberFormat="1" applyFont="1" applyFill="1" applyBorder="1" applyAlignment="1">
      <alignment vertical="center"/>
    </xf>
    <xf numFmtId="0" fontId="8" fillId="7" borderId="0" xfId="0" applyFont="1" applyFill="1" applyBorder="1" applyAlignment="1">
      <alignment vertical="center"/>
    </xf>
    <xf numFmtId="0" fontId="2" fillId="2" borderId="0" xfId="0" applyFont="1" applyFill="1" applyBorder="1" applyAlignment="1">
      <alignment vertical="center" wrapText="1"/>
    </xf>
    <xf numFmtId="2" fontId="2" fillId="2" borderId="0" xfId="0" applyNumberFormat="1" applyFont="1" applyFill="1" applyBorder="1" applyAlignment="1">
      <alignment vertical="center" wrapText="1"/>
    </xf>
    <xf numFmtId="5" fontId="2" fillId="0" borderId="0" xfId="0" applyNumberFormat="1" applyFont="1" applyBorder="1" applyAlignment="1">
      <alignment vertical="center"/>
    </xf>
    <xf numFmtId="0" fontId="0" fillId="6" borderId="0" xfId="0" applyFont="1" applyFill="1"/>
    <xf numFmtId="0" fontId="0" fillId="4" borderId="0" xfId="0" applyFont="1" applyFill="1"/>
    <xf numFmtId="11" fontId="0" fillId="0" borderId="0" xfId="0" applyNumberFormat="1" applyFont="1"/>
    <xf numFmtId="2" fontId="0" fillId="0" borderId="0" xfId="0" applyNumberFormat="1" applyFont="1"/>
    <xf numFmtId="176" fontId="0" fillId="0" borderId="0" xfId="0" applyNumberFormat="1" applyFont="1"/>
    <xf numFmtId="11" fontId="0" fillId="0" borderId="0" xfId="0" applyNumberFormat="1" applyFont="1" applyFill="1"/>
    <xf numFmtId="0" fontId="0" fillId="0" borderId="0" xfId="0" applyFont="1" applyFill="1"/>
    <xf numFmtId="11" fontId="0" fillId="6" borderId="0" xfId="0" applyNumberFormat="1" applyFont="1" applyFill="1"/>
    <xf numFmtId="165" fontId="0" fillId="7" borderId="0" xfId="0" applyNumberFormat="1" applyFont="1" applyFill="1" applyBorder="1" applyAlignment="1">
      <alignment vertical="center"/>
    </xf>
    <xf numFmtId="0" fontId="0" fillId="7" borderId="0" xfId="0" applyFont="1" applyFill="1" applyBorder="1" applyAlignment="1">
      <alignment vertical="center"/>
    </xf>
    <xf numFmtId="165" fontId="2" fillId="7" borderId="0" xfId="6" applyFont="1" applyFill="1" applyBorder="1" applyAlignment="1">
      <alignment vertical="center" wrapText="1"/>
    </xf>
    <xf numFmtId="0" fontId="0" fillId="7" borderId="0" xfId="0" applyFont="1" applyFill="1" applyBorder="1" applyAlignment="1">
      <alignment vertical="center" wrapText="1"/>
    </xf>
    <xf numFmtId="165" fontId="8" fillId="4" borderId="0" xfId="0" applyNumberFormat="1" applyFont="1" applyFill="1" applyBorder="1" applyAlignment="1">
      <alignment vertical="center"/>
    </xf>
    <xf numFmtId="0" fontId="8" fillId="0" borderId="0" xfId="0" applyFont="1" applyFill="1" applyBorder="1" applyAlignment="1">
      <alignment vertical="center"/>
    </xf>
    <xf numFmtId="38" fontId="8" fillId="0" borderId="0" xfId="0" applyNumberFormat="1" applyFont="1" applyBorder="1" applyAlignment="1">
      <alignment vertical="center"/>
    </xf>
    <xf numFmtId="0" fontId="3" fillId="2" borderId="0" xfId="0" applyFont="1" applyFill="1" applyAlignment="1">
      <alignment vertical="center"/>
    </xf>
    <xf numFmtId="0" fontId="2" fillId="2" borderId="0" xfId="0" applyFont="1" applyFill="1" applyAlignment="1">
      <alignment vertical="center"/>
    </xf>
    <xf numFmtId="0" fontId="2" fillId="0" borderId="0" xfId="0" applyFont="1" applyAlignment="1">
      <alignment vertical="center"/>
    </xf>
    <xf numFmtId="0" fontId="2" fillId="0" borderId="0" xfId="0" applyFont="1" applyAlignment="1"/>
    <xf numFmtId="0" fontId="8" fillId="2" borderId="0" xfId="0" applyFont="1" applyFill="1" applyAlignment="1"/>
    <xf numFmtId="0" fontId="8" fillId="0" borderId="0" xfId="0" applyFont="1" applyAlignment="1"/>
    <xf numFmtId="0" fontId="8" fillId="0" borderId="0" xfId="0" applyFont="1" applyAlignment="1">
      <alignment vertical="center"/>
    </xf>
    <xf numFmtId="0" fontId="8" fillId="2" borderId="0" xfId="0" applyFont="1" applyFill="1" applyAlignment="1">
      <alignment vertical="center"/>
    </xf>
    <xf numFmtId="166" fontId="8" fillId="2" borderId="0" xfId="0" applyNumberFormat="1" applyFont="1" applyFill="1" applyAlignment="1">
      <alignment vertical="center"/>
    </xf>
    <xf numFmtId="165" fontId="8" fillId="2" borderId="0" xfId="0" applyNumberFormat="1" applyFont="1" applyFill="1" applyAlignment="1">
      <alignment vertical="center"/>
    </xf>
    <xf numFmtId="166" fontId="8" fillId="0" borderId="0" xfId="0" applyNumberFormat="1" applyFont="1" applyAlignment="1">
      <alignment vertical="center"/>
    </xf>
    <xf numFmtId="171" fontId="8" fillId="0" borderId="0" xfId="0" applyNumberFormat="1" applyFont="1" applyAlignment="1">
      <alignment vertical="center"/>
    </xf>
    <xf numFmtId="0" fontId="0" fillId="0" borderId="0" xfId="0" applyFont="1" applyAlignment="1">
      <alignment vertical="center"/>
    </xf>
    <xf numFmtId="0" fontId="0" fillId="0" borderId="0" xfId="0" applyFont="1" applyBorder="1" applyAlignment="1">
      <alignment vertical="center"/>
    </xf>
    <xf numFmtId="38" fontId="0" fillId="0" borderId="0" xfId="0" applyNumberFormat="1" applyFont="1" applyBorder="1" applyAlignment="1">
      <alignment vertical="center"/>
    </xf>
    <xf numFmtId="0" fontId="0" fillId="0" borderId="0" xfId="0" applyFont="1" applyAlignment="1"/>
    <xf numFmtId="0" fontId="3" fillId="3" borderId="0" xfId="0" applyFont="1" applyFill="1" applyAlignment="1">
      <alignment vertical="center"/>
    </xf>
    <xf numFmtId="0" fontId="2" fillId="3" borderId="0" xfId="0" applyFont="1" applyFill="1" applyAlignment="1">
      <alignment vertical="center"/>
    </xf>
    <xf numFmtId="0" fontId="8" fillId="3" borderId="0" xfId="0" applyFont="1" applyFill="1" applyBorder="1" applyAlignment="1"/>
    <xf numFmtId="38" fontId="2" fillId="3" borderId="0" xfId="0" applyNumberFormat="1" applyFont="1" applyFill="1" applyBorder="1" applyAlignment="1">
      <alignment vertical="center"/>
    </xf>
    <xf numFmtId="38" fontId="2" fillId="0" borderId="0" xfId="0" applyNumberFormat="1" applyFont="1" applyAlignment="1">
      <alignment vertical="center"/>
    </xf>
    <xf numFmtId="0" fontId="8" fillId="3" borderId="0" xfId="0" applyFont="1" applyFill="1" applyBorder="1" applyAlignment="1">
      <alignment vertical="center"/>
    </xf>
    <xf numFmtId="10" fontId="2" fillId="3" borderId="0" xfId="0" applyNumberFormat="1" applyFont="1" applyFill="1" applyBorder="1" applyAlignment="1">
      <alignment vertical="center"/>
    </xf>
    <xf numFmtId="3" fontId="2" fillId="4" borderId="0" xfId="0" applyNumberFormat="1" applyFont="1" applyFill="1" applyBorder="1" applyAlignment="1">
      <alignment vertical="center"/>
    </xf>
    <xf numFmtId="0" fontId="0" fillId="4" borderId="0" xfId="0" applyFill="1" applyBorder="1" applyAlignment="1"/>
    <xf numFmtId="3" fontId="8" fillId="4" borderId="0" xfId="0" applyNumberFormat="1" applyFont="1" applyFill="1" applyBorder="1" applyAlignment="1">
      <alignment vertical="center" wrapText="1"/>
    </xf>
    <xf numFmtId="0" fontId="8" fillId="4" borderId="0" xfId="0" applyFont="1" applyFill="1" applyBorder="1" applyAlignment="1">
      <alignment vertical="center"/>
    </xf>
    <xf numFmtId="38" fontId="8" fillId="0" borderId="0" xfId="0" applyNumberFormat="1" applyFont="1" applyAlignment="1">
      <alignment vertical="center"/>
    </xf>
    <xf numFmtId="2" fontId="2" fillId="4" borderId="0" xfId="0" applyNumberFormat="1" applyFont="1" applyFill="1" applyBorder="1" applyAlignment="1">
      <alignment vertical="center"/>
    </xf>
    <xf numFmtId="38" fontId="2" fillId="4" borderId="0" xfId="0" applyNumberFormat="1" applyFont="1" applyFill="1" applyBorder="1" applyAlignment="1">
      <alignment vertical="center"/>
    </xf>
    <xf numFmtId="38" fontId="2" fillId="4" borderId="0" xfId="0" applyNumberFormat="1" applyFont="1" applyFill="1" applyBorder="1" applyAlignment="1">
      <alignment vertical="center" wrapText="1"/>
    </xf>
    <xf numFmtId="38" fontId="8" fillId="4" borderId="0" xfId="0" applyNumberFormat="1" applyFont="1" applyFill="1" applyBorder="1" applyAlignment="1">
      <alignment vertical="center"/>
    </xf>
    <xf numFmtId="0" fontId="2" fillId="0" borderId="0" xfId="0" applyFont="1" applyBorder="1" applyAlignment="1"/>
    <xf numFmtId="0" fontId="0" fillId="0" borderId="0" xfId="0" applyFill="1" applyAlignment="1"/>
    <xf numFmtId="0" fontId="3" fillId="5" borderId="0" xfId="0" applyFont="1" applyFill="1" applyAlignment="1">
      <alignment vertical="center"/>
    </xf>
    <xf numFmtId="0" fontId="2" fillId="5" borderId="0" xfId="0" applyFont="1" applyFill="1" applyAlignment="1">
      <alignment vertical="center"/>
    </xf>
    <xf numFmtId="38" fontId="2" fillId="5" borderId="0" xfId="0" applyNumberFormat="1" applyFont="1" applyFill="1" applyBorder="1" applyAlignment="1">
      <alignment vertical="center"/>
    </xf>
    <xf numFmtId="0" fontId="2" fillId="6" borderId="0" xfId="0" applyFont="1" applyFill="1" applyBorder="1" applyAlignment="1"/>
    <xf numFmtId="0" fontId="8" fillId="6" borderId="0" xfId="0" applyFont="1" applyFill="1" applyBorder="1" applyAlignment="1"/>
    <xf numFmtId="5" fontId="2" fillId="6" borderId="0" xfId="0" applyNumberFormat="1" applyFont="1" applyFill="1" applyBorder="1" applyAlignment="1">
      <alignment vertical="center"/>
    </xf>
    <xf numFmtId="6" fontId="2" fillId="6" borderId="0" xfId="0" applyNumberFormat="1" applyFont="1" applyFill="1" applyBorder="1" applyAlignment="1">
      <alignment vertical="center"/>
    </xf>
    <xf numFmtId="5" fontId="2" fillId="6" borderId="0" xfId="0" applyNumberFormat="1" applyFont="1" applyFill="1" applyBorder="1" applyAlignment="1"/>
    <xf numFmtId="0" fontId="0" fillId="6" borderId="0" xfId="0" applyFill="1" applyBorder="1" applyAlignment="1"/>
    <xf numFmtId="5" fontId="2" fillId="0" borderId="0" xfId="0" applyNumberFormat="1" applyFont="1" applyBorder="1" applyAlignment="1"/>
    <xf numFmtId="0" fontId="2" fillId="8" borderId="0" xfId="0" applyFont="1" applyFill="1" applyBorder="1" applyAlignment="1"/>
    <xf numFmtId="0" fontId="8" fillId="8" borderId="0" xfId="0" applyFont="1" applyFill="1" applyBorder="1" applyAlignment="1"/>
    <xf numFmtId="10" fontId="2" fillId="8" borderId="0" xfId="0" applyNumberFormat="1" applyFont="1" applyFill="1" applyBorder="1" applyAlignment="1">
      <alignment vertical="center"/>
    </xf>
    <xf numFmtId="10" fontId="8" fillId="8" borderId="0" xfId="0" applyNumberFormat="1" applyFont="1" applyFill="1" applyBorder="1" applyAlignment="1">
      <alignment vertical="center"/>
    </xf>
    <xf numFmtId="5" fontId="2" fillId="0" borderId="0" xfId="0" applyNumberFormat="1" applyFont="1" applyAlignment="1">
      <alignment vertical="center"/>
    </xf>
    <xf numFmtId="0" fontId="10" fillId="0" borderId="0" xfId="0" applyFont="1" applyBorder="1" applyAlignment="1"/>
    <xf numFmtId="175" fontId="10" fillId="0" borderId="0" xfId="0" applyNumberFormat="1" applyFont="1" applyBorder="1" applyAlignment="1"/>
    <xf numFmtId="0" fontId="2" fillId="0" borderId="0" xfId="0" applyFont="1" applyFill="1" applyBorder="1" applyAlignment="1"/>
    <xf numFmtId="164" fontId="2" fillId="0" borderId="0" xfId="0" applyNumberFormat="1" applyFont="1" applyBorder="1" applyAlignment="1"/>
    <xf numFmtId="164" fontId="2" fillId="0" borderId="0" xfId="0" applyNumberFormat="1" applyFont="1" applyFill="1" applyBorder="1" applyAlignment="1"/>
    <xf numFmtId="10" fontId="2" fillId="0" borderId="0" xfId="0" applyNumberFormat="1" applyFont="1" applyBorder="1" applyAlignment="1"/>
    <xf numFmtId="44" fontId="2" fillId="0" borderId="0" xfId="0" applyNumberFormat="1" applyFont="1" applyBorder="1" applyAlignment="1"/>
    <xf numFmtId="0" fontId="4" fillId="2" borderId="0" xfId="0" applyFont="1" applyFill="1" applyBorder="1" applyAlignment="1"/>
    <xf numFmtId="3" fontId="2" fillId="2" borderId="0" xfId="0" applyNumberFormat="1" applyFont="1" applyFill="1" applyBorder="1" applyAlignment="1"/>
    <xf numFmtId="0" fontId="2" fillId="2" borderId="0" xfId="0" applyFont="1" applyFill="1" applyBorder="1" applyAlignment="1"/>
    <xf numFmtId="0" fontId="2" fillId="0" borderId="0" xfId="0" applyNumberFormat="1" applyFont="1" applyFill="1" applyBorder="1" applyAlignment="1"/>
    <xf numFmtId="164" fontId="8" fillId="0" borderId="0" xfId="0" applyNumberFormat="1" applyFont="1" applyFill="1" applyBorder="1" applyAlignment="1"/>
    <xf numFmtId="169" fontId="2" fillId="2" borderId="0" xfId="0" applyNumberFormat="1" applyFont="1" applyFill="1" applyBorder="1" applyAlignment="1"/>
    <xf numFmtId="2" fontId="2" fillId="2" borderId="0" xfId="0" applyNumberFormat="1" applyFont="1" applyFill="1" applyBorder="1" applyAlignment="1"/>
    <xf numFmtId="38" fontId="8" fillId="2" borderId="0" xfId="0" applyNumberFormat="1" applyFont="1" applyFill="1" applyBorder="1" applyAlignment="1"/>
    <xf numFmtId="2" fontId="19" fillId="2" borderId="0" xfId="0" applyNumberFormat="1" applyFont="1" applyFill="1" applyBorder="1" applyAlignment="1"/>
    <xf numFmtId="38" fontId="2" fillId="2" borderId="0" xfId="0" applyNumberFormat="1" applyFont="1" applyFill="1" applyBorder="1" applyAlignment="1"/>
    <xf numFmtId="38" fontId="2" fillId="0" borderId="0" xfId="0" applyNumberFormat="1" applyFont="1" applyBorder="1" applyAlignment="1"/>
    <xf numFmtId="38" fontId="0" fillId="2" borderId="0" xfId="0" applyNumberFormat="1" applyFont="1" applyFill="1" applyBorder="1" applyAlignment="1"/>
    <xf numFmtId="2" fontId="18" fillId="2" borderId="0" xfId="0" applyNumberFormat="1" applyFont="1" applyFill="1" applyBorder="1" applyAlignment="1"/>
    <xf numFmtId="0" fontId="8" fillId="2" borderId="0" xfId="0" applyFont="1" applyFill="1" applyBorder="1" applyAlignment="1"/>
    <xf numFmtId="38" fontId="2" fillId="0" borderId="0" xfId="0" applyNumberFormat="1" applyFont="1" applyFill="1" applyBorder="1" applyAlignment="1"/>
    <xf numFmtId="0" fontId="13" fillId="2" borderId="0" xfId="0" applyFont="1" applyFill="1" applyBorder="1" applyAlignment="1"/>
    <xf numFmtId="166" fontId="8" fillId="2" borderId="0" xfId="0" applyNumberFormat="1" applyFont="1" applyFill="1" applyBorder="1" applyAlignment="1"/>
    <xf numFmtId="0" fontId="4" fillId="0" borderId="0" xfId="0" applyFont="1" applyBorder="1" applyAlignment="1"/>
    <xf numFmtId="170" fontId="2" fillId="0" borderId="0" xfId="0" applyNumberFormat="1" applyFont="1" applyBorder="1" applyAlignment="1"/>
    <xf numFmtId="166" fontId="2" fillId="0" borderId="0" xfId="0" applyNumberFormat="1" applyFont="1" applyBorder="1" applyAlignment="1"/>
    <xf numFmtId="172" fontId="2" fillId="0" borderId="0" xfId="0" applyNumberFormat="1" applyFont="1" applyBorder="1" applyAlignment="1"/>
    <xf numFmtId="0" fontId="4" fillId="3" borderId="0" xfId="0" applyFont="1" applyFill="1" applyBorder="1" applyAlignment="1"/>
    <xf numFmtId="2" fontId="4" fillId="3" borderId="0" xfId="0" applyNumberFormat="1" applyFont="1" applyFill="1" applyBorder="1" applyAlignment="1"/>
    <xf numFmtId="166" fontId="2" fillId="0" borderId="0" xfId="0" applyNumberFormat="1" applyFont="1" applyFill="1" applyBorder="1" applyAlignment="1"/>
    <xf numFmtId="0" fontId="4" fillId="0" borderId="0" xfId="0" applyFont="1" applyFill="1" applyBorder="1" applyAlignment="1"/>
    <xf numFmtId="0" fontId="9" fillId="4" borderId="0" xfId="0" applyFont="1" applyFill="1" applyBorder="1" applyAlignment="1"/>
    <xf numFmtId="0" fontId="4" fillId="4" borderId="0" xfId="0" applyFont="1" applyFill="1" applyBorder="1" applyAlignment="1">
      <alignment wrapText="1"/>
    </xf>
    <xf numFmtId="166" fontId="2" fillId="4" borderId="0" xfId="0" applyNumberFormat="1" applyFont="1" applyFill="1" applyBorder="1" applyAlignment="1">
      <alignment wrapText="1"/>
    </xf>
    <xf numFmtId="0" fontId="2" fillId="4" borderId="0" xfId="0" applyFont="1" applyFill="1" applyBorder="1" applyAlignment="1"/>
    <xf numFmtId="38" fontId="0" fillId="4" borderId="0" xfId="0" applyNumberFormat="1" applyFont="1" applyFill="1" applyBorder="1" applyAlignment="1"/>
    <xf numFmtId="5" fontId="2" fillId="4" borderId="0" xfId="0" applyNumberFormat="1" applyFont="1" applyFill="1" applyBorder="1" applyAlignment="1"/>
    <xf numFmtId="165" fontId="2" fillId="4" borderId="0" xfId="0" applyNumberFormat="1" applyFont="1" applyFill="1" applyBorder="1" applyAlignment="1"/>
    <xf numFmtId="38" fontId="4" fillId="4" borderId="0" xfId="0" applyNumberFormat="1" applyFont="1" applyFill="1" applyBorder="1" applyAlignment="1"/>
    <xf numFmtId="5" fontId="4" fillId="4" borderId="0" xfId="0" applyNumberFormat="1" applyFont="1" applyFill="1" applyBorder="1" applyAlignment="1"/>
    <xf numFmtId="0" fontId="13" fillId="4" borderId="0" xfId="0" applyFont="1" applyFill="1" applyBorder="1" applyAlignment="1"/>
    <xf numFmtId="38" fontId="8" fillId="0" borderId="0" xfId="0" applyNumberFormat="1" applyFont="1" applyBorder="1" applyAlignment="1"/>
    <xf numFmtId="166" fontId="2" fillId="4" borderId="0" xfId="0" applyNumberFormat="1" applyFont="1" applyFill="1" applyBorder="1" applyAlignment="1"/>
    <xf numFmtId="0" fontId="2" fillId="5" borderId="0" xfId="0" applyFont="1" applyFill="1" applyBorder="1" applyAlignment="1"/>
    <xf numFmtId="165" fontId="2" fillId="0" borderId="0" xfId="0" applyNumberFormat="1" applyFont="1" applyFill="1" applyBorder="1" applyAlignment="1"/>
    <xf numFmtId="2" fontId="2" fillId="5" borderId="0" xfId="0" applyNumberFormat="1" applyFont="1" applyFill="1" applyBorder="1" applyAlignment="1"/>
    <xf numFmtId="0" fontId="2" fillId="6" borderId="0" xfId="0" applyFont="1" applyFill="1" applyBorder="1" applyAlignment="1">
      <alignment vertical="center" wrapText="1"/>
    </xf>
    <xf numFmtId="38" fontId="0" fillId="7" borderId="0" xfId="0" applyNumberFormat="1" applyFont="1" applyFill="1" applyBorder="1" applyAlignment="1"/>
    <xf numFmtId="38" fontId="4" fillId="7" borderId="0" xfId="0" applyNumberFormat="1" applyFont="1" applyFill="1" applyBorder="1" applyAlignment="1"/>
    <xf numFmtId="0" fontId="15" fillId="2" borderId="0" xfId="4" applyFont="1" applyFill="1" applyBorder="1" applyAlignment="1">
      <alignment vertical="center"/>
    </xf>
    <xf numFmtId="0" fontId="15" fillId="2" borderId="0" xfId="4" applyFont="1" applyFill="1" applyBorder="1" applyAlignment="1"/>
    <xf numFmtId="0" fontId="15" fillId="2" borderId="0" xfId="4" applyFont="1" applyFill="1" applyBorder="1" applyAlignment="1">
      <alignment vertical="center" wrapText="1"/>
    </xf>
    <xf numFmtId="169" fontId="0" fillId="2" borderId="0" xfId="0" applyNumberFormat="1" applyFill="1" applyBorder="1" applyAlignment="1"/>
    <xf numFmtId="165" fontId="8" fillId="9" borderId="2" xfId="0" applyNumberFormat="1" applyFont="1" applyFill="1" applyBorder="1" applyAlignment="1"/>
    <xf numFmtId="0" fontId="30" fillId="9" borderId="3" xfId="0" applyFont="1" applyFill="1" applyBorder="1" applyAlignment="1"/>
    <xf numFmtId="180" fontId="8" fillId="9" borderId="5" xfId="5" applyNumberFormat="1" applyFont="1" applyFill="1" applyBorder="1" applyAlignment="1"/>
    <xf numFmtId="0" fontId="0" fillId="9" borderId="6" xfId="0" applyFont="1" applyFill="1" applyBorder="1" applyAlignment="1"/>
    <xf numFmtId="2" fontId="0" fillId="0" borderId="0" xfId="0" applyNumberFormat="1" applyFont="1" applyFill="1" applyBorder="1" applyAlignment="1"/>
    <xf numFmtId="0" fontId="30" fillId="0" borderId="0" xfId="0" applyFont="1" applyFill="1" applyBorder="1" applyAlignment="1"/>
    <xf numFmtId="165" fontId="8" fillId="2" borderId="2" xfId="0" applyNumberFormat="1" applyFont="1" applyFill="1" applyBorder="1" applyAlignment="1"/>
    <xf numFmtId="0" fontId="30" fillId="2" borderId="3" xfId="0" applyFont="1" applyFill="1" applyBorder="1" applyAlignment="1"/>
    <xf numFmtId="169" fontId="0" fillId="2" borderId="5" xfId="0" applyNumberFormat="1" applyFont="1" applyFill="1" applyBorder="1" applyAlignment="1"/>
    <xf numFmtId="0" fontId="0" fillId="2" borderId="6" xfId="0" applyFont="1" applyFill="1" applyBorder="1" applyAlignment="1"/>
    <xf numFmtId="0" fontId="18" fillId="2" borderId="0" xfId="0" applyFont="1" applyFill="1" applyBorder="1" applyAlignment="1"/>
    <xf numFmtId="0" fontId="18" fillId="0" borderId="0" xfId="0" applyFont="1" applyFill="1" applyBorder="1" applyAlignment="1"/>
    <xf numFmtId="0" fontId="25" fillId="2" borderId="0" xfId="0" applyFont="1" applyFill="1" applyBorder="1" applyAlignment="1"/>
    <xf numFmtId="10" fontId="8" fillId="0" borderId="0" xfId="0" applyNumberFormat="1" applyFont="1" applyFill="1" applyBorder="1" applyAlignment="1"/>
    <xf numFmtId="10" fontId="0" fillId="0" borderId="0" xfId="0" applyNumberFormat="1" applyFont="1" applyFill="1" applyBorder="1" applyAlignment="1"/>
    <xf numFmtId="41" fontId="0" fillId="2" borderId="0" xfId="5" applyFont="1" applyFill="1" applyBorder="1" applyAlignment="1"/>
    <xf numFmtId="165" fontId="0" fillId="2" borderId="0" xfId="0" applyNumberFormat="1" applyFont="1" applyFill="1" applyBorder="1" applyAlignment="1"/>
    <xf numFmtId="165" fontId="0" fillId="2" borderId="0" xfId="6" applyFont="1" applyFill="1" applyBorder="1" applyAlignment="1"/>
    <xf numFmtId="173" fontId="18" fillId="0" borderId="0" xfId="0" applyNumberFormat="1" applyFont="1" applyFill="1" applyBorder="1" applyAlignment="1"/>
    <xf numFmtId="41" fontId="0" fillId="0" borderId="0" xfId="0" applyNumberFormat="1" applyFont="1" applyFill="1" applyBorder="1" applyAlignment="1"/>
    <xf numFmtId="43" fontId="0" fillId="0" borderId="0" xfId="0" applyNumberFormat="1" applyFont="1" applyFill="1" applyBorder="1" applyAlignment="1"/>
    <xf numFmtId="9" fontId="0" fillId="0" borderId="0" xfId="0" applyNumberFormat="1" applyFont="1" applyFill="1" applyBorder="1" applyAlignment="1">
      <alignment vertical="center"/>
    </xf>
    <xf numFmtId="168" fontId="0" fillId="0" borderId="0" xfId="0" applyNumberFormat="1" applyFont="1" applyFill="1" applyBorder="1" applyAlignment="1">
      <alignment vertical="center"/>
    </xf>
    <xf numFmtId="3" fontId="0" fillId="2" borderId="0" xfId="0" applyNumberFormat="1" applyFont="1" applyFill="1" applyBorder="1" applyAlignment="1"/>
    <xf numFmtId="178" fontId="0" fillId="2" borderId="0" xfId="5" applyNumberFormat="1" applyFont="1" applyFill="1" applyBorder="1" applyAlignment="1"/>
    <xf numFmtId="165" fontId="8" fillId="2" borderId="0" xfId="0" applyNumberFormat="1" applyFont="1" applyFill="1" applyBorder="1" applyAlignment="1"/>
    <xf numFmtId="3" fontId="0" fillId="0" borderId="0" xfId="0" applyNumberFormat="1" applyFont="1" applyFill="1" applyBorder="1" applyAlignment="1">
      <alignment vertical="center" wrapText="1"/>
    </xf>
    <xf numFmtId="10" fontId="0" fillId="0" borderId="0" xfId="0" applyNumberFormat="1" applyFont="1" applyFill="1" applyBorder="1" applyAlignment="1">
      <alignment vertical="center"/>
    </xf>
    <xf numFmtId="3" fontId="0" fillId="0" borderId="0" xfId="0" applyNumberFormat="1" applyFont="1" applyFill="1" applyBorder="1" applyAlignment="1"/>
    <xf numFmtId="1" fontId="0" fillId="0" borderId="0" xfId="0" applyNumberFormat="1" applyFont="1" applyFill="1" applyBorder="1" applyAlignment="1"/>
    <xf numFmtId="3" fontId="19" fillId="0" borderId="0" xfId="0" applyNumberFormat="1" applyFont="1" applyFill="1" applyBorder="1" applyAlignment="1"/>
    <xf numFmtId="166" fontId="19" fillId="0" borderId="0" xfId="0" applyNumberFormat="1" applyFont="1" applyFill="1" applyBorder="1" applyAlignment="1"/>
    <xf numFmtId="174" fontId="0" fillId="0" borderId="0" xfId="0" applyNumberFormat="1" applyFont="1" applyFill="1" applyBorder="1" applyAlignment="1"/>
    <xf numFmtId="43" fontId="19" fillId="0" borderId="0" xfId="0" applyNumberFormat="1" applyFont="1" applyFill="1" applyBorder="1" applyAlignment="1"/>
    <xf numFmtId="10" fontId="19" fillId="0" borderId="0" xfId="0" applyNumberFormat="1" applyFont="1" applyFill="1" applyBorder="1" applyAlignment="1"/>
    <xf numFmtId="165" fontId="8" fillId="3" borderId="2" xfId="0" applyNumberFormat="1" applyFont="1" applyFill="1" applyBorder="1" applyAlignment="1"/>
    <xf numFmtId="0" fontId="30" fillId="3" borderId="3" xfId="0" applyFont="1" applyFill="1" applyBorder="1" applyAlignment="1"/>
    <xf numFmtId="3" fontId="8" fillId="0" borderId="0" xfId="0" applyNumberFormat="1" applyFont="1" applyFill="1" applyBorder="1" applyAlignment="1"/>
    <xf numFmtId="2" fontId="0" fillId="3" borderId="5" xfId="0" applyNumberFormat="1" applyFont="1" applyFill="1" applyBorder="1" applyAlignment="1"/>
    <xf numFmtId="0" fontId="0" fillId="3" borderId="6" xfId="0" applyFont="1" applyFill="1" applyBorder="1" applyAlignment="1"/>
    <xf numFmtId="0" fontId="18" fillId="3" borderId="0" xfId="0" applyFont="1" applyFill="1" applyBorder="1" applyAlignment="1"/>
    <xf numFmtId="3" fontId="18" fillId="0" borderId="0" xfId="0" applyNumberFormat="1" applyFont="1" applyFill="1" applyBorder="1" applyAlignment="1"/>
    <xf numFmtId="0" fontId="25" fillId="3" borderId="0" xfId="0" applyFont="1" applyFill="1" applyBorder="1" applyAlignment="1"/>
    <xf numFmtId="0" fontId="20" fillId="0" borderId="0" xfId="0" applyFont="1" applyFill="1" applyBorder="1" applyAlignment="1"/>
    <xf numFmtId="165" fontId="0" fillId="3" borderId="0" xfId="6" applyFont="1" applyFill="1" applyBorder="1" applyAlignment="1"/>
    <xf numFmtId="3" fontId="0" fillId="3" borderId="0" xfId="0" applyNumberFormat="1" applyFont="1" applyFill="1" applyBorder="1" applyAlignment="1"/>
    <xf numFmtId="165" fontId="0" fillId="3" borderId="0" xfId="0" applyNumberFormat="1" applyFont="1" applyFill="1" applyBorder="1" applyAlignment="1"/>
    <xf numFmtId="178" fontId="0" fillId="3" borderId="0" xfId="5" applyNumberFormat="1" applyFont="1" applyFill="1" applyBorder="1" applyAlignment="1"/>
    <xf numFmtId="41" fontId="0" fillId="3" borderId="0" xfId="5" applyFont="1" applyFill="1" applyBorder="1" applyAlignment="1"/>
    <xf numFmtId="165" fontId="8" fillId="3" borderId="0" xfId="0" applyNumberFormat="1" applyFont="1" applyFill="1" applyBorder="1" applyAlignment="1"/>
    <xf numFmtId="0" fontId="18" fillId="0" borderId="0" xfId="0" applyFont="1" applyFill="1" applyBorder="1" applyAlignment="1">
      <alignment vertical="center"/>
    </xf>
    <xf numFmtId="165" fontId="8" fillId="4" borderId="2" xfId="0" applyNumberFormat="1" applyFont="1" applyFill="1" applyBorder="1" applyAlignment="1"/>
    <xf numFmtId="0" fontId="30" fillId="4" borderId="3" xfId="0" applyFont="1" applyFill="1" applyBorder="1" applyAlignment="1"/>
    <xf numFmtId="169" fontId="0" fillId="4" borderId="5" xfId="0" applyNumberFormat="1" applyFont="1" applyFill="1" applyBorder="1" applyAlignment="1"/>
    <xf numFmtId="0" fontId="0" fillId="4" borderId="6" xfId="0" applyFont="1" applyFill="1" applyBorder="1" applyAlignment="1"/>
    <xf numFmtId="0" fontId="18" fillId="4" borderId="0" xfId="0" applyFont="1" applyFill="1" applyBorder="1" applyAlignment="1"/>
    <xf numFmtId="173" fontId="21" fillId="0" borderId="0" xfId="0" applyNumberFormat="1" applyFont="1" applyFill="1" applyBorder="1" applyAlignment="1"/>
    <xf numFmtId="0" fontId="25" fillId="4" borderId="0" xfId="0" applyFont="1" applyFill="1" applyBorder="1" applyAlignment="1"/>
    <xf numFmtId="0" fontId="8" fillId="4" borderId="0" xfId="0" applyFont="1" applyFill="1" applyBorder="1" applyAlignment="1"/>
    <xf numFmtId="173" fontId="0" fillId="0" borderId="0" xfId="0" applyNumberFormat="1" applyFont="1" applyFill="1" applyBorder="1" applyAlignment="1"/>
    <xf numFmtId="165" fontId="0" fillId="4" borderId="0" xfId="6" applyFont="1" applyFill="1" applyBorder="1" applyAlignment="1"/>
    <xf numFmtId="41" fontId="0" fillId="4" borderId="0" xfId="5" applyFont="1" applyFill="1" applyBorder="1" applyAlignment="1"/>
    <xf numFmtId="3" fontId="0" fillId="4" borderId="0" xfId="0" applyNumberFormat="1" applyFont="1" applyFill="1" applyBorder="1" applyAlignment="1"/>
    <xf numFmtId="165" fontId="0" fillId="4" borderId="0" xfId="0" applyNumberFormat="1" applyFont="1" applyFill="1" applyBorder="1" applyAlignment="1"/>
    <xf numFmtId="165" fontId="8" fillId="4" borderId="0" xfId="0" applyNumberFormat="1" applyFont="1" applyFill="1" applyBorder="1" applyAlignment="1"/>
    <xf numFmtId="165" fontId="0" fillId="0" borderId="0" xfId="0" applyNumberFormat="1" applyFont="1" applyFill="1" applyBorder="1" applyAlignment="1"/>
    <xf numFmtId="165" fontId="8" fillId="5" borderId="2" xfId="0" applyNumberFormat="1" applyFont="1" applyFill="1" applyBorder="1" applyAlignment="1"/>
    <xf numFmtId="0" fontId="30" fillId="5" borderId="3" xfId="0" applyFont="1" applyFill="1" applyBorder="1" applyAlignment="1"/>
    <xf numFmtId="169" fontId="0" fillId="5" borderId="5" xfId="0" applyNumberFormat="1" applyFont="1" applyFill="1" applyBorder="1" applyAlignment="1"/>
    <xf numFmtId="0" fontId="0" fillId="5" borderId="6" xfId="0" applyFont="1" applyFill="1" applyBorder="1" applyAlignment="1"/>
    <xf numFmtId="0" fontId="25" fillId="5" borderId="0" xfId="0" applyFont="1" applyFill="1" applyBorder="1" applyAlignment="1"/>
    <xf numFmtId="0" fontId="8" fillId="5" borderId="0" xfId="0" applyFont="1" applyFill="1" applyBorder="1" applyAlignment="1"/>
    <xf numFmtId="41" fontId="0" fillId="5" borderId="0" xfId="5" applyFont="1" applyFill="1" applyBorder="1" applyAlignment="1"/>
    <xf numFmtId="165" fontId="0" fillId="5" borderId="0" xfId="0" applyNumberFormat="1" applyFont="1" applyFill="1" applyBorder="1" applyAlignment="1"/>
    <xf numFmtId="165" fontId="0" fillId="5" borderId="0" xfId="6" applyFont="1" applyFill="1" applyBorder="1" applyAlignment="1"/>
    <xf numFmtId="3" fontId="0" fillId="5" borderId="0" xfId="0" applyNumberFormat="1" applyFont="1" applyFill="1" applyBorder="1" applyAlignment="1"/>
    <xf numFmtId="165" fontId="8" fillId="5" borderId="0" xfId="0" applyNumberFormat="1" applyFont="1" applyFill="1" applyBorder="1" applyAlignment="1"/>
    <xf numFmtId="165" fontId="8" fillId="6" borderId="2" xfId="0" applyNumberFormat="1" applyFont="1" applyFill="1" applyBorder="1" applyAlignment="1"/>
    <xf numFmtId="0" fontId="30" fillId="6" borderId="3" xfId="0" applyFont="1" applyFill="1" applyBorder="1" applyAlignment="1"/>
    <xf numFmtId="169" fontId="0" fillId="6" borderId="5" xfId="0" applyNumberFormat="1" applyFont="1" applyFill="1" applyBorder="1" applyAlignment="1"/>
    <xf numFmtId="0" fontId="0" fillId="6" borderId="6" xfId="0" applyFont="1" applyFill="1" applyBorder="1" applyAlignment="1"/>
    <xf numFmtId="0" fontId="18" fillId="6" borderId="0" xfId="0" applyFont="1" applyFill="1" applyBorder="1" applyAlignment="1"/>
    <xf numFmtId="0" fontId="25" fillId="6" borderId="0" xfId="0" applyFont="1" applyFill="1" applyBorder="1" applyAlignment="1"/>
    <xf numFmtId="41" fontId="0" fillId="6" borderId="0" xfId="5" applyFont="1" applyFill="1" applyBorder="1" applyAlignment="1"/>
    <xf numFmtId="165" fontId="0" fillId="6" borderId="0" xfId="0" applyNumberFormat="1" applyFont="1" applyFill="1" applyBorder="1" applyAlignment="1"/>
    <xf numFmtId="165" fontId="0" fillId="6" borderId="0" xfId="6" applyFont="1" applyFill="1" applyBorder="1" applyAlignment="1"/>
    <xf numFmtId="3" fontId="0" fillId="6" borderId="0" xfId="0" applyNumberFormat="1" applyFont="1" applyFill="1" applyBorder="1" applyAlignment="1"/>
    <xf numFmtId="165" fontId="8" fillId="6" borderId="0" xfId="0" applyNumberFormat="1" applyFont="1" applyFill="1" applyBorder="1" applyAlignment="1"/>
    <xf numFmtId="165" fontId="8" fillId="8" borderId="2" xfId="0" applyNumberFormat="1" applyFont="1" applyFill="1" applyBorder="1" applyAlignment="1"/>
    <xf numFmtId="0" fontId="30" fillId="8" borderId="3" xfId="0" applyFont="1" applyFill="1" applyBorder="1" applyAlignment="1"/>
    <xf numFmtId="169" fontId="0" fillId="8" borderId="5" xfId="0" applyNumberFormat="1" applyFont="1" applyFill="1" applyBorder="1" applyAlignment="1"/>
    <xf numFmtId="0" fontId="0" fillId="8" borderId="6" xfId="0" applyFont="1" applyFill="1" applyBorder="1" applyAlignment="1"/>
    <xf numFmtId="0" fontId="18" fillId="8" borderId="0" xfId="0" applyFont="1" applyFill="1" applyBorder="1" applyAlignment="1"/>
    <xf numFmtId="0" fontId="25" fillId="8" borderId="0" xfId="0" applyFont="1" applyFill="1" applyBorder="1" applyAlignment="1"/>
    <xf numFmtId="0" fontId="6" fillId="0" borderId="0" xfId="0" applyFont="1" applyFill="1" applyBorder="1" applyAlignment="1"/>
    <xf numFmtId="41" fontId="0" fillId="8" borderId="0" xfId="5" applyFont="1" applyFill="1" applyBorder="1" applyAlignment="1"/>
    <xf numFmtId="165" fontId="0" fillId="8" borderId="0" xfId="0" applyNumberFormat="1" applyFont="1" applyFill="1" applyBorder="1" applyAlignment="1"/>
    <xf numFmtId="165" fontId="0" fillId="8" borderId="0" xfId="6" applyFont="1" applyFill="1" applyBorder="1" applyAlignment="1"/>
    <xf numFmtId="3" fontId="0" fillId="8" borderId="0" xfId="0" applyNumberFormat="1" applyFont="1" applyFill="1" applyBorder="1" applyAlignment="1"/>
    <xf numFmtId="165" fontId="8" fillId="8" borderId="0" xfId="0" applyNumberFormat="1" applyFont="1" applyFill="1" applyBorder="1" applyAlignment="1"/>
    <xf numFmtId="166" fontId="0" fillId="0" borderId="0" xfId="0" applyNumberFormat="1" applyFont="1" applyFill="1" applyBorder="1" applyAlignment="1"/>
    <xf numFmtId="0" fontId="3" fillId="2" borderId="0" xfId="0" applyFont="1" applyFill="1" applyAlignment="1"/>
    <xf numFmtId="11" fontId="0" fillId="2" borderId="0" xfId="0" applyNumberFormat="1" applyFont="1" applyFill="1" applyBorder="1" applyAlignment="1"/>
    <xf numFmtId="11" fontId="0" fillId="0" borderId="0" xfId="0" applyNumberFormat="1" applyFont="1" applyFill="1" applyBorder="1" applyAlignment="1"/>
    <xf numFmtId="11" fontId="18" fillId="3" borderId="0" xfId="0" applyNumberFormat="1" applyFont="1" applyFill="1" applyBorder="1" applyAlignment="1"/>
    <xf numFmtId="0" fontId="0" fillId="3" borderId="0" xfId="0" applyFill="1" applyAlignment="1"/>
    <xf numFmtId="11" fontId="0" fillId="0" borderId="0" xfId="5" applyNumberFormat="1" applyFont="1" applyAlignment="1"/>
    <xf numFmtId="11" fontId="18" fillId="0" borderId="0" xfId="0" applyNumberFormat="1" applyFont="1" applyFill="1" applyBorder="1" applyAlignment="1"/>
    <xf numFmtId="3" fontId="2" fillId="4" borderId="0" xfId="0" applyNumberFormat="1" applyFont="1" applyFill="1" applyAlignment="1"/>
    <xf numFmtId="0" fontId="4" fillId="4" borderId="0" xfId="0" applyFont="1" applyFill="1" applyAlignment="1"/>
    <xf numFmtId="41" fontId="0" fillId="4" borderId="0" xfId="5" applyFont="1" applyFill="1" applyAlignment="1"/>
    <xf numFmtId="179" fontId="0" fillId="4" borderId="0" xfId="5" applyNumberFormat="1" applyFont="1" applyFill="1" applyAlignment="1"/>
    <xf numFmtId="179" fontId="0" fillId="0" borderId="0" xfId="5" applyNumberFormat="1" applyFont="1" applyAlignment="1"/>
    <xf numFmtId="49" fontId="3" fillId="8" borderId="0" xfId="0" applyNumberFormat="1" applyFont="1" applyFill="1" applyBorder="1" applyAlignment="1"/>
    <xf numFmtId="49" fontId="0" fillId="8" borderId="0" xfId="0" applyNumberFormat="1" applyFont="1" applyFill="1" applyBorder="1" applyAlignment="1"/>
    <xf numFmtId="49" fontId="3" fillId="7" borderId="0" xfId="0" applyNumberFormat="1" applyFont="1" applyFill="1" applyBorder="1" applyAlignment="1"/>
    <xf numFmtId="0" fontId="0" fillId="7" borderId="0" xfId="0" applyFill="1" applyAlignment="1"/>
    <xf numFmtId="49" fontId="0" fillId="7" borderId="0" xfId="0" applyNumberFormat="1" applyFont="1" applyFill="1" applyBorder="1" applyAlignment="1"/>
    <xf numFmtId="0" fontId="0" fillId="7" borderId="0" xfId="0" applyFont="1" applyFill="1" applyAlignment="1"/>
    <xf numFmtId="49" fontId="8" fillId="7" borderId="0" xfId="0" applyNumberFormat="1" applyFont="1" applyFill="1" applyBorder="1" applyAlignment="1"/>
    <xf numFmtId="0" fontId="8" fillId="7" borderId="0" xfId="0" applyFont="1" applyFill="1" applyAlignment="1"/>
    <xf numFmtId="49" fontId="0" fillId="2" borderId="0" xfId="0" applyNumberFormat="1" applyFont="1" applyFill="1" applyBorder="1" applyAlignment="1"/>
    <xf numFmtId="0" fontId="0" fillId="2" borderId="0" xfId="0" applyFont="1" applyFill="1" applyAlignment="1"/>
    <xf numFmtId="49" fontId="8" fillId="2" borderId="0" xfId="0" applyNumberFormat="1" applyFont="1" applyFill="1" applyBorder="1" applyAlignment="1"/>
    <xf numFmtId="49" fontId="0" fillId="3" borderId="0" xfId="0" applyNumberFormat="1" applyFont="1" applyFill="1" applyBorder="1" applyAlignment="1"/>
    <xf numFmtId="0" fontId="10" fillId="0" borderId="0" xfId="0" applyFont="1" applyBorder="1" applyAlignment="1" applyProtection="1"/>
    <xf numFmtId="175" fontId="10" fillId="0" borderId="0" xfId="0" applyNumberFormat="1" applyFont="1" applyBorder="1" applyAlignment="1" applyProtection="1"/>
    <xf numFmtId="0" fontId="2" fillId="0" borderId="0" xfId="0" applyFont="1" applyBorder="1" applyAlignment="1" applyProtection="1"/>
    <xf numFmtId="0" fontId="2" fillId="0" borderId="0" xfId="0" applyFont="1" applyFill="1" applyBorder="1" applyAlignment="1" applyProtection="1"/>
    <xf numFmtId="38" fontId="0" fillId="4" borderId="0" xfId="0" applyNumberFormat="1" applyFont="1" applyFill="1" applyBorder="1" applyAlignment="1">
      <alignment vertical="center"/>
    </xf>
    <xf numFmtId="0" fontId="0" fillId="2" borderId="0" xfId="0" applyFont="1" applyFill="1" applyBorder="1" applyAlignment="1">
      <alignment vertical="center"/>
    </xf>
    <xf numFmtId="164" fontId="0" fillId="0" borderId="0" xfId="0" applyNumberFormat="1" applyFont="1" applyFill="1" applyBorder="1" applyAlignment="1"/>
    <xf numFmtId="0" fontId="0" fillId="0" borderId="0" xfId="0" applyFont="1" applyBorder="1" applyAlignment="1"/>
    <xf numFmtId="180" fontId="2" fillId="7" borderId="0" xfId="5" applyNumberFormat="1" applyFont="1" applyFill="1" applyBorder="1" applyAlignment="1">
      <alignment vertical="center" wrapText="1"/>
    </xf>
    <xf numFmtId="180" fontId="8" fillId="7" borderId="0" xfId="5" applyNumberFormat="1" applyFont="1" applyFill="1" applyBorder="1" applyAlignment="1">
      <alignment vertical="center"/>
    </xf>
    <xf numFmtId="41" fontId="0" fillId="3" borderId="0" xfId="5" applyFont="1" applyFill="1" applyAlignment="1"/>
    <xf numFmtId="0" fontId="8" fillId="3" borderId="0" xfId="0" applyFont="1" applyFill="1" applyAlignment="1"/>
    <xf numFmtId="0" fontId="0" fillId="3" borderId="0" xfId="0" applyFont="1" applyFill="1" applyAlignment="1"/>
    <xf numFmtId="176" fontId="0" fillId="3" borderId="0" xfId="0" applyNumberFormat="1" applyFont="1" applyFill="1" applyBorder="1" applyAlignment="1"/>
    <xf numFmtId="41" fontId="0" fillId="0" borderId="0" xfId="5" applyFont="1"/>
    <xf numFmtId="179" fontId="0" fillId="0" borderId="0" xfId="5" applyNumberFormat="1" applyFont="1"/>
    <xf numFmtId="38" fontId="4" fillId="0" borderId="0" xfId="0" applyNumberFormat="1" applyFont="1" applyFill="1" applyBorder="1" applyAlignment="1"/>
    <xf numFmtId="0" fontId="0" fillId="0" borderId="0" xfId="0" applyFill="1"/>
    <xf numFmtId="180" fontId="2" fillId="0" borderId="0" xfId="5" applyNumberFormat="1" applyFont="1" applyFill="1" applyBorder="1" applyAlignment="1">
      <alignment vertical="center" wrapText="1"/>
    </xf>
    <xf numFmtId="0" fontId="2" fillId="6" borderId="0" xfId="0" applyFont="1" applyFill="1" applyBorder="1" applyAlignment="1">
      <alignment horizontal="left" vertical="center" indent="1"/>
    </xf>
    <xf numFmtId="0" fontId="8" fillId="0" borderId="0" xfId="0" applyFont="1" applyBorder="1" applyAlignment="1"/>
    <xf numFmtId="5" fontId="8" fillId="0" borderId="0" xfId="0" applyNumberFormat="1" applyFont="1" applyBorder="1" applyAlignment="1"/>
    <xf numFmtId="0" fontId="8" fillId="7" borderId="0" xfId="0" applyFont="1" applyFill="1" applyBorder="1" applyAlignment="1">
      <alignment vertical="center" wrapText="1"/>
    </xf>
    <xf numFmtId="0" fontId="8" fillId="8" borderId="0" xfId="0" applyFont="1" applyFill="1" applyBorder="1" applyAlignment="1">
      <alignment vertical="center" wrapText="1"/>
    </xf>
    <xf numFmtId="0" fontId="8" fillId="6" borderId="0" xfId="0" applyFont="1" applyFill="1" applyBorder="1" applyAlignment="1">
      <alignment vertical="center" wrapText="1"/>
    </xf>
    <xf numFmtId="0" fontId="8" fillId="7" borderId="0" xfId="0" applyFont="1" applyFill="1" applyAlignment="1">
      <alignment vertical="center"/>
    </xf>
    <xf numFmtId="5" fontId="8" fillId="7" borderId="0" xfId="0" applyNumberFormat="1" applyFont="1" applyFill="1" applyAlignment="1">
      <alignment vertical="center"/>
    </xf>
    <xf numFmtId="0" fontId="2" fillId="7" borderId="0" xfId="0" applyFont="1" applyFill="1" applyAlignment="1">
      <alignment vertical="center"/>
    </xf>
    <xf numFmtId="165" fontId="2" fillId="7" borderId="0" xfId="6" applyFont="1" applyFill="1" applyAlignment="1">
      <alignment vertical="center"/>
    </xf>
    <xf numFmtId="2" fontId="2" fillId="7" borderId="0" xfId="0" applyNumberFormat="1" applyFont="1" applyFill="1" applyBorder="1" applyAlignment="1">
      <alignment vertical="center"/>
    </xf>
    <xf numFmtId="0" fontId="3" fillId="3" borderId="0" xfId="0" applyFont="1" applyFill="1"/>
    <xf numFmtId="0" fontId="0" fillId="3" borderId="0" xfId="0" applyFill="1"/>
    <xf numFmtId="38" fontId="0" fillId="3" borderId="0" xfId="0" applyNumberFormat="1" applyFill="1"/>
    <xf numFmtId="0" fontId="3" fillId="4" borderId="0" xfId="0" applyFont="1" applyFill="1"/>
    <xf numFmtId="0" fontId="0" fillId="4" borderId="0" xfId="0" applyFill="1"/>
    <xf numFmtId="0" fontId="8" fillId="4" borderId="0" xfId="0" applyFont="1" applyFill="1"/>
    <xf numFmtId="0" fontId="8" fillId="2" borderId="0" xfId="0" applyNumberFormat="1" applyFont="1" applyFill="1" applyBorder="1" applyAlignment="1"/>
    <xf numFmtId="0" fontId="13" fillId="2" borderId="0" xfId="0" applyFont="1" applyFill="1" applyBorder="1" applyAlignment="1">
      <alignment vertical="center"/>
    </xf>
    <xf numFmtId="9" fontId="8" fillId="2" borderId="0" xfId="0" applyNumberFormat="1" applyFont="1" applyFill="1" applyBorder="1" applyAlignment="1">
      <alignment vertical="center"/>
    </xf>
    <xf numFmtId="0" fontId="3" fillId="5" borderId="0" xfId="0" applyFont="1" applyFill="1"/>
    <xf numFmtId="0" fontId="0" fillId="5" borderId="0" xfId="0" applyFill="1"/>
    <xf numFmtId="0" fontId="8" fillId="5" borderId="0" xfId="0" applyFont="1" applyFill="1"/>
    <xf numFmtId="9" fontId="0" fillId="5" borderId="0" xfId="1" applyFont="1" applyFill="1"/>
    <xf numFmtId="168" fontId="0" fillId="4" borderId="0" xfId="1" applyNumberFormat="1" applyFont="1" applyFill="1" applyBorder="1" applyAlignment="1"/>
    <xf numFmtId="178" fontId="0" fillId="4" borderId="0" xfId="5" applyNumberFormat="1" applyFont="1" applyFill="1" applyBorder="1" applyAlignment="1"/>
    <xf numFmtId="180" fontId="0" fillId="8" borderId="0" xfId="5" applyNumberFormat="1" applyFont="1" applyFill="1" applyBorder="1" applyAlignment="1"/>
    <xf numFmtId="0" fontId="8" fillId="3" borderId="0" xfId="0" applyFont="1" applyFill="1"/>
    <xf numFmtId="38" fontId="8" fillId="0" borderId="0" xfId="0" applyNumberFormat="1" applyFont="1" applyFill="1" applyBorder="1" applyAlignment="1">
      <alignment vertical="center"/>
    </xf>
    <xf numFmtId="165" fontId="0" fillId="3" borderId="0" xfId="6" applyFont="1" applyFill="1"/>
    <xf numFmtId="165" fontId="0" fillId="3" borderId="0" xfId="0" applyNumberFormat="1" applyFill="1"/>
    <xf numFmtId="0" fontId="0" fillId="3" borderId="0" xfId="0" applyFont="1" applyFill="1"/>
    <xf numFmtId="9" fontId="0" fillId="4" borderId="0" xfId="1" applyFont="1" applyFill="1"/>
    <xf numFmtId="38" fontId="0" fillId="0" borderId="0" xfId="0" applyNumberFormat="1" applyAlignment="1"/>
    <xf numFmtId="166" fontId="0" fillId="3" borderId="0" xfId="0" applyNumberFormat="1" applyFill="1"/>
    <xf numFmtId="179" fontId="0" fillId="3" borderId="0" xfId="5" applyNumberFormat="1" applyFont="1" applyFill="1"/>
    <xf numFmtId="165" fontId="0" fillId="3" borderId="0" xfId="6" applyFont="1" applyFill="1" applyAlignment="1"/>
    <xf numFmtId="166" fontId="0" fillId="3" borderId="0" xfId="0" applyNumberFormat="1" applyFill="1" applyAlignment="1"/>
    <xf numFmtId="9" fontId="0" fillId="3" borderId="0" xfId="1" applyFont="1" applyFill="1"/>
    <xf numFmtId="166" fontId="0" fillId="0" borderId="0" xfId="0" applyNumberFormat="1"/>
    <xf numFmtId="5" fontId="2" fillId="7" borderId="0" xfId="0" applyNumberFormat="1" applyFont="1" applyFill="1" applyAlignment="1">
      <alignment vertical="center"/>
    </xf>
    <xf numFmtId="9" fontId="2" fillId="4" borderId="0" xfId="1" applyFont="1" applyFill="1" applyBorder="1" applyAlignment="1"/>
    <xf numFmtId="9" fontId="4" fillId="4" borderId="0" xfId="1" applyFont="1" applyFill="1" applyBorder="1" applyAlignment="1"/>
    <xf numFmtId="166" fontId="0" fillId="4" borderId="0" xfId="6" applyNumberFormat="1" applyFont="1" applyFill="1"/>
    <xf numFmtId="9" fontId="2" fillId="4" borderId="0" xfId="1" applyFont="1" applyFill="1" applyBorder="1" applyAlignment="1">
      <alignment vertical="center" wrapText="1"/>
    </xf>
    <xf numFmtId="0" fontId="3" fillId="6" borderId="0" xfId="0" applyFont="1" applyFill="1"/>
    <xf numFmtId="0" fontId="0" fillId="6" borderId="0" xfId="0" applyFill="1"/>
    <xf numFmtId="0" fontId="8" fillId="6" borderId="0" xfId="0" applyFont="1" applyFill="1"/>
    <xf numFmtId="0" fontId="0" fillId="6" borderId="0" xfId="0" applyFill="1" applyAlignment="1">
      <alignment horizontal="right"/>
    </xf>
    <xf numFmtId="166" fontId="0" fillId="6" borderId="0" xfId="6" applyNumberFormat="1" applyFont="1" applyFill="1"/>
    <xf numFmtId="0" fontId="8" fillId="0" borderId="0" xfId="0" applyFont="1" applyFill="1"/>
    <xf numFmtId="0" fontId="0" fillId="6" borderId="0" xfId="0" applyFill="1" applyAlignment="1">
      <alignment horizontal="right" indent="1"/>
    </xf>
    <xf numFmtId="0" fontId="0" fillId="5" borderId="0" xfId="0" applyFont="1" applyFill="1"/>
    <xf numFmtId="11" fontId="0" fillId="4" borderId="0" xfId="5" applyNumberFormat="1" applyFont="1" applyFill="1" applyBorder="1" applyAlignment="1"/>
    <xf numFmtId="11" fontId="0" fillId="5" borderId="0" xfId="5" applyNumberFormat="1" applyFont="1" applyFill="1" applyBorder="1" applyAlignment="1"/>
    <xf numFmtId="0" fontId="4" fillId="5" borderId="0" xfId="0" applyFont="1" applyFill="1" applyBorder="1" applyAlignment="1">
      <alignment vertical="center"/>
    </xf>
    <xf numFmtId="11" fontId="2" fillId="5" borderId="0" xfId="0" applyNumberFormat="1" applyFont="1" applyFill="1" applyAlignment="1"/>
    <xf numFmtId="0" fontId="4" fillId="5" borderId="0" xfId="0" applyFont="1" applyFill="1" applyAlignment="1"/>
    <xf numFmtId="0" fontId="4" fillId="5" borderId="0" xfId="0" applyFont="1" applyFill="1" applyBorder="1" applyAlignment="1">
      <alignment vertical="center" wrapText="1"/>
    </xf>
    <xf numFmtId="11" fontId="0" fillId="5" borderId="0" xfId="5" applyNumberFormat="1" applyFont="1" applyFill="1" applyAlignment="1"/>
    <xf numFmtId="0" fontId="18" fillId="6" borderId="0" xfId="0" applyFont="1" applyFill="1" applyBorder="1" applyAlignment="1">
      <alignment wrapText="1"/>
    </xf>
    <xf numFmtId="169" fontId="28" fillId="6" borderId="0" xfId="0" applyNumberFormat="1" applyFont="1" applyFill="1" applyBorder="1" applyAlignment="1"/>
    <xf numFmtId="0" fontId="20" fillId="6" borderId="0" xfId="0" applyFont="1" applyFill="1" applyBorder="1" applyAlignment="1">
      <alignment wrapText="1"/>
    </xf>
    <xf numFmtId="0" fontId="0" fillId="6" borderId="0" xfId="0" applyFill="1" applyAlignment="1"/>
    <xf numFmtId="11" fontId="0" fillId="8" borderId="0" xfId="5" applyNumberFormat="1" applyFont="1" applyFill="1" applyBorder="1" applyAlignment="1"/>
    <xf numFmtId="11" fontId="18" fillId="8" borderId="0" xfId="5" applyNumberFormat="1" applyFont="1" applyFill="1" applyBorder="1" applyAlignment="1"/>
    <xf numFmtId="49" fontId="3" fillId="9" borderId="0" xfId="0" applyNumberFormat="1" applyFont="1" applyFill="1" applyBorder="1" applyAlignment="1"/>
    <xf numFmtId="0" fontId="0" fillId="9" borderId="0" xfId="0" applyFill="1" applyAlignment="1"/>
    <xf numFmtId="49" fontId="0" fillId="9" borderId="0" xfId="0" applyNumberFormat="1" applyFont="1" applyFill="1" applyBorder="1" applyAlignment="1"/>
    <xf numFmtId="0" fontId="0" fillId="9" borderId="0" xfId="0" applyFont="1" applyFill="1" applyAlignment="1"/>
    <xf numFmtId="49" fontId="8" fillId="9" borderId="0" xfId="0" applyNumberFormat="1" applyFont="1" applyFill="1" applyBorder="1" applyAlignment="1"/>
    <xf numFmtId="0" fontId="8" fillId="9" borderId="0" xfId="0" applyFont="1" applyFill="1" applyAlignment="1"/>
    <xf numFmtId="49" fontId="3" fillId="2" borderId="0" xfId="0" applyNumberFormat="1" applyFont="1" applyFill="1" applyBorder="1" applyAlignment="1"/>
    <xf numFmtId="49" fontId="8" fillId="3" borderId="0" xfId="0" applyNumberFormat="1" applyFont="1" applyFill="1" applyBorder="1" applyAlignment="1"/>
    <xf numFmtId="49" fontId="0" fillId="4" borderId="0" xfId="0" applyNumberFormat="1" applyFont="1" applyFill="1" applyBorder="1" applyAlignment="1"/>
    <xf numFmtId="0" fontId="19" fillId="4" borderId="0" xfId="0" applyFont="1" applyFill="1" applyBorder="1" applyAlignment="1"/>
    <xf numFmtId="11" fontId="19" fillId="4" borderId="0" xfId="5" applyNumberFormat="1" applyFont="1" applyFill="1" applyBorder="1" applyAlignment="1"/>
    <xf numFmtId="178" fontId="18" fillId="4" borderId="0" xfId="5" applyNumberFormat="1" applyFont="1" applyFill="1" applyBorder="1" applyAlignment="1"/>
    <xf numFmtId="0" fontId="8" fillId="4" borderId="0" xfId="0" applyFont="1" applyFill="1" applyAlignment="1"/>
    <xf numFmtId="0" fontId="0" fillId="4" borderId="0" xfId="0" applyFill="1" applyAlignment="1"/>
    <xf numFmtId="0" fontId="0" fillId="4" borderId="0" xfId="0" applyFont="1" applyFill="1" applyAlignment="1"/>
    <xf numFmtId="0" fontId="8" fillId="4" borderId="0" xfId="0" applyFont="1" applyFill="1" applyAlignment="1">
      <alignment horizontal="left" indent="1"/>
    </xf>
    <xf numFmtId="176" fontId="0" fillId="4" borderId="0" xfId="0" applyNumberFormat="1" applyFill="1" applyAlignment="1"/>
    <xf numFmtId="179" fontId="18" fillId="4" borderId="0" xfId="5" applyNumberFormat="1" applyFont="1" applyFill="1" applyBorder="1" applyAlignment="1"/>
    <xf numFmtId="179" fontId="0" fillId="4" borderId="0" xfId="5" applyNumberFormat="1" applyFont="1" applyFill="1" applyBorder="1" applyAlignment="1"/>
    <xf numFmtId="0" fontId="4" fillId="4" borderId="0" xfId="0" applyFont="1" applyFill="1" applyBorder="1" applyAlignment="1"/>
    <xf numFmtId="0" fontId="0" fillId="5" borderId="0" xfId="0" applyFill="1" applyAlignment="1"/>
    <xf numFmtId="49" fontId="0" fillId="5" borderId="0" xfId="0" applyNumberFormat="1" applyFont="1" applyFill="1" applyBorder="1" applyAlignment="1"/>
    <xf numFmtId="0" fontId="0" fillId="5" borderId="0" xfId="0" applyFont="1" applyFill="1" applyAlignment="1"/>
    <xf numFmtId="49" fontId="8" fillId="5" borderId="0" xfId="0" applyNumberFormat="1" applyFont="1" applyFill="1" applyBorder="1" applyAlignment="1"/>
    <xf numFmtId="0" fontId="8" fillId="5" borderId="0" xfId="0" applyFont="1" applyFill="1" applyAlignment="1"/>
    <xf numFmtId="165" fontId="0" fillId="5" borderId="0" xfId="6" applyFont="1" applyFill="1" applyAlignment="1"/>
    <xf numFmtId="165" fontId="0" fillId="5" borderId="0" xfId="0" applyNumberFormat="1" applyFill="1" applyAlignment="1"/>
    <xf numFmtId="11" fontId="0" fillId="5" borderId="0" xfId="0" applyNumberFormat="1" applyFill="1" applyAlignment="1"/>
    <xf numFmtId="41" fontId="0" fillId="5" borderId="0" xfId="5" applyFont="1" applyFill="1" applyAlignment="1"/>
    <xf numFmtId="0" fontId="29" fillId="0" borderId="0" xfId="0" applyFont="1" applyFill="1" applyAlignment="1"/>
    <xf numFmtId="176" fontId="0" fillId="8" borderId="0" xfId="0" applyNumberFormat="1" applyFont="1" applyFill="1" applyBorder="1" applyAlignment="1"/>
    <xf numFmtId="0" fontId="13" fillId="5" borderId="0" xfId="0" applyFont="1" applyFill="1" applyBorder="1" applyAlignment="1">
      <alignment vertical="center"/>
    </xf>
    <xf numFmtId="0" fontId="19" fillId="5" borderId="0" xfId="0" applyFont="1" applyFill="1" applyBorder="1" applyAlignment="1"/>
    <xf numFmtId="49" fontId="3" fillId="5" borderId="0" xfId="0" applyNumberFormat="1" applyFont="1" applyFill="1" applyBorder="1" applyAlignment="1"/>
    <xf numFmtId="49" fontId="3" fillId="4" borderId="0" xfId="0" applyNumberFormat="1" applyFont="1" applyFill="1" applyBorder="1" applyAlignment="1"/>
    <xf numFmtId="49" fontId="3" fillId="3" borderId="0" xfId="0" applyNumberFormat="1" applyFont="1" applyFill="1" applyBorder="1" applyAlignment="1"/>
    <xf numFmtId="179" fontId="0" fillId="5" borderId="0" xfId="5" applyNumberFormat="1" applyFont="1" applyFill="1" applyAlignment="1"/>
    <xf numFmtId="0" fontId="8" fillId="6" borderId="0" xfId="0" applyNumberFormat="1" applyFont="1" applyFill="1"/>
    <xf numFmtId="181" fontId="0" fillId="0" borderId="0" xfId="0" applyNumberFormat="1"/>
    <xf numFmtId="41" fontId="0" fillId="0" borderId="0" xfId="5" applyFont="1" applyFill="1" applyBorder="1" applyAlignment="1"/>
    <xf numFmtId="41" fontId="18" fillId="0" borderId="0" xfId="5" applyFont="1" applyFill="1" applyBorder="1" applyAlignment="1"/>
    <xf numFmtId="0" fontId="4" fillId="2" borderId="0" xfId="0" applyFont="1" applyFill="1" applyBorder="1" applyAlignment="1">
      <alignment vertical="center"/>
    </xf>
    <xf numFmtId="11" fontId="2" fillId="2" borderId="0" xfId="0" applyNumberFormat="1" applyFont="1" applyFill="1" applyBorder="1" applyAlignment="1"/>
    <xf numFmtId="179" fontId="2" fillId="2" borderId="0" xfId="5" applyNumberFormat="1" applyFont="1" applyFill="1" applyBorder="1" applyAlignment="1">
      <alignment vertical="center"/>
    </xf>
    <xf numFmtId="0" fontId="8" fillId="0" borderId="0" xfId="5" applyNumberFormat="1" applyFont="1" applyFill="1"/>
    <xf numFmtId="165" fontId="0" fillId="0" borderId="0" xfId="6" applyFont="1" applyFill="1"/>
    <xf numFmtId="9" fontId="0" fillId="0" borderId="0" xfId="1" applyFont="1"/>
    <xf numFmtId="178" fontId="8" fillId="2" borderId="0" xfId="5" applyNumberFormat="1" applyFont="1" applyFill="1" applyBorder="1" applyAlignment="1">
      <alignment vertical="center"/>
    </xf>
    <xf numFmtId="178" fontId="2" fillId="2" borderId="0" xfId="5" applyNumberFormat="1" applyFont="1" applyFill="1" applyBorder="1" applyAlignment="1">
      <alignment vertical="center"/>
    </xf>
    <xf numFmtId="9" fontId="0" fillId="2" borderId="0" xfId="0" applyNumberFormat="1" applyFont="1" applyFill="1" applyBorder="1" applyAlignment="1">
      <alignment vertical="center"/>
    </xf>
    <xf numFmtId="9" fontId="18" fillId="2" borderId="0" xfId="1" applyFont="1" applyFill="1" applyBorder="1" applyAlignment="1"/>
    <xf numFmtId="165" fontId="0" fillId="5" borderId="0" xfId="6" applyFont="1" applyFill="1"/>
    <xf numFmtId="178" fontId="0" fillId="5" borderId="0" xfId="5" applyNumberFormat="1" applyFont="1" applyFill="1"/>
    <xf numFmtId="176" fontId="0" fillId="5" borderId="0" xfId="5" applyNumberFormat="1" applyFont="1" applyFill="1"/>
    <xf numFmtId="9" fontId="2" fillId="0" borderId="0" xfId="1" applyFont="1" applyFill="1"/>
    <xf numFmtId="165" fontId="0" fillId="0" borderId="0" xfId="6" applyFont="1"/>
    <xf numFmtId="165" fontId="2" fillId="0" borderId="0" xfId="6" applyFont="1"/>
    <xf numFmtId="0" fontId="3" fillId="10" borderId="0" xfId="0" applyFont="1" applyFill="1" applyBorder="1" applyAlignment="1">
      <alignment vertical="center"/>
    </xf>
    <xf numFmtId="0" fontId="2" fillId="10" borderId="0" xfId="0" applyFont="1" applyFill="1" applyBorder="1" applyAlignment="1">
      <alignment vertical="center"/>
    </xf>
    <xf numFmtId="0" fontId="8" fillId="10" borderId="0" xfId="0" applyFont="1" applyFill="1" applyBorder="1" applyAlignment="1">
      <alignment vertical="center"/>
    </xf>
    <xf numFmtId="0" fontId="8" fillId="10" borderId="0" xfId="0" applyFont="1" applyFill="1" applyBorder="1" applyAlignment="1">
      <alignment vertical="center" wrapText="1"/>
    </xf>
    <xf numFmtId="168" fontId="2" fillId="10" borderId="0" xfId="0" applyNumberFormat="1" applyFont="1" applyFill="1" applyBorder="1" applyAlignment="1">
      <alignment vertical="center"/>
    </xf>
    <xf numFmtId="0" fontId="0" fillId="10" borderId="0" xfId="0" applyFont="1" applyFill="1" applyBorder="1" applyAlignment="1">
      <alignment vertical="center" wrapText="1"/>
    </xf>
    <xf numFmtId="165" fontId="2" fillId="10" borderId="0" xfId="0" applyNumberFormat="1" applyFont="1" applyFill="1" applyBorder="1" applyAlignment="1">
      <alignment vertical="center"/>
    </xf>
    <xf numFmtId="0" fontId="0" fillId="10" borderId="0" xfId="0" applyFont="1" applyFill="1" applyBorder="1" applyAlignment="1">
      <alignment vertical="center"/>
    </xf>
    <xf numFmtId="9" fontId="2" fillId="10" borderId="0" xfId="0" applyNumberFormat="1" applyFont="1" applyFill="1" applyBorder="1" applyAlignment="1">
      <alignment vertical="center"/>
    </xf>
    <xf numFmtId="2" fontId="2" fillId="4" borderId="0" xfId="1" applyNumberFormat="1" applyFont="1" applyFill="1" applyBorder="1" applyAlignment="1"/>
    <xf numFmtId="0" fontId="0" fillId="0" borderId="0" xfId="0" applyNumberFormat="1"/>
    <xf numFmtId="9" fontId="0" fillId="0" borderId="0" xfId="1" applyFont="1" applyFill="1"/>
    <xf numFmtId="41" fontId="2" fillId="2" borderId="0" xfId="5" applyFont="1" applyFill="1" applyBorder="1" applyAlignment="1"/>
    <xf numFmtId="0" fontId="0" fillId="4" borderId="0" xfId="0" applyFont="1" applyFill="1" applyBorder="1" applyAlignment="1">
      <alignment vertical="center"/>
    </xf>
    <xf numFmtId="0" fontId="0" fillId="8" borderId="0" xfId="0" applyFill="1"/>
    <xf numFmtId="0" fontId="8" fillId="8" borderId="0" xfId="0" applyFont="1" applyFill="1"/>
    <xf numFmtId="176" fontId="0" fillId="6" borderId="0" xfId="0" applyNumberFormat="1" applyFont="1" applyFill="1" applyBorder="1" applyAlignment="1"/>
    <xf numFmtId="9" fontId="2" fillId="4" borderId="0" xfId="1" applyNumberFormat="1" applyFont="1" applyFill="1" applyBorder="1" applyAlignment="1"/>
    <xf numFmtId="3" fontId="8" fillId="2" borderId="0" xfId="0" applyNumberFormat="1" applyFont="1" applyFill="1" applyBorder="1" applyAlignment="1"/>
    <xf numFmtId="9" fontId="2" fillId="5" borderId="0" xfId="1" applyFont="1" applyFill="1"/>
    <xf numFmtId="9" fontId="0" fillId="5" borderId="0" xfId="5" applyNumberFormat="1" applyFont="1" applyFill="1"/>
    <xf numFmtId="178" fontId="2" fillId="5" borderId="0" xfId="5" applyNumberFormat="1" applyFont="1" applyFill="1"/>
    <xf numFmtId="0" fontId="0" fillId="0" borderId="0" xfId="0" applyFill="1" applyAlignment="1">
      <alignment horizontal="right"/>
    </xf>
    <xf numFmtId="0" fontId="0" fillId="0" borderId="0" xfId="0" applyFill="1" applyAlignment="1">
      <alignment horizontal="right" indent="1"/>
    </xf>
    <xf numFmtId="41" fontId="2" fillId="5" borderId="0" xfId="5" applyNumberFormat="1" applyFont="1" applyFill="1"/>
    <xf numFmtId="0" fontId="8" fillId="0" borderId="0" xfId="1" applyNumberFormat="1" applyFont="1"/>
    <xf numFmtId="11" fontId="0" fillId="3" borderId="0" xfId="0" applyNumberFormat="1" applyFont="1" applyFill="1" applyAlignment="1"/>
    <xf numFmtId="11" fontId="0" fillId="3" borderId="0" xfId="0" applyNumberFormat="1" applyFill="1" applyAlignment="1"/>
    <xf numFmtId="1" fontId="0" fillId="3" borderId="0" xfId="5" applyNumberFormat="1" applyFont="1" applyFill="1" applyAlignment="1"/>
    <xf numFmtId="9" fontId="0" fillId="0" borderId="0" xfId="1" applyFont="1" applyFill="1" applyBorder="1" applyAlignment="1"/>
    <xf numFmtId="165" fontId="0" fillId="0" borderId="0" xfId="6" applyFont="1" applyFill="1" applyBorder="1" applyAlignment="1"/>
    <xf numFmtId="0" fontId="2" fillId="0" borderId="0" xfId="0" applyNumberFormat="1" applyFont="1" applyFill="1" applyBorder="1" applyAlignment="1">
      <alignment vertical="center"/>
    </xf>
    <xf numFmtId="0" fontId="3" fillId="8" borderId="0" xfId="0" applyFont="1" applyFill="1"/>
    <xf numFmtId="0" fontId="25" fillId="8" borderId="0" xfId="0" applyFont="1" applyFill="1"/>
    <xf numFmtId="2" fontId="8" fillId="8" borderId="0" xfId="0" applyNumberFormat="1" applyFont="1" applyFill="1"/>
    <xf numFmtId="2" fontId="8" fillId="8" borderId="0" xfId="5" applyNumberFormat="1" applyFont="1" applyFill="1"/>
    <xf numFmtId="176" fontId="8" fillId="8" borderId="0" xfId="5" applyNumberFormat="1" applyFont="1" applyFill="1"/>
    <xf numFmtId="169" fontId="8" fillId="8" borderId="0" xfId="0" applyNumberFormat="1" applyFont="1" applyFill="1"/>
    <xf numFmtId="2" fontId="0" fillId="8" borderId="0" xfId="6" applyNumberFormat="1" applyFont="1" applyFill="1"/>
    <xf numFmtId="176" fontId="0" fillId="8" borderId="0" xfId="6" applyNumberFormat="1" applyFont="1" applyFill="1"/>
    <xf numFmtId="176" fontId="0" fillId="8" borderId="0" xfId="0" applyNumberFormat="1" applyFill="1"/>
    <xf numFmtId="2" fontId="0" fillId="8" borderId="0" xfId="0" applyNumberFormat="1" applyFill="1"/>
    <xf numFmtId="2" fontId="3" fillId="8" borderId="0" xfId="0" applyNumberFormat="1" applyFont="1" applyFill="1"/>
    <xf numFmtId="2" fontId="25" fillId="8" borderId="0" xfId="0" applyNumberFormat="1" applyFont="1" applyFill="1"/>
    <xf numFmtId="2" fontId="8" fillId="8" borderId="0" xfId="1" applyNumberFormat="1" applyFont="1" applyFill="1"/>
    <xf numFmtId="176" fontId="8" fillId="8" borderId="0" xfId="1" applyNumberFormat="1" applyFont="1" applyFill="1"/>
    <xf numFmtId="2" fontId="2" fillId="8" borderId="0" xfId="5" applyNumberFormat="1" applyFont="1" applyFill="1"/>
    <xf numFmtId="176" fontId="2" fillId="8" borderId="0" xfId="5" applyNumberFormat="1" applyFont="1" applyFill="1"/>
    <xf numFmtId="164" fontId="8" fillId="7" borderId="0" xfId="0" applyNumberFormat="1" applyFont="1" applyFill="1" applyBorder="1" applyAlignment="1"/>
    <xf numFmtId="164" fontId="0" fillId="7" borderId="0" xfId="0" applyNumberFormat="1" applyFont="1" applyFill="1" applyBorder="1" applyAlignment="1"/>
    <xf numFmtId="0" fontId="2" fillId="7" borderId="0" xfId="0" applyFont="1" applyFill="1" applyBorder="1" applyAlignment="1"/>
    <xf numFmtId="5" fontId="2" fillId="7" borderId="0" xfId="0" applyNumberFormat="1" applyFont="1" applyFill="1" applyBorder="1" applyAlignment="1"/>
    <xf numFmtId="0" fontId="8" fillId="7" borderId="0" xfId="0" applyFont="1" applyFill="1" applyBorder="1" applyAlignment="1"/>
    <xf numFmtId="164" fontId="2" fillId="7" borderId="0" xfId="0" applyNumberFormat="1" applyFont="1" applyFill="1" applyBorder="1" applyAlignment="1"/>
    <xf numFmtId="0" fontId="2" fillId="7" borderId="0" xfId="0" applyNumberFormat="1" applyFont="1" applyFill="1" applyBorder="1" applyAlignment="1"/>
    <xf numFmtId="166" fontId="0" fillId="7" borderId="0" xfId="0" applyNumberFormat="1" applyFont="1" applyFill="1" applyBorder="1" applyAlignment="1">
      <alignment vertical="center" wrapText="1"/>
    </xf>
    <xf numFmtId="166" fontId="2" fillId="7" borderId="0" xfId="0" applyNumberFormat="1" applyFont="1" applyFill="1" applyBorder="1" applyAlignment="1"/>
    <xf numFmtId="166" fontId="2" fillId="7" borderId="0" xfId="6" applyNumberFormat="1" applyFont="1" applyFill="1" applyBorder="1" applyAlignment="1"/>
    <xf numFmtId="0" fontId="2" fillId="7" borderId="0" xfId="0" applyNumberFormat="1" applyFont="1" applyFill="1" applyBorder="1" applyAlignment="1">
      <alignment vertical="center"/>
    </xf>
    <xf numFmtId="166" fontId="2" fillId="7" borderId="0" xfId="6" applyNumberFormat="1" applyFont="1" applyFill="1" applyBorder="1" applyAlignment="1">
      <alignment vertical="center"/>
    </xf>
    <xf numFmtId="0" fontId="2" fillId="7" borderId="0" xfId="5" applyNumberFormat="1" applyFont="1" applyFill="1" applyBorder="1" applyAlignment="1"/>
    <xf numFmtId="0" fontId="0" fillId="7" borderId="0" xfId="5" applyNumberFormat="1" applyFont="1" applyFill="1" applyBorder="1" applyAlignment="1"/>
    <xf numFmtId="164" fontId="8" fillId="2" borderId="0" xfId="0" applyNumberFormat="1" applyFont="1" applyFill="1" applyBorder="1" applyAlignment="1"/>
    <xf numFmtId="0" fontId="8" fillId="2" borderId="0" xfId="0" applyFont="1" applyFill="1" applyBorder="1" applyAlignment="1">
      <alignment vertical="center" wrapText="1"/>
    </xf>
    <xf numFmtId="164" fontId="0" fillId="2" borderId="0" xfId="0" applyNumberFormat="1" applyFont="1" applyFill="1" applyBorder="1" applyAlignment="1"/>
    <xf numFmtId="164" fontId="2" fillId="2" borderId="0" xfId="0" applyNumberFormat="1" applyFont="1" applyFill="1" applyBorder="1" applyAlignment="1"/>
    <xf numFmtId="0" fontId="2" fillId="2" borderId="0" xfId="0" applyNumberFormat="1" applyFont="1" applyFill="1" applyBorder="1" applyAlignment="1"/>
    <xf numFmtId="166" fontId="0" fillId="2" borderId="0" xfId="0" applyNumberFormat="1" applyFont="1" applyFill="1" applyBorder="1" applyAlignment="1">
      <alignment vertical="center" wrapText="1"/>
    </xf>
    <xf numFmtId="166" fontId="2" fillId="2" borderId="0" xfId="0" applyNumberFormat="1" applyFont="1" applyFill="1" applyBorder="1" applyAlignment="1"/>
    <xf numFmtId="166" fontId="2" fillId="2" borderId="0" xfId="6" applyNumberFormat="1" applyFont="1" applyFill="1" applyBorder="1" applyAlignment="1"/>
    <xf numFmtId="0" fontId="2" fillId="2" borderId="0" xfId="0" applyNumberFormat="1" applyFont="1" applyFill="1" applyBorder="1" applyAlignment="1">
      <alignment vertical="center"/>
    </xf>
    <xf numFmtId="166" fontId="2" fillId="2" borderId="0" xfId="6" applyNumberFormat="1" applyFont="1" applyFill="1" applyBorder="1" applyAlignment="1">
      <alignment vertical="center"/>
    </xf>
    <xf numFmtId="0" fontId="2" fillId="2" borderId="0" xfId="5" applyNumberFormat="1" applyFont="1" applyFill="1" applyBorder="1" applyAlignment="1"/>
    <xf numFmtId="0" fontId="0" fillId="2" borderId="0" xfId="5" applyNumberFormat="1" applyFont="1" applyFill="1" applyBorder="1" applyAlignment="1"/>
    <xf numFmtId="2" fontId="0" fillId="3" borderId="0" xfId="0" applyNumberFormat="1" applyFont="1" applyFill="1" applyBorder="1" applyAlignment="1"/>
    <xf numFmtId="2" fontId="0" fillId="2" borderId="0" xfId="0" applyNumberFormat="1" applyFont="1" applyFill="1" applyBorder="1" applyAlignment="1"/>
    <xf numFmtId="179" fontId="0" fillId="5" borderId="0" xfId="5" applyNumberFormat="1" applyFont="1" applyFill="1" applyBorder="1" applyAlignment="1"/>
    <xf numFmtId="43" fontId="0" fillId="0" borderId="0" xfId="0" applyNumberFormat="1" applyAlignment="1"/>
    <xf numFmtId="41" fontId="0" fillId="0" borderId="0" xfId="5" applyFont="1" applyAlignment="1"/>
    <xf numFmtId="43" fontId="0" fillId="8" borderId="0" xfId="0" applyNumberFormat="1" applyFont="1" applyFill="1" applyBorder="1" applyAlignment="1"/>
    <xf numFmtId="178" fontId="0" fillId="0" borderId="0" xfId="5" applyNumberFormat="1" applyFont="1" applyAlignment="1"/>
    <xf numFmtId="11" fontId="0" fillId="0" borderId="0" xfId="0" applyNumberFormat="1" applyAlignment="1"/>
    <xf numFmtId="179" fontId="0" fillId="8" borderId="0" xfId="5" applyNumberFormat="1" applyFont="1" applyFill="1" applyBorder="1" applyAlignment="1"/>
    <xf numFmtId="0" fontId="14" fillId="0" borderId="0" xfId="4" applyAlignment="1"/>
    <xf numFmtId="41" fontId="2" fillId="8" borderId="0" xfId="5" applyFont="1" applyFill="1" applyBorder="1" applyAlignment="1"/>
    <xf numFmtId="9" fontId="0" fillId="8" borderId="0" xfId="0" applyNumberFormat="1" applyFont="1" applyFill="1" applyBorder="1" applyAlignment="1"/>
    <xf numFmtId="165" fontId="2" fillId="0" borderId="0" xfId="6" applyFont="1" applyFill="1" applyBorder="1" applyAlignment="1"/>
    <xf numFmtId="41" fontId="2" fillId="3" borderId="0" xfId="5" applyFont="1" applyFill="1" applyAlignment="1"/>
    <xf numFmtId="38" fontId="6" fillId="2" borderId="0" xfId="0" applyNumberFormat="1" applyFont="1" applyFill="1" applyBorder="1" applyAlignment="1">
      <alignment horizontal="right"/>
    </xf>
    <xf numFmtId="38" fontId="2" fillId="2" borderId="0" xfId="0" applyNumberFormat="1" applyFont="1" applyFill="1" applyBorder="1" applyAlignment="1">
      <alignment horizontal="left"/>
    </xf>
    <xf numFmtId="0" fontId="10" fillId="0" borderId="0" xfId="0" applyFont="1"/>
    <xf numFmtId="175" fontId="10" fillId="0" borderId="0" xfId="0" applyNumberFormat="1" applyFont="1"/>
    <xf numFmtId="0" fontId="2" fillId="0" borderId="0" xfId="0" applyFont="1"/>
    <xf numFmtId="0" fontId="37" fillId="0" borderId="0" xfId="0" applyFont="1"/>
    <xf numFmtId="0" fontId="3" fillId="4" borderId="0" xfId="0" applyFont="1" applyFill="1" applyAlignment="1">
      <alignment vertical="center"/>
    </xf>
    <xf numFmtId="0" fontId="0" fillId="4" borderId="0" xfId="0" applyFill="1" applyAlignment="1">
      <alignment vertical="center"/>
    </xf>
    <xf numFmtId="0" fontId="4" fillId="4" borderId="0" xfId="0" applyFont="1" applyFill="1" applyAlignment="1">
      <alignment vertical="center" wrapText="1"/>
    </xf>
    <xf numFmtId="3" fontId="2" fillId="4" borderId="0" xfId="0" applyNumberFormat="1" applyFont="1" applyFill="1"/>
    <xf numFmtId="0" fontId="4" fillId="4" borderId="0" xfId="0" applyFont="1" applyFill="1"/>
    <xf numFmtId="3" fontId="0" fillId="0" borderId="0" xfId="0" applyNumberFormat="1"/>
    <xf numFmtId="166" fontId="0" fillId="0" borderId="0" xfId="6" applyNumberFormat="1" applyFont="1"/>
    <xf numFmtId="0" fontId="4" fillId="3" borderId="0" xfId="0" applyFont="1" applyFill="1" applyAlignment="1">
      <alignment vertical="center" wrapText="1"/>
    </xf>
    <xf numFmtId="11" fontId="18" fillId="3" borderId="0" xfId="0" applyNumberFormat="1" applyFont="1" applyFill="1"/>
    <xf numFmtId="165" fontId="0" fillId="4" borderId="0" xfId="6" applyFont="1" applyFill="1"/>
    <xf numFmtId="165" fontId="8" fillId="4" borderId="0" xfId="6" applyFont="1" applyFill="1"/>
    <xf numFmtId="165" fontId="13" fillId="4" borderId="0" xfId="6" applyFont="1" applyFill="1" applyBorder="1" applyAlignment="1"/>
    <xf numFmtId="165" fontId="2" fillId="4" borderId="0" xfId="6" applyFont="1" applyFill="1" applyBorder="1" applyAlignment="1"/>
    <xf numFmtId="165" fontId="2" fillId="4" borderId="0" xfId="6" applyFont="1" applyFill="1" applyBorder="1" applyAlignment="1">
      <alignment vertical="center" wrapText="1"/>
    </xf>
    <xf numFmtId="180" fontId="2" fillId="4" borderId="0" xfId="5" applyNumberFormat="1" applyFont="1" applyFill="1" applyBorder="1" applyAlignment="1">
      <alignment vertical="center" wrapText="1"/>
    </xf>
    <xf numFmtId="38" fontId="4" fillId="0" borderId="0" xfId="0" applyNumberFormat="1" applyFont="1"/>
    <xf numFmtId="165" fontId="8" fillId="4" borderId="0" xfId="6" applyFont="1" applyFill="1" applyBorder="1" applyAlignment="1"/>
    <xf numFmtId="165" fontId="0" fillId="4" borderId="0" xfId="6" applyFont="1" applyFill="1" applyBorder="1" applyAlignment="1">
      <alignment vertical="center" wrapText="1"/>
    </xf>
    <xf numFmtId="180" fontId="0" fillId="4" borderId="0" xfId="5" applyNumberFormat="1" applyFont="1" applyFill="1" applyBorder="1" applyAlignment="1">
      <alignment vertical="center" wrapText="1"/>
    </xf>
    <xf numFmtId="165" fontId="8" fillId="8" borderId="0" xfId="6" applyFont="1" applyFill="1"/>
    <xf numFmtId="182" fontId="0" fillId="8" borderId="0" xfId="6" applyNumberFormat="1" applyFont="1" applyFill="1"/>
    <xf numFmtId="165" fontId="0" fillId="8" borderId="0" xfId="6" applyFont="1" applyFill="1"/>
    <xf numFmtId="166" fontId="0" fillId="8" borderId="0" xfId="0" applyNumberFormat="1" applyFill="1"/>
    <xf numFmtId="183" fontId="0" fillId="8" borderId="0" xfId="6" applyNumberFormat="1" applyFont="1" applyFill="1"/>
    <xf numFmtId="166" fontId="21" fillId="8" borderId="0" xfId="0" applyNumberFormat="1" applyFont="1" applyFill="1"/>
    <xf numFmtId="165" fontId="8" fillId="5" borderId="0" xfId="6" applyFont="1" applyFill="1"/>
    <xf numFmtId="165" fontId="21" fillId="0" borderId="0" xfId="0" applyNumberFormat="1" applyFont="1"/>
    <xf numFmtId="165" fontId="21" fillId="5" borderId="0" xfId="6" applyFont="1" applyFill="1"/>
    <xf numFmtId="0" fontId="21" fillId="5" borderId="0" xfId="0" applyFont="1" applyFill="1"/>
    <xf numFmtId="165" fontId="2" fillId="5" borderId="0" xfId="6" applyFont="1" applyFill="1"/>
    <xf numFmtId="0" fontId="3" fillId="0" borderId="0" xfId="0" applyFont="1" applyAlignment="1">
      <alignment vertical="center"/>
    </xf>
    <xf numFmtId="0" fontId="8" fillId="0" borderId="0" xfId="0" applyFont="1" applyAlignment="1">
      <alignment vertical="center" wrapText="1"/>
    </xf>
    <xf numFmtId="165" fontId="0" fillId="0" borderId="0" xfId="0" applyNumberFormat="1" applyAlignment="1">
      <alignment vertical="center"/>
    </xf>
    <xf numFmtId="0" fontId="0" fillId="0" borderId="0" xfId="0" applyAlignment="1">
      <alignment vertical="center"/>
    </xf>
    <xf numFmtId="38" fontId="0" fillId="0" borderId="0" xfId="0" applyNumberFormat="1"/>
    <xf numFmtId="165" fontId="2" fillId="0" borderId="0" xfId="6" applyFont="1" applyFill="1" applyBorder="1" applyAlignment="1">
      <alignment vertical="center" wrapText="1"/>
    </xf>
    <xf numFmtId="0" fontId="0" fillId="0" borderId="0" xfId="0" applyAlignment="1">
      <alignment vertical="center" wrapText="1"/>
    </xf>
    <xf numFmtId="0" fontId="21" fillId="0" borderId="0" xfId="0" applyFont="1"/>
    <xf numFmtId="0" fontId="9" fillId="0" borderId="0" xfId="0" applyFont="1"/>
    <xf numFmtId="0" fontId="4" fillId="0" borderId="0" xfId="0" applyFont="1" applyAlignment="1">
      <alignment wrapText="1"/>
    </xf>
    <xf numFmtId="166" fontId="2" fillId="0" borderId="0" xfId="0" applyNumberFormat="1" applyFont="1" applyAlignment="1">
      <alignment wrapText="1"/>
    </xf>
    <xf numFmtId="5" fontId="2" fillId="0" borderId="0" xfId="0" applyNumberFormat="1" applyFont="1"/>
    <xf numFmtId="165" fontId="2" fillId="0" borderId="0" xfId="0" applyNumberFormat="1" applyFont="1"/>
    <xf numFmtId="165" fontId="2" fillId="0" borderId="0" xfId="0" applyNumberFormat="1" applyFont="1" applyAlignment="1">
      <alignment vertical="center"/>
    </xf>
    <xf numFmtId="5" fontId="4" fillId="0" borderId="0" xfId="0" applyNumberFormat="1" applyFont="1"/>
    <xf numFmtId="8" fontId="21" fillId="4" borderId="0" xfId="0" applyNumberFormat="1" applyFont="1" applyFill="1"/>
    <xf numFmtId="43" fontId="0" fillId="0" borderId="0" xfId="0" applyNumberFormat="1" applyFill="1" applyAlignment="1"/>
    <xf numFmtId="0" fontId="8" fillId="0" borderId="0" xfId="0" applyFont="1" applyFill="1" applyAlignment="1"/>
    <xf numFmtId="0" fontId="0" fillId="0" borderId="0" xfId="0" applyFont="1" applyFill="1" applyAlignment="1"/>
    <xf numFmtId="41" fontId="0" fillId="0" borderId="0" xfId="5" applyFont="1" applyFill="1" applyAlignment="1"/>
    <xf numFmtId="43" fontId="0" fillId="4" borderId="0" xfId="0" applyNumberFormat="1" applyFill="1" applyAlignment="1"/>
    <xf numFmtId="0" fontId="39" fillId="2" borderId="0" xfId="0" applyFont="1" applyFill="1" applyBorder="1" applyAlignment="1">
      <alignment horizontal="right" vertical="center"/>
    </xf>
    <xf numFmtId="0" fontId="40" fillId="2" borderId="0" xfId="0" applyFont="1" applyFill="1" applyBorder="1" applyAlignment="1">
      <alignment horizontal="right" vertical="center"/>
    </xf>
    <xf numFmtId="11" fontId="8" fillId="2" borderId="0" xfId="0" applyNumberFormat="1" applyFont="1" applyFill="1" applyBorder="1" applyAlignment="1">
      <alignment vertical="center"/>
    </xf>
    <xf numFmtId="11" fontId="2" fillId="2" borderId="0" xfId="5" applyNumberFormat="1" applyFont="1" applyFill="1" applyBorder="1" applyAlignment="1">
      <alignment vertical="center"/>
    </xf>
    <xf numFmtId="41" fontId="2" fillId="2" borderId="0" xfId="5" applyFont="1" applyFill="1" applyBorder="1" applyAlignment="1">
      <alignment vertical="center"/>
    </xf>
    <xf numFmtId="2" fontId="19" fillId="2" borderId="0" xfId="0" applyNumberFormat="1" applyFont="1" applyFill="1" applyBorder="1" applyAlignment="1">
      <alignment horizontal="center"/>
    </xf>
    <xf numFmtId="0" fontId="0" fillId="2" borderId="0" xfId="0" applyFont="1" applyFill="1" applyBorder="1" applyAlignment="1">
      <alignment horizontal="center"/>
    </xf>
    <xf numFmtId="178" fontId="0" fillId="8" borderId="0" xfId="5" applyNumberFormat="1" applyFont="1" applyFill="1" applyBorder="1" applyAlignment="1"/>
    <xf numFmtId="3" fontId="8" fillId="2" borderId="0" xfId="0" applyNumberFormat="1" applyFont="1" applyFill="1" applyBorder="1" applyAlignment="1">
      <alignment vertical="center"/>
    </xf>
    <xf numFmtId="3" fontId="2" fillId="2" borderId="0" xfId="0" applyNumberFormat="1" applyFont="1" applyFill="1" applyBorder="1" applyAlignment="1">
      <alignment vertical="center"/>
    </xf>
    <xf numFmtId="4" fontId="2" fillId="2" borderId="0" xfId="0" applyNumberFormat="1" applyFont="1" applyFill="1" applyBorder="1" applyAlignment="1">
      <alignment vertical="center"/>
    </xf>
    <xf numFmtId="43" fontId="2" fillId="0" borderId="0" xfId="0" applyNumberFormat="1" applyFont="1" applyFill="1" applyBorder="1" applyAlignment="1">
      <alignment vertical="center"/>
    </xf>
    <xf numFmtId="41" fontId="0" fillId="8" borderId="0" xfId="0" applyNumberFormat="1" applyFont="1" applyFill="1" applyBorder="1" applyAlignment="1"/>
    <xf numFmtId="165" fontId="8" fillId="8" borderId="0" xfId="6" applyFont="1" applyFill="1" applyBorder="1" applyAlignment="1"/>
    <xf numFmtId="41" fontId="8" fillId="8" borderId="0" xfId="5" applyFont="1" applyFill="1" applyBorder="1" applyAlignment="1"/>
    <xf numFmtId="2" fontId="0" fillId="8" borderId="0" xfId="6" applyNumberFormat="1" applyFont="1" applyFill="1" applyBorder="1" applyAlignment="1"/>
    <xf numFmtId="184" fontId="0" fillId="8" borderId="0" xfId="0" applyNumberFormat="1" applyFont="1" applyFill="1" applyBorder="1" applyAlignment="1"/>
    <xf numFmtId="41" fontId="0" fillId="8" borderId="0" xfId="5" applyNumberFormat="1" applyFont="1" applyFill="1" applyBorder="1" applyAlignment="1"/>
    <xf numFmtId="166" fontId="0" fillId="8" borderId="0" xfId="0" applyNumberFormat="1" applyFont="1" applyFill="1" applyBorder="1" applyAlignment="1"/>
    <xf numFmtId="9" fontId="19" fillId="2" borderId="0" xfId="1" applyFont="1" applyFill="1" applyBorder="1" applyAlignment="1"/>
    <xf numFmtId="1" fontId="0" fillId="8" borderId="0" xfId="6" applyNumberFormat="1" applyFont="1" applyFill="1" applyBorder="1" applyAlignment="1"/>
    <xf numFmtId="0" fontId="8" fillId="6" borderId="0" xfId="0" applyFont="1" applyFill="1" applyAlignment="1">
      <alignment horizontal="center"/>
    </xf>
  </cellXfs>
  <cellStyles count="7">
    <cellStyle name="Comma" xfId="5" builtinId="3" customBuiltin="1"/>
    <cellStyle name="Currency" xfId="6" builtinId="4" customBuiltin="1"/>
    <cellStyle name="Hyperlink" xfId="4" builtinId="8"/>
    <cellStyle name="Normal" xfId="0" builtinId="0" customBuiltin="1"/>
    <cellStyle name="Normal 2 19" xfId="2" xr:uid="{0ED0A927-4023-440D-B775-D72DDE26ED67}"/>
    <cellStyle name="Normal 34" xfId="3" xr:uid="{6B9F8983-B9AF-4A2B-A165-1F69AB455890}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.xml"/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chemeClr val="tx1"/>
                </a:solidFill>
                <a:latin typeface="Helvetica" pitchFamily="2" charset="0"/>
                <a:ea typeface="+mn-ea"/>
                <a:cs typeface="Arial" panose="020B0604020202020204" pitchFamily="34" charset="0"/>
              </a:defRPr>
            </a:pPr>
            <a:r>
              <a:rPr lang="en-US" sz="1600" b="1" baseline="0"/>
              <a:t>Cost Breakdown</a:t>
            </a:r>
            <a:endParaRPr lang="en-US" sz="16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chemeClr val="tx1"/>
              </a:solidFill>
              <a:latin typeface="Helvetica" pitchFamily="2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9E9D-8F45-8FF4-F5B6ADA61C32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9E9D-8F45-8FF4-F5B6ADA61C32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9E9D-8F45-8FF4-F5B6ADA61C32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9E9D-8F45-8FF4-F5B6ADA61C32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9E9D-8F45-8FF4-F5B6ADA61C32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Arial" panose="020B0604020202020204" pitchFamily="34" charset="0"/>
                  </a:defRPr>
                </a:pPr>
                <a:endParaRPr lang="en-US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Results!$F$7:$F$11</c:f>
              <c:strCache>
                <c:ptCount val="5"/>
                <c:pt idx="0">
                  <c:v>CapEx</c:v>
                </c:pt>
                <c:pt idx="1">
                  <c:v>Replacements</c:v>
                </c:pt>
                <c:pt idx="2">
                  <c:v>Fixed OpEx</c:v>
                </c:pt>
                <c:pt idx="3">
                  <c:v>Variable OpEx</c:v>
                </c:pt>
                <c:pt idx="4">
                  <c:v>Taxes &amp; Working Capital</c:v>
                </c:pt>
              </c:strCache>
            </c:strRef>
          </c:cat>
          <c:val>
            <c:numRef>
              <c:f>Results!$I$7:$I$11</c:f>
              <c:numCache>
                <c:formatCode>0%</c:formatCode>
                <c:ptCount val="5"/>
                <c:pt idx="0">
                  <c:v>0.15836252900582942</c:v>
                </c:pt>
                <c:pt idx="1">
                  <c:v>0.17919606922532974</c:v>
                </c:pt>
                <c:pt idx="2">
                  <c:v>0.1546548339238763</c:v>
                </c:pt>
                <c:pt idx="3">
                  <c:v>0.47955920165500782</c:v>
                </c:pt>
                <c:pt idx="4">
                  <c:v>2.822736618995671E-2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B43-184A-B3B7-1AA85E12E752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tx1"/>
              </a:solidFill>
              <a:latin typeface="Helvetica" pitchFamily="2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>
          <a:solidFill>
            <a:schemeClr val="tx1"/>
          </a:solidFill>
          <a:latin typeface="Helvetica" pitchFamily="2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chemeClr val="tx1"/>
                </a:solidFill>
                <a:latin typeface="Helvetica" pitchFamily="2" charset="0"/>
                <a:ea typeface="+mn-ea"/>
                <a:cs typeface="Arial" panose="020B0604020202020204" pitchFamily="34" charset="0"/>
              </a:defRPr>
            </a:pPr>
            <a:r>
              <a:rPr lang="en-US" sz="1600" b="1"/>
              <a:t>Direct Capital Cost by Process Step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chemeClr val="tx1"/>
              </a:solidFill>
              <a:latin typeface="Helvetica" pitchFamily="2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4-3BA6-6042-BD49-EAFBB36BDF7E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6-3BA6-6042-BD49-EAFBB36BDF7E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8-3BA6-6042-BD49-EAFBB36BDF7E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A-3BA6-6042-BD49-EAFBB36BDF7E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C-3BA6-6042-BD49-EAFBB36BDF7E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2542-7D49-9AC7-2BCA896FD523}"/>
              </c:ext>
            </c:extLst>
          </c:dPt>
          <c:cat>
            <c:strRef>
              <c:f>Results!$A$32:$A$37</c:f>
              <c:strCache>
                <c:ptCount val="6"/>
                <c:pt idx="0">
                  <c:v>Intake</c:v>
                </c:pt>
                <c:pt idx="1">
                  <c:v>Screening</c:v>
                </c:pt>
                <c:pt idx="2">
                  <c:v>Microfiltration</c:v>
                </c:pt>
                <c:pt idx="3">
                  <c:v>Nanofiltration</c:v>
                </c:pt>
                <c:pt idx="4">
                  <c:v>Electrodialysis</c:v>
                </c:pt>
                <c:pt idx="5">
                  <c:v>CO2 stripping</c:v>
                </c:pt>
              </c:strCache>
            </c:strRef>
          </c:cat>
          <c:val>
            <c:numRef>
              <c:f>Results!$E$32:$E$37</c:f>
              <c:numCache>
                <c:formatCode>0%</c:formatCode>
                <c:ptCount val="6"/>
                <c:pt idx="0">
                  <c:v>0.16314745345151097</c:v>
                </c:pt>
                <c:pt idx="1">
                  <c:v>0.21190898516679638</c:v>
                </c:pt>
                <c:pt idx="2">
                  <c:v>0.11229047168588173</c:v>
                </c:pt>
                <c:pt idx="3">
                  <c:v>2.3490264870466855E-2</c:v>
                </c:pt>
                <c:pt idx="4">
                  <c:v>4.8422053463648342E-2</c:v>
                </c:pt>
                <c:pt idx="5">
                  <c:v>0.44074077136169587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B43-184A-B3B7-1AA85E12E7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/>
              </a:solidFill>
              <a:latin typeface="Helvetica" pitchFamily="2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>
          <a:solidFill>
            <a:schemeClr val="tx1"/>
          </a:solidFill>
          <a:latin typeface="Helvetica" pitchFamily="2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chemeClr val="tx1"/>
                </a:solidFill>
                <a:latin typeface="Helvetica" pitchFamily="2" charset="0"/>
                <a:ea typeface="+mn-ea"/>
                <a:cs typeface="Arial" panose="020B0604020202020204" pitchFamily="34" charset="0"/>
              </a:defRPr>
            </a:pPr>
            <a:r>
              <a:rPr lang="en-US" sz="1600" b="1"/>
              <a:t>Electricity Cost by Process Step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chemeClr val="tx1"/>
              </a:solidFill>
              <a:latin typeface="Helvetica" pitchFamily="2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AC1E-B344-BB79-CDFC9E648263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AC1E-B344-BB79-CDFC9E648263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AC1E-B344-BB79-CDFC9E648263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AC1E-B344-BB79-CDFC9E648263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AC1E-B344-BB79-CDFC9E648263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AC1E-B344-BB79-CDFC9E648263}"/>
              </c:ext>
            </c:extLst>
          </c:dPt>
          <c:cat>
            <c:strRef>
              <c:f>Results!$A$32:$A$37</c:f>
              <c:strCache>
                <c:ptCount val="6"/>
                <c:pt idx="0">
                  <c:v>Intake</c:v>
                </c:pt>
                <c:pt idx="1">
                  <c:v>Screening</c:v>
                </c:pt>
                <c:pt idx="2">
                  <c:v>Microfiltration</c:v>
                </c:pt>
                <c:pt idx="3">
                  <c:v>Nanofiltration</c:v>
                </c:pt>
                <c:pt idx="4">
                  <c:v>Electrodialysis</c:v>
                </c:pt>
                <c:pt idx="5">
                  <c:v>CO2 stripping</c:v>
                </c:pt>
              </c:strCache>
            </c:strRef>
          </c:cat>
          <c:val>
            <c:numRef>
              <c:f>Results!$F$32:$F$37</c:f>
              <c:numCache>
                <c:formatCode>0%</c:formatCode>
                <c:ptCount val="6"/>
                <c:pt idx="0">
                  <c:v>0.17541439545787646</c:v>
                </c:pt>
                <c:pt idx="1">
                  <c:v>0</c:v>
                </c:pt>
                <c:pt idx="2">
                  <c:v>7.0947854895487368E-3</c:v>
                </c:pt>
                <c:pt idx="3">
                  <c:v>6.1923303558401232E-3</c:v>
                </c:pt>
                <c:pt idx="4">
                  <c:v>0.69519674050895885</c:v>
                </c:pt>
                <c:pt idx="5">
                  <c:v>0.11610174818777573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AC1E-B344-BB79-CDFC9E6482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/>
              </a:solidFill>
              <a:latin typeface="Helvetica" pitchFamily="2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>
          <a:solidFill>
            <a:schemeClr val="tx1"/>
          </a:solidFill>
          <a:latin typeface="Helvetica" pitchFamily="2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chemeClr val="tx1"/>
                </a:solidFill>
                <a:latin typeface="Helvetica" pitchFamily="2" charset="0"/>
                <a:ea typeface="+mn-ea"/>
                <a:cs typeface="Arial" panose="020B0604020202020204" pitchFamily="34" charset="0"/>
              </a:defRPr>
            </a:pPr>
            <a:r>
              <a:rPr lang="en-US" sz="1600" b="1"/>
              <a:t>Price Breakdown: Current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chemeClr val="tx1"/>
              </a:solidFill>
              <a:latin typeface="Helvetica" pitchFamily="2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2397359420981469"/>
          <c:y val="0.12847222222222221"/>
          <c:w val="0.74824862801240755"/>
          <c:h val="0.4908798118985127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Results!$A$91</c:f>
              <c:strCache>
                <c:ptCount val="1"/>
                <c:pt idx="0">
                  <c:v>Intake/screening CapEx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Results!$B$90:$E$90</c:f>
              <c:numCache>
                <c:formatCode>General</c:formatCode>
                <c:ptCount val="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</c:numCache>
            </c:numRef>
          </c:cat>
          <c:val>
            <c:numRef>
              <c:f>Results!$B$91:$E$91</c:f>
              <c:numCache>
                <c:formatCode>"$"#,##0.00</c:formatCode>
                <c:ptCount val="4"/>
                <c:pt idx="0">
                  <c:v>48.64</c:v>
                </c:pt>
                <c:pt idx="1">
                  <c:v>48.64</c:v>
                </c:pt>
                <c:pt idx="2">
                  <c:v>48.64</c:v>
                </c:pt>
                <c:pt idx="3">
                  <c:v>48.64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9B-0F41-B69F-052165F8859F}"/>
            </c:ext>
          </c:extLst>
        </c:ser>
        <c:ser>
          <c:idx val="1"/>
          <c:order val="1"/>
          <c:tx>
            <c:strRef>
              <c:f>Results!$A$92</c:f>
              <c:strCache>
                <c:ptCount val="1"/>
                <c:pt idx="0">
                  <c:v>Electrodialysis CapEx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Results!$B$90:$E$90</c:f>
              <c:numCache>
                <c:formatCode>General</c:formatCode>
                <c:ptCount val="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</c:numCache>
            </c:numRef>
          </c:cat>
          <c:val>
            <c:numRef>
              <c:f>Results!$B$92:$E$92</c:f>
              <c:numCache>
                <c:formatCode>"$"#,##0.00</c:formatCode>
                <c:ptCount val="4"/>
                <c:pt idx="0">
                  <c:v>22.15</c:v>
                </c:pt>
                <c:pt idx="1">
                  <c:v>22.15</c:v>
                </c:pt>
                <c:pt idx="2">
                  <c:v>22.15</c:v>
                </c:pt>
                <c:pt idx="3">
                  <c:v>22.15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E9B-0F41-B69F-052165F8859F}"/>
            </c:ext>
          </c:extLst>
        </c:ser>
        <c:ser>
          <c:idx val="2"/>
          <c:order val="2"/>
          <c:tx>
            <c:strRef>
              <c:f>Results!$A$93</c:f>
              <c:strCache>
                <c:ptCount val="1"/>
                <c:pt idx="0">
                  <c:v>CO2 stripping CapEx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Results!$B$90:$E$90</c:f>
              <c:numCache>
                <c:formatCode>General</c:formatCode>
                <c:ptCount val="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</c:numCache>
            </c:numRef>
          </c:cat>
          <c:val>
            <c:numRef>
              <c:f>Results!$B$93:$E$93</c:f>
              <c:numCache>
                <c:formatCode>"$"#,##0.00</c:formatCode>
                <c:ptCount val="4"/>
                <c:pt idx="0">
                  <c:v>79.17</c:v>
                </c:pt>
                <c:pt idx="1">
                  <c:v>79.17</c:v>
                </c:pt>
                <c:pt idx="2">
                  <c:v>79.17</c:v>
                </c:pt>
                <c:pt idx="3">
                  <c:v>79.17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E9B-0F41-B69F-052165F8859F}"/>
            </c:ext>
          </c:extLst>
        </c:ser>
        <c:ser>
          <c:idx val="3"/>
          <c:order val="3"/>
          <c:tx>
            <c:strRef>
              <c:f>Results!$A$94</c:f>
              <c:strCache>
                <c:ptCount val="1"/>
                <c:pt idx="0">
                  <c:v>Intake electricity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Results!$B$90:$E$90</c:f>
              <c:numCache>
                <c:formatCode>General</c:formatCode>
                <c:ptCount val="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</c:numCache>
            </c:numRef>
          </c:cat>
          <c:val>
            <c:numRef>
              <c:f>Results!$B$94:$E$94</c:f>
              <c:numCache>
                <c:formatCode>"$"#,##0.00</c:formatCode>
                <c:ptCount val="4"/>
                <c:pt idx="0">
                  <c:v>20.945799999999998</c:v>
                </c:pt>
                <c:pt idx="1">
                  <c:v>20.945799999999998</c:v>
                </c:pt>
                <c:pt idx="2">
                  <c:v>20.945799999999998</c:v>
                </c:pt>
                <c:pt idx="3">
                  <c:v>20.945799999999998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E9B-0F41-B69F-052165F8859F}"/>
            </c:ext>
          </c:extLst>
        </c:ser>
        <c:ser>
          <c:idx val="4"/>
          <c:order val="4"/>
          <c:tx>
            <c:strRef>
              <c:f>Results!$A$95</c:f>
              <c:strCache>
                <c:ptCount val="1"/>
                <c:pt idx="0">
                  <c:v>Electrodialysis electricity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Results!$B$90:$E$90</c:f>
              <c:numCache>
                <c:formatCode>General</c:formatCode>
                <c:ptCount val="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</c:numCache>
            </c:numRef>
          </c:cat>
          <c:val>
            <c:numRef>
              <c:f>Results!$B$95:$E$95</c:f>
              <c:numCache>
                <c:formatCode>"$"#,##0.00</c:formatCode>
                <c:ptCount val="4"/>
                <c:pt idx="0">
                  <c:v>33.204700000000003</c:v>
                </c:pt>
                <c:pt idx="1">
                  <c:v>66.409499999999994</c:v>
                </c:pt>
                <c:pt idx="2">
                  <c:v>99.614199999999997</c:v>
                </c:pt>
                <c:pt idx="3">
                  <c:v>132.81899999999999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E9B-0F41-B69F-052165F8859F}"/>
            </c:ext>
          </c:extLst>
        </c:ser>
        <c:ser>
          <c:idx val="5"/>
          <c:order val="5"/>
          <c:tx>
            <c:strRef>
              <c:f>Results!$A$96</c:f>
              <c:strCache>
                <c:ptCount val="1"/>
                <c:pt idx="0">
                  <c:v>Fixed OpEx &amp; Other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Ref>
              <c:f>Results!$B$90:$E$90</c:f>
              <c:numCache>
                <c:formatCode>General</c:formatCode>
                <c:ptCount val="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</c:numCache>
            </c:numRef>
          </c:cat>
          <c:val>
            <c:numRef>
              <c:f>Results!$B$96:$E$96</c:f>
              <c:numCache>
                <c:formatCode>"$"#,##0.00</c:formatCode>
                <c:ptCount val="4"/>
                <c:pt idx="0">
                  <c:v>282.29000000000002</c:v>
                </c:pt>
                <c:pt idx="1">
                  <c:v>282.77999999999997</c:v>
                </c:pt>
                <c:pt idx="2">
                  <c:v>283.27999999999997</c:v>
                </c:pt>
                <c:pt idx="3">
                  <c:v>283.77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E9B-0F41-B69F-052165F885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2086131840"/>
        <c:axId val="2086133488"/>
      </c:barChart>
      <c:catAx>
        <c:axId val="208613184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Helvetica" pitchFamily="2" charset="0"/>
                    <a:ea typeface="+mn-ea"/>
                    <a:cs typeface="Arial" panose="020B0604020202020204" pitchFamily="34" charset="0"/>
                  </a:defRPr>
                </a:pPr>
                <a:r>
                  <a:rPr lang="en-US" sz="1400" b="1"/>
                  <a:t>Voltage (V)</a:t>
                </a:r>
              </a:p>
            </c:rich>
          </c:tx>
          <c:layout>
            <c:manualLayout>
              <c:xMode val="edge"/>
              <c:yMode val="edge"/>
              <c:x val="0.48545355126063788"/>
              <c:y val="0.6975278871391075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Helvetica" pitchFamily="2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/>
                </a:solidFill>
                <a:latin typeface="Helvetica" pitchFamily="2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2086133488"/>
        <c:crosses val="autoZero"/>
        <c:auto val="1"/>
        <c:lblAlgn val="ctr"/>
        <c:lblOffset val="100"/>
        <c:noMultiLvlLbl val="0"/>
      </c:catAx>
      <c:valAx>
        <c:axId val="20861334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chemeClr val="tx1"/>
                    </a:solidFill>
                    <a:latin typeface="Helvetica" pitchFamily="2" charset="0"/>
                    <a:ea typeface="+mn-ea"/>
                    <a:cs typeface="Arial" panose="020B0604020202020204" pitchFamily="34" charset="0"/>
                  </a:defRPr>
                </a:pPr>
                <a:r>
                  <a:rPr lang="en-US" sz="1400" b="1"/>
                  <a:t>CO</a:t>
                </a:r>
                <a:r>
                  <a:rPr lang="en-US" sz="1400" b="1" baseline="-25000"/>
                  <a:t>2</a:t>
                </a:r>
                <a:r>
                  <a:rPr lang="en-US" sz="1400" b="1"/>
                  <a:t> Price ($/ton)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chemeClr val="tx1"/>
                  </a:solidFill>
                  <a:latin typeface="Helvetica" pitchFamily="2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&quot;$&quot;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/>
                </a:solidFill>
                <a:latin typeface="Helvetica" pitchFamily="2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20861318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4.686456692913385E-2"/>
          <c:y val="0.79233240376202974"/>
          <c:w val="0.9301776664280601"/>
          <c:h val="0.1920830599300087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/>
              </a:solidFill>
              <a:latin typeface="Helvetica" pitchFamily="2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>
          <a:solidFill>
            <a:schemeClr val="tx1"/>
          </a:solidFill>
          <a:latin typeface="Helvetica" pitchFamily="2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chemeClr val="tx1"/>
                </a:solidFill>
                <a:latin typeface="Helvetica" pitchFamily="2" charset="0"/>
                <a:ea typeface="+mn-ea"/>
                <a:cs typeface="+mn-cs"/>
              </a:defRPr>
            </a:pPr>
            <a:r>
              <a:rPr lang="en-US" sz="1600" b="1"/>
              <a:t>Current Density Sweep</a:t>
            </a:r>
          </a:p>
        </c:rich>
      </c:tx>
      <c:layout>
        <c:manualLayout>
          <c:xMode val="edge"/>
          <c:yMode val="edge"/>
          <c:x val="0.30138252604788035"/>
          <c:y val="2.083333333333333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chemeClr val="tx1"/>
              </a:solidFill>
              <a:latin typeface="Helvetica" pitchFamily="2" charset="0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Results!$A$57:$A$69</c:f>
              <c:numCache>
                <c:formatCode>_(* #,##0.0_);_(* \(#,##0.0\);_(* "-"_);_(@_)</c:formatCode>
                <c:ptCount val="13"/>
                <c:pt idx="0">
                  <c:v>25</c:v>
                </c:pt>
                <c:pt idx="1">
                  <c:v>50</c:v>
                </c:pt>
                <c:pt idx="2">
                  <c:v>75</c:v>
                </c:pt>
                <c:pt idx="3">
                  <c:v>100</c:v>
                </c:pt>
                <c:pt idx="4">
                  <c:v>200</c:v>
                </c:pt>
                <c:pt idx="5">
                  <c:v>300</c:v>
                </c:pt>
                <c:pt idx="6">
                  <c:v>400</c:v>
                </c:pt>
                <c:pt idx="7">
                  <c:v>500</c:v>
                </c:pt>
                <c:pt idx="8">
                  <c:v>600</c:v>
                </c:pt>
                <c:pt idx="9">
                  <c:v>700</c:v>
                </c:pt>
                <c:pt idx="10">
                  <c:v>800</c:v>
                </c:pt>
                <c:pt idx="11">
                  <c:v>900</c:v>
                </c:pt>
                <c:pt idx="12">
                  <c:v>1000</c:v>
                </c:pt>
              </c:numCache>
            </c:numRef>
          </c:cat>
          <c:val>
            <c:numRef>
              <c:f>Results!$B$57:$B$69</c:f>
              <c:numCache>
                <c:formatCode>"$"#,##0</c:formatCode>
                <c:ptCount val="13"/>
                <c:pt idx="0">
                  <c:v>238.2</c:v>
                </c:pt>
                <c:pt idx="1">
                  <c:v>185.5</c:v>
                </c:pt>
                <c:pt idx="2">
                  <c:v>168</c:v>
                </c:pt>
                <c:pt idx="3">
                  <c:v>159.20000000000002</c:v>
                </c:pt>
                <c:pt idx="4">
                  <c:v>146</c:v>
                </c:pt>
                <c:pt idx="5">
                  <c:v>141.69999999999999</c:v>
                </c:pt>
                <c:pt idx="6">
                  <c:v>139.5</c:v>
                </c:pt>
                <c:pt idx="7">
                  <c:v>138.19999999999999</c:v>
                </c:pt>
                <c:pt idx="8">
                  <c:v>137.30000000000001</c:v>
                </c:pt>
                <c:pt idx="9">
                  <c:v>136.6</c:v>
                </c:pt>
                <c:pt idx="10">
                  <c:v>136.19999999999999</c:v>
                </c:pt>
                <c:pt idx="11">
                  <c:v>135.80000000000001</c:v>
                </c:pt>
                <c:pt idx="12">
                  <c:v>135.5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24B-0A4C-8E7E-0225643C5B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01953152"/>
        <c:axId val="1740752687"/>
      </c:barChart>
      <c:catAx>
        <c:axId val="10195315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600" b="1" i="0" u="none" strike="noStrike" kern="1200" baseline="0">
                    <a:solidFill>
                      <a:schemeClr val="tx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r>
                  <a:rPr lang="en-US" sz="1600" b="1"/>
                  <a:t>Current Density (mA/cm</a:t>
                </a:r>
                <a:r>
                  <a:rPr lang="en-US" sz="1600" b="1" baseline="30000"/>
                  <a:t>2</a:t>
                </a:r>
                <a:r>
                  <a:rPr lang="en-US" sz="1600" b="1" baseline="0"/>
                  <a:t>)</a:t>
                </a:r>
                <a:endParaRPr lang="en-US" sz="1600" b="1"/>
              </a:p>
            </c:rich>
          </c:tx>
          <c:layout>
            <c:manualLayout>
              <c:xMode val="edge"/>
              <c:yMode val="edge"/>
              <c:x val="0.33749781277340335"/>
              <c:y val="0.9305555555555555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Helvetica" pitchFamily="2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_(* #,##0.0_);_(* \(#,##0.0\);_(* &quot;-&quot;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/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1740752687"/>
        <c:crosses val="autoZero"/>
        <c:auto val="1"/>
        <c:lblAlgn val="ctr"/>
        <c:lblOffset val="100"/>
        <c:tickLblSkip val="3"/>
        <c:noMultiLvlLbl val="0"/>
      </c:catAx>
      <c:valAx>
        <c:axId val="17407526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1" i="0" u="none" strike="noStrike" kern="1200" baseline="0">
                    <a:solidFill>
                      <a:schemeClr val="tx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r>
                  <a:rPr lang="en-US" sz="1600" b="1">
                    <a:solidFill>
                      <a:schemeClr val="tx1"/>
                    </a:solidFill>
                  </a:rPr>
                  <a:t>CO</a:t>
                </a:r>
                <a:r>
                  <a:rPr lang="en-US" sz="1600" b="1" baseline="-25000">
                    <a:solidFill>
                      <a:schemeClr val="tx1"/>
                    </a:solidFill>
                  </a:rPr>
                  <a:t>2</a:t>
                </a:r>
                <a:r>
                  <a:rPr lang="en-US" sz="1600" b="1" baseline="0">
                    <a:solidFill>
                      <a:schemeClr val="tx1"/>
                    </a:solidFill>
                  </a:rPr>
                  <a:t> Price ($/ton)</a:t>
                </a:r>
                <a:endParaRPr lang="en-US" sz="1600" b="1">
                  <a:solidFill>
                    <a:schemeClr val="tx1"/>
                  </a:solidFill>
                </a:endParaRPr>
              </a:p>
            </c:rich>
          </c:tx>
          <c:layout>
            <c:manualLayout>
              <c:xMode val="edge"/>
              <c:yMode val="edge"/>
              <c:x val="1.0101010101010102E-2"/>
              <c:y val="0.2523233814523184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Helvetica" pitchFamily="2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/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1019531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>
          <a:solidFill>
            <a:schemeClr val="tx1"/>
          </a:solidFill>
          <a:latin typeface="Helvetica" pitchFamily="2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/>
                </a:solidFill>
                <a:latin typeface="Helvetica" pitchFamily="2" charset="0"/>
                <a:ea typeface="+mn-ea"/>
                <a:cs typeface="+mn-cs"/>
              </a:defRPr>
            </a:pPr>
            <a:r>
              <a:rPr lang="en-US" b="1"/>
              <a:t>Sensitivity Analysis: 10 kilotons</a:t>
            </a:r>
            <a:r>
              <a:rPr lang="en-US" b="1" baseline="0"/>
              <a:t> CO</a:t>
            </a:r>
            <a:r>
              <a:rPr lang="en-US" b="1" baseline="-25000"/>
              <a:t>2</a:t>
            </a:r>
            <a:r>
              <a:rPr lang="en-US" b="1" baseline="0"/>
              <a:t>/year, $0.05/kWh</a:t>
            </a:r>
            <a:endParaRPr lang="en-US" b="1"/>
          </a:p>
        </c:rich>
      </c:tx>
      <c:layout>
        <c:manualLayout>
          <c:xMode val="edge"/>
          <c:yMode val="edge"/>
          <c:x val="0.15084317585301837"/>
          <c:y val="1.944444444444444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/>
              </a:solidFill>
              <a:latin typeface="Helvetica" pitchFamily="2" charset="0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Results!$B$163</c:f>
              <c:strCache>
                <c:ptCount val="1"/>
                <c:pt idx="0">
                  <c:v>50% less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A04BDD56-F030-EE41-A71F-02A79EEBFF8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3318-4C4B-987A-5C7DAF0B552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A6C8C106-0276-7741-857C-2B610D32D2E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3318-4C4B-987A-5C7DAF0B552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A3D9C0F-E2BE-AC42-BCF4-3CC973F2817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3318-4C4B-987A-5C7DAF0B552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29A57CA6-41C3-0843-990A-EE638B1BC53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3318-4C4B-987A-5C7DAF0B552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83C0B81-07ED-3045-A3B5-ABFC52EBAFE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3318-4C4B-987A-5C7DAF0B5529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AF096D46-CAF8-2B4C-9ED6-DA6929CCF7C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3318-4C4B-987A-5C7DAF0B5529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0CFAB1CB-0EC8-9444-8720-5556C588A32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3318-4C4B-987A-5C7DAF0B5529}"/>
                </c:ext>
              </c:extLst>
            </c:dLbl>
            <c:numFmt formatCode="&quot;$&quot;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Results!$A$164:$A$170</c:f>
              <c:strCache>
                <c:ptCount val="7"/>
                <c:pt idx="0">
                  <c:v>Electricity price</c:v>
                </c:pt>
                <c:pt idx="1">
                  <c:v>ED voltage</c:v>
                </c:pt>
                <c:pt idx="2">
                  <c:v>Membrane contactor cost</c:v>
                </c:pt>
                <c:pt idx="3">
                  <c:v>ED current density</c:v>
                </c:pt>
                <c:pt idx="4">
                  <c:v>ED membrane cost</c:v>
                </c:pt>
                <c:pt idx="5">
                  <c:v>Intake piping cost</c:v>
                </c:pt>
                <c:pt idx="6">
                  <c:v>Nanofiltration CapEx</c:v>
                </c:pt>
              </c:strCache>
            </c:strRef>
          </c:cat>
          <c:val>
            <c:numRef>
              <c:f>Results!$B$164:$B$170</c:f>
              <c:numCache>
                <c:formatCode>"$"#,##0.00</c:formatCode>
                <c:ptCount val="7"/>
                <c:pt idx="0">
                  <c:v>-77.63</c:v>
                </c:pt>
                <c:pt idx="1">
                  <c:v>-52.649999999999977</c:v>
                </c:pt>
                <c:pt idx="2">
                  <c:v>-42.409999999999968</c:v>
                </c:pt>
                <c:pt idx="3">
                  <c:v>-6.2400000000000091</c:v>
                </c:pt>
                <c:pt idx="4">
                  <c:v>-9.3600000000000136</c:v>
                </c:pt>
                <c:pt idx="5">
                  <c:v>-4.4800000000000182</c:v>
                </c:pt>
                <c:pt idx="6">
                  <c:v>-3.8600000000000136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Results!$D$164:$D$171</c15:f>
                <c15:dlblRangeCache>
                  <c:ptCount val="8"/>
                  <c:pt idx="0">
                    <c:v>$469.01</c:v>
                  </c:pt>
                  <c:pt idx="1">
                    <c:v>$493.99</c:v>
                  </c:pt>
                  <c:pt idx="2">
                    <c:v>$504.23</c:v>
                  </c:pt>
                  <c:pt idx="3">
                    <c:v>$540.40</c:v>
                  </c:pt>
                  <c:pt idx="4">
                    <c:v>$537.28</c:v>
                  </c:pt>
                  <c:pt idx="5">
                    <c:v>$542.16</c:v>
                  </c:pt>
                  <c:pt idx="6">
                    <c:v>$542.78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7-3318-4C4B-987A-5C7DAF0B5529}"/>
            </c:ext>
          </c:extLst>
        </c:ser>
        <c:ser>
          <c:idx val="1"/>
          <c:order val="1"/>
          <c:tx>
            <c:strRef>
              <c:f>Results!$C$163</c:f>
              <c:strCache>
                <c:ptCount val="1"/>
                <c:pt idx="0">
                  <c:v>50% more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27B35416-42AD-7541-8A28-257FC24BCDE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3318-4C4B-987A-5C7DAF0B552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366C1BE6-6EA4-254E-AA65-24F63C8DA93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3318-4C4B-987A-5C7DAF0B552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FD11D18-6B90-9E4A-884B-131C5C51F58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3318-4C4B-987A-5C7DAF0B552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72CCCA0-14F0-9E47-92C5-2B45F677D28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3318-4C4B-987A-5C7DAF0B552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06ED3FB-20F1-7740-B34C-9AE35A32E1D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3318-4C4B-987A-5C7DAF0B5529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7BF9826D-31A9-114F-AE24-47A556CE659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3318-4C4B-987A-5C7DAF0B5529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48B1656C-C32E-8041-A030-3E9F4D769BD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3318-4C4B-987A-5C7DAF0B5529}"/>
                </c:ext>
              </c:extLst>
            </c:dLbl>
            <c:numFmt formatCode="&quot;$&quot;\+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Results!$A$164:$A$170</c:f>
              <c:strCache>
                <c:ptCount val="7"/>
                <c:pt idx="0">
                  <c:v>Electricity price</c:v>
                </c:pt>
                <c:pt idx="1">
                  <c:v>ED voltage</c:v>
                </c:pt>
                <c:pt idx="2">
                  <c:v>Membrane contactor cost</c:v>
                </c:pt>
                <c:pt idx="3">
                  <c:v>ED current density</c:v>
                </c:pt>
                <c:pt idx="4">
                  <c:v>ED membrane cost</c:v>
                </c:pt>
                <c:pt idx="5">
                  <c:v>Intake piping cost</c:v>
                </c:pt>
                <c:pt idx="6">
                  <c:v>Nanofiltration CapEx</c:v>
                </c:pt>
              </c:strCache>
            </c:strRef>
          </c:cat>
          <c:val>
            <c:numRef>
              <c:f>Results!$C$164:$C$170</c:f>
              <c:numCache>
                <c:formatCode>"$"#,##0.00</c:formatCode>
                <c:ptCount val="7"/>
                <c:pt idx="0">
                  <c:v>77.639999999999986</c:v>
                </c:pt>
                <c:pt idx="1">
                  <c:v>52.659999999999968</c:v>
                </c:pt>
                <c:pt idx="2">
                  <c:v>42.419999999999959</c:v>
                </c:pt>
                <c:pt idx="3">
                  <c:v>18.730000000000018</c:v>
                </c:pt>
                <c:pt idx="4">
                  <c:v>9.3700000000000045</c:v>
                </c:pt>
                <c:pt idx="5">
                  <c:v>4.4900000000000091</c:v>
                </c:pt>
                <c:pt idx="6">
                  <c:v>3.8700000000000045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Results!$F$164:$F$171</c15:f>
                <c15:dlblRangeCache>
                  <c:ptCount val="8"/>
                  <c:pt idx="0">
                    <c:v>$624.28</c:v>
                  </c:pt>
                  <c:pt idx="1">
                    <c:v>$599.30</c:v>
                  </c:pt>
                  <c:pt idx="2">
                    <c:v>$589.06</c:v>
                  </c:pt>
                  <c:pt idx="3">
                    <c:v>$565.37</c:v>
                  </c:pt>
                  <c:pt idx="4">
                    <c:v>$556.01</c:v>
                  </c:pt>
                  <c:pt idx="5">
                    <c:v>$551.13</c:v>
                  </c:pt>
                  <c:pt idx="6">
                    <c:v>$550.51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F-3318-4C4B-987A-5C7DAF0B55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"/>
        <c:overlap val="100"/>
        <c:axId val="1957499520"/>
        <c:axId val="1957690336"/>
      </c:barChart>
      <c:catAx>
        <c:axId val="1957499520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1957690336"/>
        <c:crosses val="autoZero"/>
        <c:auto val="1"/>
        <c:lblAlgn val="ctr"/>
        <c:lblOffset val="100"/>
        <c:noMultiLvlLbl val="0"/>
      </c:catAx>
      <c:valAx>
        <c:axId val="1957690336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r>
                  <a:rPr lang="en-US" b="1"/>
                  <a:t>CO</a:t>
                </a:r>
                <a:r>
                  <a:rPr lang="en-US" b="1" baseline="-25000"/>
                  <a:t>2</a:t>
                </a:r>
                <a:r>
                  <a:rPr lang="en-US" b="1" baseline="0"/>
                  <a:t> Price ($/ton)</a:t>
                </a:r>
                <a:endParaRPr lang="en-US" b="1"/>
              </a:p>
            </c:rich>
          </c:tx>
          <c:layout>
            <c:manualLayout>
              <c:xMode val="edge"/>
              <c:yMode val="edge"/>
              <c:x val="0.5223147106611673"/>
              <c:y val="8.1666666666666665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/>
                  </a:solidFill>
                  <a:latin typeface="Helvetica" pitchFamily="2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&quot;$&quot;#,##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1957499520"/>
        <c:crossesAt val="1"/>
        <c:crossBetween val="between"/>
        <c:majorUnit val="30"/>
        <c:minorUnit val="10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026012373453319"/>
          <c:y val="0.93090266841644798"/>
          <c:w val="0.29757499062617171"/>
          <c:h val="4.965288713910760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Helvetica" pitchFamily="2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>
          <a:solidFill>
            <a:schemeClr val="tx1"/>
          </a:solidFill>
          <a:latin typeface="Helvetica" pitchFamily="2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/>
                </a:solidFill>
                <a:latin typeface="Helvetica" pitchFamily="2" charset="0"/>
                <a:ea typeface="+mn-ea"/>
                <a:cs typeface="+mn-cs"/>
              </a:defRPr>
            </a:pPr>
            <a:r>
              <a:rPr lang="en-US" b="1"/>
              <a:t>Sensitivity Analysis: 1</a:t>
            </a:r>
            <a:r>
              <a:rPr lang="en-US" b="1" baseline="0"/>
              <a:t> megaton CO</a:t>
            </a:r>
            <a:r>
              <a:rPr lang="en-US" b="1" baseline="-25000"/>
              <a:t>2</a:t>
            </a:r>
            <a:r>
              <a:rPr lang="en-US" b="1" baseline="0"/>
              <a:t>/year, $0.02/kWh</a:t>
            </a:r>
            <a:endParaRPr lang="en-US" b="1"/>
          </a:p>
        </c:rich>
      </c:tx>
      <c:layout>
        <c:manualLayout>
          <c:xMode val="edge"/>
          <c:yMode val="edge"/>
          <c:x val="0.14529761904761901"/>
          <c:y val="1.666666666666666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/>
              </a:solidFill>
              <a:latin typeface="Helvetica" pitchFamily="2" charset="0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Results!$B$203</c:f>
              <c:strCache>
                <c:ptCount val="1"/>
                <c:pt idx="0">
                  <c:v>50% less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3F671027-9DF8-7B47-96A1-42F93A8E068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4017-604E-850C-72492FA4C1B6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02EF046-CA91-EA47-A106-ABBB2284856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4017-604E-850C-72492FA4C1B6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53D59326-EB60-0546-B51B-6E674D734B1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4017-604E-850C-72492FA4C1B6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F1FB635B-435E-AE40-95B9-A8CB1D58E77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4017-604E-850C-72492FA4C1B6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8A8A077-B5BC-7141-9E13-802FBC5696A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4017-604E-850C-72492FA4C1B6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F9B47C9A-09D6-3946-8756-BC281129D6F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4017-604E-850C-72492FA4C1B6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D705AE76-62B8-AC44-B68E-43675104645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4017-604E-850C-72492FA4C1B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Results!$A$204:$A$210</c:f>
              <c:strCache>
                <c:ptCount val="7"/>
                <c:pt idx="0">
                  <c:v>Electricity price</c:v>
                </c:pt>
                <c:pt idx="1">
                  <c:v>ED voltage</c:v>
                </c:pt>
                <c:pt idx="2">
                  <c:v>Membrane contactor cost</c:v>
                </c:pt>
                <c:pt idx="3">
                  <c:v>ED current density</c:v>
                </c:pt>
                <c:pt idx="4">
                  <c:v>ED membrane cost</c:v>
                </c:pt>
                <c:pt idx="5">
                  <c:v>Intake piping cost</c:v>
                </c:pt>
                <c:pt idx="6">
                  <c:v>Nanofiltration CapEx</c:v>
                </c:pt>
              </c:strCache>
            </c:strRef>
          </c:cat>
          <c:val>
            <c:numRef>
              <c:f>Results!$B$204:$B$210</c:f>
              <c:numCache>
                <c:formatCode>"$"#,##0.00</c:formatCode>
                <c:ptCount val="7"/>
                <c:pt idx="0">
                  <c:v>-31.049999999999997</c:v>
                </c:pt>
                <c:pt idx="1">
                  <c:v>-21.060000000000002</c:v>
                </c:pt>
                <c:pt idx="2">
                  <c:v>-6.7199999999999989</c:v>
                </c:pt>
                <c:pt idx="3">
                  <c:v>-0.99000000000000909</c:v>
                </c:pt>
                <c:pt idx="4">
                  <c:v>-1.480000000000004</c:v>
                </c:pt>
                <c:pt idx="5">
                  <c:v>-0.71000000000000796</c:v>
                </c:pt>
                <c:pt idx="6">
                  <c:v>-0.60999999999999943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Results!$D$204:$D$210</c15:f>
                <c15:dlblRangeCache>
                  <c:ptCount val="7"/>
                  <c:pt idx="0">
                    <c:v>$84.26</c:v>
                  </c:pt>
                  <c:pt idx="1">
                    <c:v>$94.25</c:v>
                  </c:pt>
                  <c:pt idx="2">
                    <c:v>$108.59</c:v>
                  </c:pt>
                  <c:pt idx="3">
                    <c:v>$114.32</c:v>
                  </c:pt>
                  <c:pt idx="4">
                    <c:v>$113.83</c:v>
                  </c:pt>
                  <c:pt idx="5">
                    <c:v>$114.60</c:v>
                  </c:pt>
                  <c:pt idx="6">
                    <c:v>$114.70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7-4017-604E-850C-72492FA4C1B6}"/>
            </c:ext>
          </c:extLst>
        </c:ser>
        <c:ser>
          <c:idx val="1"/>
          <c:order val="1"/>
          <c:tx>
            <c:strRef>
              <c:f>Results!$C$203</c:f>
              <c:strCache>
                <c:ptCount val="1"/>
                <c:pt idx="0">
                  <c:v>50% more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12497264-F46B-0648-87EE-C504C66D704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4017-604E-850C-72492FA4C1B6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4934E65-FAA6-904F-879B-28EB476CA8A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4017-604E-850C-72492FA4C1B6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426CF0C-F37A-2346-962C-CC4D8447FB5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4017-604E-850C-72492FA4C1B6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85AE27B-2C27-1B4E-86E5-1029F89432C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4017-604E-850C-72492FA4C1B6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57F43523-8202-5B43-87B1-B97A45C9095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4017-604E-850C-72492FA4C1B6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80757549-C36A-2B49-BE0E-8DD5ACA8757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4017-604E-850C-72492FA4C1B6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08E1A318-077B-2243-90C2-C0302CCA3BF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4017-604E-850C-72492FA4C1B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Results!$A$204:$A$210</c:f>
              <c:strCache>
                <c:ptCount val="7"/>
                <c:pt idx="0">
                  <c:v>Electricity price</c:v>
                </c:pt>
                <c:pt idx="1">
                  <c:v>ED voltage</c:v>
                </c:pt>
                <c:pt idx="2">
                  <c:v>Membrane contactor cost</c:v>
                </c:pt>
                <c:pt idx="3">
                  <c:v>ED current density</c:v>
                </c:pt>
                <c:pt idx="4">
                  <c:v>ED membrane cost</c:v>
                </c:pt>
                <c:pt idx="5">
                  <c:v>Intake piping cost</c:v>
                </c:pt>
                <c:pt idx="6">
                  <c:v>Nanofiltration CapEx</c:v>
                </c:pt>
              </c:strCache>
            </c:strRef>
          </c:cat>
          <c:val>
            <c:numRef>
              <c:f>Results!$C$204:$C$210</c:f>
              <c:numCache>
                <c:formatCode>"$"#,##0.00</c:formatCode>
                <c:ptCount val="7"/>
                <c:pt idx="0">
                  <c:v>31.060000000000002</c:v>
                </c:pt>
                <c:pt idx="1">
                  <c:v>21.060000000000002</c:v>
                </c:pt>
                <c:pt idx="2">
                  <c:v>6.730000000000004</c:v>
                </c:pt>
                <c:pt idx="3">
                  <c:v>2.9699999999999989</c:v>
                </c:pt>
                <c:pt idx="4">
                  <c:v>1.4899999999999949</c:v>
                </c:pt>
                <c:pt idx="5">
                  <c:v>0.70999999999999375</c:v>
                </c:pt>
                <c:pt idx="6">
                  <c:v>0.62000000000000455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Results!$F$204:$F$210</c15:f>
                <c15:dlblRangeCache>
                  <c:ptCount val="7"/>
                  <c:pt idx="0">
                    <c:v>$146.37</c:v>
                  </c:pt>
                  <c:pt idx="1">
                    <c:v>$136.37</c:v>
                  </c:pt>
                  <c:pt idx="2">
                    <c:v>$122.04</c:v>
                  </c:pt>
                  <c:pt idx="3">
                    <c:v>$118.28</c:v>
                  </c:pt>
                  <c:pt idx="4">
                    <c:v>$116.80</c:v>
                  </c:pt>
                  <c:pt idx="5">
                    <c:v>$116.02</c:v>
                  </c:pt>
                  <c:pt idx="6">
                    <c:v>$115.93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F-4017-604E-850C-72492FA4C1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"/>
        <c:overlap val="100"/>
        <c:axId val="1957499520"/>
        <c:axId val="1957690336"/>
      </c:barChart>
      <c:catAx>
        <c:axId val="1957499520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1957690336"/>
        <c:crosses val="autoZero"/>
        <c:auto val="1"/>
        <c:lblAlgn val="ctr"/>
        <c:lblOffset val="100"/>
        <c:noMultiLvlLbl val="0"/>
      </c:catAx>
      <c:valAx>
        <c:axId val="1957690336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r>
                  <a:rPr lang="en-US" b="1"/>
                  <a:t>CO</a:t>
                </a:r>
                <a:r>
                  <a:rPr lang="en-US" b="1" baseline="-25000"/>
                  <a:t>2</a:t>
                </a:r>
                <a:r>
                  <a:rPr lang="en-US" b="1" baseline="0"/>
                  <a:t> Price ($/ton)</a:t>
                </a:r>
                <a:endParaRPr lang="en-US" b="1"/>
              </a:p>
            </c:rich>
          </c:tx>
          <c:layout>
            <c:manualLayout>
              <c:xMode val="edge"/>
              <c:yMode val="edge"/>
              <c:x val="0.5223147106611673"/>
              <c:y val="8.1666666666666665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Helvetica" pitchFamily="2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&quot;$&quot;#,##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1957499520"/>
        <c:crossesAt val="1"/>
        <c:crossBetween val="between"/>
        <c:majorUnit val="30"/>
        <c:minorUnit val="10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026012373453319"/>
          <c:y val="0.93090266841644798"/>
          <c:w val="0.29757499062617171"/>
          <c:h val="4.965288713910760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Helvetica" pitchFamily="2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>
          <a:solidFill>
            <a:schemeClr val="tx1"/>
          </a:solidFill>
          <a:latin typeface="Helvetica" pitchFamily="2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chemeClr val="tx1"/>
                </a:solidFill>
                <a:latin typeface="Helvetica" pitchFamily="2" charset="0"/>
                <a:ea typeface="+mn-ea"/>
                <a:cs typeface="+mn-cs"/>
              </a:defRPr>
            </a:pPr>
            <a:r>
              <a:rPr lang="en-US" sz="1600" b="1"/>
              <a:t>Different Vacuum</a:t>
            </a:r>
            <a:r>
              <a:rPr lang="en-US" sz="1600" b="1" baseline="0"/>
              <a:t> Pumps</a:t>
            </a:r>
            <a:endParaRPr lang="en-US" sz="16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chemeClr val="tx1"/>
              </a:solidFill>
              <a:latin typeface="Helvetica" pitchFamily="2" charset="0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'Process and cost assumptions'!$B$136</c:f>
              <c:strCache>
                <c:ptCount val="1"/>
                <c:pt idx="0">
                  <c:v>10 kilotons/year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'Process and cost assumptions'!$A$137:$A$140</c:f>
              <c:strCache>
                <c:ptCount val="4"/>
                <c:pt idx="0">
                  <c:v>150 Torr</c:v>
                </c:pt>
                <c:pt idx="1">
                  <c:v>70 Torr</c:v>
                </c:pt>
                <c:pt idx="2">
                  <c:v>20 Torr</c:v>
                </c:pt>
                <c:pt idx="3">
                  <c:v>2 Torr</c:v>
                </c:pt>
              </c:strCache>
            </c:strRef>
          </c:cat>
          <c:val>
            <c:numRef>
              <c:f>'Process and cost assumptions'!$B$137:$B$140</c:f>
              <c:numCache>
                <c:formatCode>"$"#,##0</c:formatCode>
                <c:ptCount val="4"/>
                <c:pt idx="0">
                  <c:v>519</c:v>
                </c:pt>
                <c:pt idx="1">
                  <c:v>537</c:v>
                </c:pt>
                <c:pt idx="2">
                  <c:v>621</c:v>
                </c:pt>
                <c:pt idx="3">
                  <c:v>1625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94-FF46-89C1-09150E7125C7}"/>
            </c:ext>
          </c:extLst>
        </c:ser>
        <c:ser>
          <c:idx val="1"/>
          <c:order val="1"/>
          <c:tx>
            <c:strRef>
              <c:f>'Process and cost assumptions'!$C$136</c:f>
              <c:strCache>
                <c:ptCount val="1"/>
                <c:pt idx="0">
                  <c:v>1 megaton/year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'Process and cost assumptions'!$A$137:$A$140</c:f>
              <c:strCache>
                <c:ptCount val="4"/>
                <c:pt idx="0">
                  <c:v>150 Torr</c:v>
                </c:pt>
                <c:pt idx="1">
                  <c:v>70 Torr</c:v>
                </c:pt>
                <c:pt idx="2">
                  <c:v>20 Torr</c:v>
                </c:pt>
                <c:pt idx="3">
                  <c:v>2 Torr</c:v>
                </c:pt>
              </c:strCache>
            </c:strRef>
          </c:cat>
          <c:val>
            <c:numRef>
              <c:f>'Process and cost assumptions'!$C$137:$C$140</c:f>
              <c:numCache>
                <c:formatCode>"$"#,##0</c:formatCode>
                <c:ptCount val="4"/>
                <c:pt idx="0">
                  <c:v>112</c:v>
                </c:pt>
                <c:pt idx="1">
                  <c:v>117</c:v>
                </c:pt>
                <c:pt idx="2">
                  <c:v>132</c:v>
                </c:pt>
                <c:pt idx="3">
                  <c:v>297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094-FF46-89C1-09150E7125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01103440"/>
        <c:axId val="813455152"/>
      </c:barChart>
      <c:catAx>
        <c:axId val="80110344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chemeClr val="tx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r>
                  <a:rPr lang="en-US" sz="1400" b="1"/>
                  <a:t>Vacuum Pump</a:t>
                </a:r>
                <a:r>
                  <a:rPr lang="en-US" sz="1400" b="1" baseline="0"/>
                  <a:t> Base Pressure</a:t>
                </a:r>
                <a:endParaRPr lang="en-US" sz="1400" b="1"/>
              </a:p>
            </c:rich>
          </c:tx>
          <c:layout>
            <c:manualLayout>
              <c:xMode val="edge"/>
              <c:yMode val="edge"/>
              <c:x val="0.30409715089961581"/>
              <c:y val="0.8545909886264216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chemeClr val="tx1"/>
                  </a:solidFill>
                  <a:latin typeface="Helvetica" pitchFamily="2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/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813455152"/>
        <c:crosses val="autoZero"/>
        <c:auto val="1"/>
        <c:lblAlgn val="ctr"/>
        <c:lblOffset val="100"/>
        <c:noMultiLvlLbl val="0"/>
      </c:catAx>
      <c:valAx>
        <c:axId val="81345515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chemeClr val="tx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r>
                  <a:rPr lang="en-US" sz="1400" b="1"/>
                  <a:t>CO</a:t>
                </a:r>
                <a:r>
                  <a:rPr lang="en-US" sz="1400" b="1" baseline="-25000"/>
                  <a:t>2</a:t>
                </a:r>
                <a:r>
                  <a:rPr lang="en-US" sz="1400" b="1" baseline="0"/>
                  <a:t> Price ($/Ton)</a:t>
                </a:r>
                <a:endParaRPr lang="en-US" sz="1400" b="1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chemeClr val="tx1"/>
                  </a:solidFill>
                  <a:latin typeface="Helvetica" pitchFamily="2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8011034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/>
              </a:solidFill>
              <a:latin typeface="Helvetica" pitchFamily="2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>
          <a:solidFill>
            <a:schemeClr val="tx1"/>
          </a:solidFill>
          <a:latin typeface="Helvetica" pitchFamily="2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US" sz="1600">
                <a:solidFill>
                  <a:schemeClr val="tx1"/>
                </a:solidFill>
              </a:rPr>
              <a:t>Concentration vs. 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5756541795911869"/>
          <c:y val="0.12263888888888889"/>
          <c:w val="0.66013242662848959"/>
          <c:h val="0.71388888888888891"/>
        </c:manualLayout>
      </c:layout>
      <c:lineChart>
        <c:grouping val="standard"/>
        <c:varyColors val="0"/>
        <c:ser>
          <c:idx val="0"/>
          <c:order val="0"/>
          <c:tx>
            <c:strRef>
              <c:f>'Carbonate acidity'!$A$5</c:f>
              <c:strCache>
                <c:ptCount val="1"/>
                <c:pt idx="0">
                  <c:v>CO₂</c:v>
                </c:pt>
              </c:strCache>
            </c:strRef>
          </c:tx>
          <c:spPr>
            <a:ln w="317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'Carbonate acidity'!$F$6:$F$146</c:f>
              <c:numCache>
                <c:formatCode>General</c:formatCode>
                <c:ptCount val="14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2.2999999999999998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</c:v>
                </c:pt>
                <c:pt idx="34">
                  <c:v>3.4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</c:v>
                </c:pt>
                <c:pt idx="39">
                  <c:v>3.9</c:v>
                </c:pt>
                <c:pt idx="40">
                  <c:v>4</c:v>
                </c:pt>
                <c:pt idx="41">
                  <c:v>4.0999999999999996</c:v>
                </c:pt>
                <c:pt idx="42">
                  <c:v>4.2</c:v>
                </c:pt>
                <c:pt idx="43">
                  <c:v>4.3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4.7</c:v>
                </c:pt>
                <c:pt idx="48">
                  <c:v>4.8</c:v>
                </c:pt>
                <c:pt idx="49">
                  <c:v>4.9000000000000004</c:v>
                </c:pt>
                <c:pt idx="50">
                  <c:v>5</c:v>
                </c:pt>
                <c:pt idx="51">
                  <c:v>5.0999999999999996</c:v>
                </c:pt>
                <c:pt idx="52">
                  <c:v>5.2</c:v>
                </c:pt>
                <c:pt idx="53">
                  <c:v>5.3</c:v>
                </c:pt>
                <c:pt idx="54">
                  <c:v>5.4</c:v>
                </c:pt>
                <c:pt idx="55">
                  <c:v>5.5</c:v>
                </c:pt>
                <c:pt idx="56">
                  <c:v>5.6</c:v>
                </c:pt>
                <c:pt idx="57">
                  <c:v>5.7</c:v>
                </c:pt>
                <c:pt idx="58">
                  <c:v>5.8</c:v>
                </c:pt>
                <c:pt idx="59">
                  <c:v>5.9</c:v>
                </c:pt>
                <c:pt idx="60">
                  <c:v>6</c:v>
                </c:pt>
                <c:pt idx="61">
                  <c:v>6.1</c:v>
                </c:pt>
                <c:pt idx="62">
                  <c:v>6.2</c:v>
                </c:pt>
                <c:pt idx="63">
                  <c:v>6.3</c:v>
                </c:pt>
                <c:pt idx="64">
                  <c:v>6.4</c:v>
                </c:pt>
                <c:pt idx="65">
                  <c:v>6.5</c:v>
                </c:pt>
                <c:pt idx="66">
                  <c:v>6.6</c:v>
                </c:pt>
                <c:pt idx="67">
                  <c:v>6.7</c:v>
                </c:pt>
                <c:pt idx="68">
                  <c:v>6.8</c:v>
                </c:pt>
                <c:pt idx="69">
                  <c:v>6.9</c:v>
                </c:pt>
                <c:pt idx="70">
                  <c:v>7</c:v>
                </c:pt>
                <c:pt idx="71">
                  <c:v>7.1</c:v>
                </c:pt>
                <c:pt idx="72">
                  <c:v>7.2</c:v>
                </c:pt>
                <c:pt idx="73">
                  <c:v>7.3</c:v>
                </c:pt>
                <c:pt idx="74">
                  <c:v>7.4</c:v>
                </c:pt>
                <c:pt idx="75">
                  <c:v>7.5</c:v>
                </c:pt>
                <c:pt idx="76">
                  <c:v>7.6</c:v>
                </c:pt>
                <c:pt idx="77">
                  <c:v>7.7</c:v>
                </c:pt>
                <c:pt idx="78">
                  <c:v>7.8</c:v>
                </c:pt>
                <c:pt idx="79">
                  <c:v>7.9</c:v>
                </c:pt>
                <c:pt idx="80">
                  <c:v>8</c:v>
                </c:pt>
                <c:pt idx="81">
                  <c:v>8.1</c:v>
                </c:pt>
                <c:pt idx="82">
                  <c:v>8.1999999999999993</c:v>
                </c:pt>
                <c:pt idx="83">
                  <c:v>8.3000000000000007</c:v>
                </c:pt>
                <c:pt idx="84">
                  <c:v>8.4</c:v>
                </c:pt>
                <c:pt idx="85">
                  <c:v>8.5</c:v>
                </c:pt>
                <c:pt idx="86">
                  <c:v>8.6</c:v>
                </c:pt>
                <c:pt idx="87">
                  <c:v>8.6999999999999993</c:v>
                </c:pt>
                <c:pt idx="88">
                  <c:v>8.8000000000000007</c:v>
                </c:pt>
                <c:pt idx="89">
                  <c:v>8.9</c:v>
                </c:pt>
                <c:pt idx="90">
                  <c:v>9</c:v>
                </c:pt>
                <c:pt idx="91">
                  <c:v>9.1</c:v>
                </c:pt>
                <c:pt idx="92">
                  <c:v>9.1999999999999993</c:v>
                </c:pt>
                <c:pt idx="93">
                  <c:v>9.3000000000000007</c:v>
                </c:pt>
                <c:pt idx="94">
                  <c:v>9.4</c:v>
                </c:pt>
                <c:pt idx="95">
                  <c:v>9.5</c:v>
                </c:pt>
                <c:pt idx="96">
                  <c:v>9.6</c:v>
                </c:pt>
                <c:pt idx="97">
                  <c:v>9.6999999999999993</c:v>
                </c:pt>
                <c:pt idx="98">
                  <c:v>9.8000000000000007</c:v>
                </c:pt>
                <c:pt idx="99">
                  <c:v>9.9</c:v>
                </c:pt>
                <c:pt idx="100">
                  <c:v>10</c:v>
                </c:pt>
                <c:pt idx="101">
                  <c:v>10.1</c:v>
                </c:pt>
                <c:pt idx="102">
                  <c:v>10.199999999999999</c:v>
                </c:pt>
                <c:pt idx="103">
                  <c:v>10.3</c:v>
                </c:pt>
                <c:pt idx="104">
                  <c:v>10.4</c:v>
                </c:pt>
                <c:pt idx="105">
                  <c:v>10.5</c:v>
                </c:pt>
                <c:pt idx="106">
                  <c:v>10.6</c:v>
                </c:pt>
                <c:pt idx="107">
                  <c:v>10.7</c:v>
                </c:pt>
                <c:pt idx="108">
                  <c:v>10.8</c:v>
                </c:pt>
                <c:pt idx="109">
                  <c:v>10.9</c:v>
                </c:pt>
                <c:pt idx="110">
                  <c:v>11</c:v>
                </c:pt>
                <c:pt idx="111">
                  <c:v>11.1</c:v>
                </c:pt>
                <c:pt idx="112">
                  <c:v>11.2</c:v>
                </c:pt>
                <c:pt idx="113">
                  <c:v>11.3</c:v>
                </c:pt>
                <c:pt idx="114">
                  <c:v>11.4</c:v>
                </c:pt>
                <c:pt idx="115">
                  <c:v>11.5</c:v>
                </c:pt>
                <c:pt idx="116">
                  <c:v>11.6</c:v>
                </c:pt>
                <c:pt idx="117">
                  <c:v>11.7</c:v>
                </c:pt>
                <c:pt idx="118">
                  <c:v>11.8</c:v>
                </c:pt>
                <c:pt idx="119">
                  <c:v>11.9</c:v>
                </c:pt>
                <c:pt idx="120">
                  <c:v>12</c:v>
                </c:pt>
                <c:pt idx="121">
                  <c:v>12.1</c:v>
                </c:pt>
                <c:pt idx="122">
                  <c:v>12.2</c:v>
                </c:pt>
                <c:pt idx="123">
                  <c:v>12.3</c:v>
                </c:pt>
                <c:pt idx="124">
                  <c:v>12.4</c:v>
                </c:pt>
                <c:pt idx="125">
                  <c:v>12.5</c:v>
                </c:pt>
                <c:pt idx="126">
                  <c:v>12.6</c:v>
                </c:pt>
                <c:pt idx="127">
                  <c:v>12.7</c:v>
                </c:pt>
                <c:pt idx="128">
                  <c:v>12.8</c:v>
                </c:pt>
                <c:pt idx="129">
                  <c:v>12.9</c:v>
                </c:pt>
                <c:pt idx="130">
                  <c:v>13</c:v>
                </c:pt>
                <c:pt idx="131">
                  <c:v>13.1</c:v>
                </c:pt>
                <c:pt idx="132">
                  <c:v>13.2</c:v>
                </c:pt>
                <c:pt idx="133">
                  <c:v>13.3</c:v>
                </c:pt>
                <c:pt idx="134">
                  <c:v>13.4</c:v>
                </c:pt>
                <c:pt idx="135">
                  <c:v>13.5</c:v>
                </c:pt>
                <c:pt idx="136">
                  <c:v>13.6</c:v>
                </c:pt>
                <c:pt idx="137">
                  <c:v>13.7</c:v>
                </c:pt>
                <c:pt idx="138">
                  <c:v>13.8</c:v>
                </c:pt>
                <c:pt idx="139">
                  <c:v>13.9</c:v>
                </c:pt>
                <c:pt idx="140">
                  <c:v>14</c:v>
                </c:pt>
              </c:numCache>
            </c:numRef>
          </c:cat>
          <c:val>
            <c:numRef>
              <c:f>'Carbonate acidity'!$A$6:$A$146</c:f>
              <c:numCache>
                <c:formatCode>0.00E+00</c:formatCode>
                <c:ptCount val="141"/>
                <c:pt idx="0">
                  <c:v>2.1999969631588063E-3</c:v>
                </c:pt>
                <c:pt idx="1">
                  <c:v>2.1999961768448149E-3</c:v>
                </c:pt>
                <c:pt idx="2">
                  <c:v>2.1999951869349482E-3</c:v>
                </c:pt>
                <c:pt idx="3">
                  <c:v>2.199993940713527E-3</c:v>
                </c:pt>
                <c:pt idx="4">
                  <c:v>2.1999923718157171E-3</c:v>
                </c:pt>
                <c:pt idx="5">
                  <c:v>2.1999903966935744E-3</c:v>
                </c:pt>
                <c:pt idx="6">
                  <c:v>2.1999879101671565E-3</c:v>
                </c:pt>
                <c:pt idx="7">
                  <c:v>2.199984779823846E-3</c:v>
                </c:pt>
                <c:pt idx="8">
                  <c:v>2.199980838967761E-3</c:v>
                </c:pt>
                <c:pt idx="9">
                  <c:v>2.1999758777439494E-3</c:v>
                </c:pt>
                <c:pt idx="10">
                  <c:v>2.1999696319650094E-3</c:v>
                </c:pt>
                <c:pt idx="11">
                  <c:v>2.1999617690455667E-3</c:v>
                </c:pt>
                <c:pt idx="12">
                  <c:v>2.1999518702963197E-3</c:v>
                </c:pt>
                <c:pt idx="13">
                  <c:v>2.1999394086358983E-3</c:v>
                </c:pt>
                <c:pt idx="14">
                  <c:v>2.1999237205354871E-3</c:v>
                </c:pt>
                <c:pt idx="15">
                  <c:v>2.1999039707050871E-3</c:v>
                </c:pt>
                <c:pt idx="16">
                  <c:v>2.1998791076454942E-3</c:v>
                </c:pt>
                <c:pt idx="17">
                  <c:v>2.1998478077063619E-3</c:v>
                </c:pt>
                <c:pt idx="18">
                  <c:v>2.1998084046829301E-3</c:v>
                </c:pt>
                <c:pt idx="19">
                  <c:v>2.1997588012207347E-3</c:v>
                </c:pt>
                <c:pt idx="20">
                  <c:v>2.1996963573396367E-3</c:v>
                </c:pt>
                <c:pt idx="21">
                  <c:v>2.1996177501872236E-3</c:v>
                </c:pt>
                <c:pt idx="22">
                  <c:v>2.1995187976266489E-3</c:v>
                </c:pt>
                <c:pt idx="23">
                  <c:v>2.1993942363811077E-3</c:v>
                </c:pt>
                <c:pt idx="24">
                  <c:v>2.1992374431052918E-3</c:v>
                </c:pt>
                <c:pt idx="25">
                  <c:v>2.1990400838227311E-3</c:v>
                </c:pt>
                <c:pt idx="26">
                  <c:v>2.19879167352396E-3</c:v>
                </c:pt>
                <c:pt idx="27">
                  <c:v>2.1984790232063515E-3</c:v>
                </c:pt>
                <c:pt idx="28">
                  <c:v>2.1980855460695041E-3</c:v>
                </c:pt>
                <c:pt idx="29">
                  <c:v>2.1975903877546137E-3</c:v>
                </c:pt>
                <c:pt idx="30">
                  <c:v>2.1969673372118081E-3</c:v>
                </c:pt>
                <c:pt idx="31">
                  <c:v>2.1961834647782714E-3</c:v>
                </c:pt>
                <c:pt idx="32">
                  <c:v>2.1951974221716738E-3</c:v>
                </c:pt>
                <c:pt idx="33">
                  <c:v>2.1939573252655223E-3</c:v>
                </c:pt>
                <c:pt idx="34">
                  <c:v>2.1923981248353395E-3</c:v>
                </c:pt>
                <c:pt idx="35">
                  <c:v>2.1904383534395474E-3</c:v>
                </c:pt>
                <c:pt idx="36">
                  <c:v>2.1879761193642142E-3</c:v>
                </c:pt>
                <c:pt idx="37">
                  <c:v>2.1848842033215729E-3</c:v>
                </c:pt>
                <c:pt idx="38">
                  <c:v>2.1810041042589446E-3</c:v>
                </c:pt>
                <c:pt idx="39">
                  <c:v>2.1761388837521494E-3</c:v>
                </c:pt>
                <c:pt idx="40">
                  <c:v>2.1700446845025019E-3</c:v>
                </c:pt>
                <c:pt idx="41">
                  <c:v>2.1624208635377534E-3</c:v>
                </c:pt>
                <c:pt idx="42">
                  <c:v>2.1528988085856961E-3</c:v>
                </c:pt>
                <c:pt idx="43">
                  <c:v>2.141029730063279E-3</c:v>
                </c:pt>
                <c:pt idx="44">
                  <c:v>2.1262720849265422E-3</c:v>
                </c:pt>
                <c:pt idx="45">
                  <c:v>2.1079798440281077E-3</c:v>
                </c:pt>
                <c:pt idx="46">
                  <c:v>2.0853936120648116E-3</c:v>
                </c:pt>
                <c:pt idx="47">
                  <c:v>2.0576376752703424E-3</c:v>
                </c:pt>
                <c:pt idx="48">
                  <c:v>2.0237273459352174E-3</c:v>
                </c:pt>
                <c:pt idx="49">
                  <c:v>1.9825923151676416E-3</c:v>
                </c:pt>
                <c:pt idx="50">
                  <c:v>1.9331227021845191E-3</c:v>
                </c:pt>
                <c:pt idx="51">
                  <c:v>1.8742443618246834E-3</c:v>
                </c:pt>
                <c:pt idx="52">
                  <c:v>1.8050277169828191E-3</c:v>
                </c:pt>
                <c:pt idx="53">
                  <c:v>1.7248287551237652E-3</c:v>
                </c:pt>
                <c:pt idx="54">
                  <c:v>1.6334512239120592E-3</c:v>
                </c:pt>
                <c:pt idx="55">
                  <c:v>1.5313063852326642E-3</c:v>
                </c:pt>
                <c:pt idx="56">
                  <c:v>1.4195344321095284E-3</c:v>
                </c:pt>
                <c:pt idx="57">
                  <c:v>1.3000459788483805E-3</c:v>
                </c:pt>
                <c:pt idx="58">
                  <c:v>1.1754495918372394E-3</c:v>
                </c:pt>
                <c:pt idx="59">
                  <c:v>1.0488550360286349E-3</c:v>
                </c:pt>
                <c:pt idx="60">
                  <c:v>9.2357661619247905E-4</c:v>
                </c:pt>
                <c:pt idx="61">
                  <c:v>8.0279340086896888E-4</c:v>
                </c:pt>
                <c:pt idx="62">
                  <c:v>6.8923810389669702E-4</c:v>
                </c:pt>
                <c:pt idx="63">
                  <c:v>5.8497637543029673E-4</c:v>
                </c:pt>
                <c:pt idx="64">
                  <c:v>4.9130833240399114E-4</c:v>
                </c:pt>
                <c:pt idx="65">
                  <c:v>4.0878864432056396E-4</c:v>
                </c:pt>
                <c:pt idx="66">
                  <c:v>3.3733476672410403E-4</c:v>
                </c:pt>
                <c:pt idx="67">
                  <c:v>2.7638202594983466E-4</c:v>
                </c:pt>
                <c:pt idx="68">
                  <c:v>2.2504770193116453E-4</c:v>
                </c:pt>
                <c:pt idx="69">
                  <c:v>1.822777202771047E-4</c:v>
                </c:pt>
                <c:pt idx="70">
                  <c:v>1.4696253814643553E-4</c:v>
                </c:pt>
                <c:pt idx="71">
                  <c:v>1.1801919741954853E-4</c:v>
                </c:pt>
                <c:pt idx="72">
                  <c:v>9.4442952534270049E-5</c:v>
                </c:pt>
                <c:pt idx="73">
                  <c:v>7.5334776236351584E-5</c:v>
                </c:pt>
                <c:pt idx="74">
                  <c:v>5.9911526589954445E-5</c:v>
                </c:pt>
                <c:pt idx="75">
                  <c:v>4.7504737922952585E-5</c:v>
                </c:pt>
                <c:pt idx="76">
                  <c:v>3.7552687672637762E-5</c:v>
                </c:pt>
                <c:pt idx="77">
                  <c:v>2.9589065341706825E-5</c:v>
                </c:pt>
                <c:pt idx="78">
                  <c:v>2.3230448691468968E-5</c:v>
                </c:pt>
                <c:pt idx="79">
                  <c:v>1.8163938697182073E-5</c:v>
                </c:pt>
                <c:pt idx="80">
                  <c:v>1.4135701854415529E-5</c:v>
                </c:pt>
                <c:pt idx="81">
                  <c:v>1.0940768713502265E-5</c:v>
                </c:pt>
                <c:pt idx="82">
                  <c:v>8.4141892058832465E-6</c:v>
                </c:pt>
                <c:pt idx="83">
                  <c:v>6.4235036674791253E-6</c:v>
                </c:pt>
                <c:pt idx="84">
                  <c:v>4.862418904101922E-6</c:v>
                </c:pt>
                <c:pt idx="85">
                  <c:v>3.6455557214278915E-6</c:v>
                </c:pt>
                <c:pt idx="86">
                  <c:v>2.7041389092563821E-6</c:v>
                </c:pt>
                <c:pt idx="87">
                  <c:v>1.9825171644743584E-6</c:v>
                </c:pt>
                <c:pt idx="88">
                  <c:v>1.4354157163059531E-6</c:v>
                </c:pt>
                <c:pt idx="89">
                  <c:v>1.0258290970854542E-6</c:v>
                </c:pt>
                <c:pt idx="90">
                  <c:v>7.234530929551166E-7</c:v>
                </c:pt>
                <c:pt idx="91">
                  <c:v>5.0353979081413011E-7</c:v>
                </c:pt>
                <c:pt idx="92">
                  <c:v>3.4605039930018871E-7</c:v>
                </c:pt>
                <c:pt idx="93">
                  <c:v>2.3498842702266509E-7</c:v>
                </c:pt>
                <c:pt idx="94">
                  <c:v>1.5782314269507175E-7</c:v>
                </c:pt>
                <c:pt idx="95">
                  <c:v>1.0495168040560005E-7</c:v>
                </c:pt>
                <c:pt idx="96">
                  <c:v>6.918437266217189E-8</c:v>
                </c:pt>
                <c:pt idx="97">
                  <c:v>4.5261670834071887E-8</c:v>
                </c:pt>
                <c:pt idx="98">
                  <c:v>2.9419638510157709E-8</c:v>
                </c:pt>
                <c:pt idx="99">
                  <c:v>1.9018204756685863E-8</c:v>
                </c:pt>
                <c:pt idx="100">
                  <c:v>1.2238299718050722E-8</c:v>
                </c:pt>
                <c:pt idx="101">
                  <c:v>7.8457718825249225E-9</c:v>
                </c:pt>
                <c:pt idx="102">
                  <c:v>5.0142678746227503E-9</c:v>
                </c:pt>
                <c:pt idx="103">
                  <c:v>3.1965745040752546E-9</c:v>
                </c:pt>
                <c:pt idx="104">
                  <c:v>2.0336415465347846E-9</c:v>
                </c:pt>
                <c:pt idx="105">
                  <c:v>1.2916562891255322E-9</c:v>
                </c:pt>
                <c:pt idx="106">
                  <c:v>8.1929878265047393E-10</c:v>
                </c:pt>
                <c:pt idx="107">
                  <c:v>5.1912774162139209E-10</c:v>
                </c:pt>
                <c:pt idx="108">
                  <c:v>3.2865096146676254E-10</c:v>
                </c:pt>
                <c:pt idx="109">
                  <c:v>2.0792114737678272E-10</c:v>
                </c:pt>
                <c:pt idx="110">
                  <c:v>1.3146958463948284E-10</c:v>
                </c:pt>
                <c:pt idx="111">
                  <c:v>8.309267616423688E-11</c:v>
                </c:pt>
                <c:pt idx="112">
                  <c:v>5.2498805312249651E-11</c:v>
                </c:pt>
                <c:pt idx="113">
                  <c:v>3.3160112606715995E-11</c:v>
                </c:pt>
                <c:pt idx="114">
                  <c:v>2.0940496192604672E-11</c:v>
                </c:pt>
                <c:pt idx="115">
                  <c:v>1.3221534634615015E-11</c:v>
                </c:pt>
                <c:pt idx="116">
                  <c:v>8.3467279010100735E-12</c:v>
                </c:pt>
                <c:pt idx="117">
                  <c:v>5.2686885626462359E-12</c:v>
                </c:pt>
                <c:pt idx="118">
                  <c:v>3.325450943411474E-12</c:v>
                </c:pt>
                <c:pt idx="119">
                  <c:v>2.0987859885179991E-12</c:v>
                </c:pt>
                <c:pt idx="120">
                  <c:v>1.3245293930026226E-12</c:v>
                </c:pt>
                <c:pt idx="121">
                  <c:v>8.3586442144077911E-13</c:v>
                </c:pt>
                <c:pt idx="122">
                  <c:v>5.274664237435464E-13</c:v>
                </c:pt>
                <c:pt idx="123">
                  <c:v>3.328447218316052E-13</c:v>
                </c:pt>
                <c:pt idx="124">
                  <c:v>2.100288218253432E-13</c:v>
                </c:pt>
                <c:pt idx="125">
                  <c:v>1.3252825044685584E-13</c:v>
                </c:pt>
                <c:pt idx="126">
                  <c:v>8.3624195616509574E-14</c:v>
                </c:pt>
                <c:pt idx="127">
                  <c:v>5.2765567312695674E-14</c:v>
                </c:pt>
                <c:pt idx="128">
                  <c:v>3.3293958466582192E-14</c:v>
                </c:pt>
                <c:pt idx="129">
                  <c:v>2.100763712261501E-14</c:v>
                </c:pt>
                <c:pt idx="130">
                  <c:v>1.3255208373345701E-14</c:v>
                </c:pt>
                <c:pt idx="131">
                  <c:v>8.3636141405140954E-15</c:v>
                </c:pt>
                <c:pt idx="132">
                  <c:v>5.2771554727741153E-15</c:v>
                </c:pt>
                <c:pt idx="133">
                  <c:v>3.3296959417251623E-15</c:v>
                </c:pt>
                <c:pt idx="134">
                  <c:v>2.1009141214402274E-15</c:v>
                </c:pt>
                <c:pt idx="135">
                  <c:v>1.3255962226296396E-15</c:v>
                </c:pt>
                <c:pt idx="136">
                  <c:v>8.3639919704885379E-16</c:v>
                </c:pt>
                <c:pt idx="137">
                  <c:v>5.2773448397176012E-16</c:v>
                </c:pt>
                <c:pt idx="138">
                  <c:v>3.3297908513668638E-16</c:v>
                </c:pt>
                <c:pt idx="139">
                  <c:v>2.1009616894773206E-16</c:v>
                </c:pt>
                <c:pt idx="140">
                  <c:v>1.3256200633360815E-16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8DE-0641-88E3-58D9E131BD06}"/>
            </c:ext>
          </c:extLst>
        </c:ser>
        <c:ser>
          <c:idx val="1"/>
          <c:order val="1"/>
          <c:tx>
            <c:strRef>
              <c:f>'Carbonate acidity'!$B$5</c:f>
              <c:strCache>
                <c:ptCount val="1"/>
                <c:pt idx="0">
                  <c:v>HCO₃⁻</c:v>
                </c:pt>
              </c:strCache>
            </c:strRef>
          </c:tx>
          <c:spPr>
            <a:ln w="317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'Carbonate acidity'!$F$6:$F$146</c:f>
              <c:numCache>
                <c:formatCode>General</c:formatCode>
                <c:ptCount val="14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2.2999999999999998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</c:v>
                </c:pt>
                <c:pt idx="34">
                  <c:v>3.4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</c:v>
                </c:pt>
                <c:pt idx="39">
                  <c:v>3.9</c:v>
                </c:pt>
                <c:pt idx="40">
                  <c:v>4</c:v>
                </c:pt>
                <c:pt idx="41">
                  <c:v>4.0999999999999996</c:v>
                </c:pt>
                <c:pt idx="42">
                  <c:v>4.2</c:v>
                </c:pt>
                <c:pt idx="43">
                  <c:v>4.3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4.7</c:v>
                </c:pt>
                <c:pt idx="48">
                  <c:v>4.8</c:v>
                </c:pt>
                <c:pt idx="49">
                  <c:v>4.9000000000000004</c:v>
                </c:pt>
                <c:pt idx="50">
                  <c:v>5</c:v>
                </c:pt>
                <c:pt idx="51">
                  <c:v>5.0999999999999996</c:v>
                </c:pt>
                <c:pt idx="52">
                  <c:v>5.2</c:v>
                </c:pt>
                <c:pt idx="53">
                  <c:v>5.3</c:v>
                </c:pt>
                <c:pt idx="54">
                  <c:v>5.4</c:v>
                </c:pt>
                <c:pt idx="55">
                  <c:v>5.5</c:v>
                </c:pt>
                <c:pt idx="56">
                  <c:v>5.6</c:v>
                </c:pt>
                <c:pt idx="57">
                  <c:v>5.7</c:v>
                </c:pt>
                <c:pt idx="58">
                  <c:v>5.8</c:v>
                </c:pt>
                <c:pt idx="59">
                  <c:v>5.9</c:v>
                </c:pt>
                <c:pt idx="60">
                  <c:v>6</c:v>
                </c:pt>
                <c:pt idx="61">
                  <c:v>6.1</c:v>
                </c:pt>
                <c:pt idx="62">
                  <c:v>6.2</c:v>
                </c:pt>
                <c:pt idx="63">
                  <c:v>6.3</c:v>
                </c:pt>
                <c:pt idx="64">
                  <c:v>6.4</c:v>
                </c:pt>
                <c:pt idx="65">
                  <c:v>6.5</c:v>
                </c:pt>
                <c:pt idx="66">
                  <c:v>6.6</c:v>
                </c:pt>
                <c:pt idx="67">
                  <c:v>6.7</c:v>
                </c:pt>
                <c:pt idx="68">
                  <c:v>6.8</c:v>
                </c:pt>
                <c:pt idx="69">
                  <c:v>6.9</c:v>
                </c:pt>
                <c:pt idx="70">
                  <c:v>7</c:v>
                </c:pt>
                <c:pt idx="71">
                  <c:v>7.1</c:v>
                </c:pt>
                <c:pt idx="72">
                  <c:v>7.2</c:v>
                </c:pt>
                <c:pt idx="73">
                  <c:v>7.3</c:v>
                </c:pt>
                <c:pt idx="74">
                  <c:v>7.4</c:v>
                </c:pt>
                <c:pt idx="75">
                  <c:v>7.5</c:v>
                </c:pt>
                <c:pt idx="76">
                  <c:v>7.6</c:v>
                </c:pt>
                <c:pt idx="77">
                  <c:v>7.7</c:v>
                </c:pt>
                <c:pt idx="78">
                  <c:v>7.8</c:v>
                </c:pt>
                <c:pt idx="79">
                  <c:v>7.9</c:v>
                </c:pt>
                <c:pt idx="80">
                  <c:v>8</c:v>
                </c:pt>
                <c:pt idx="81">
                  <c:v>8.1</c:v>
                </c:pt>
                <c:pt idx="82">
                  <c:v>8.1999999999999993</c:v>
                </c:pt>
                <c:pt idx="83">
                  <c:v>8.3000000000000007</c:v>
                </c:pt>
                <c:pt idx="84">
                  <c:v>8.4</c:v>
                </c:pt>
                <c:pt idx="85">
                  <c:v>8.5</c:v>
                </c:pt>
                <c:pt idx="86">
                  <c:v>8.6</c:v>
                </c:pt>
                <c:pt idx="87">
                  <c:v>8.6999999999999993</c:v>
                </c:pt>
                <c:pt idx="88">
                  <c:v>8.8000000000000007</c:v>
                </c:pt>
                <c:pt idx="89">
                  <c:v>8.9</c:v>
                </c:pt>
                <c:pt idx="90">
                  <c:v>9</c:v>
                </c:pt>
                <c:pt idx="91">
                  <c:v>9.1</c:v>
                </c:pt>
                <c:pt idx="92">
                  <c:v>9.1999999999999993</c:v>
                </c:pt>
                <c:pt idx="93">
                  <c:v>9.3000000000000007</c:v>
                </c:pt>
                <c:pt idx="94">
                  <c:v>9.4</c:v>
                </c:pt>
                <c:pt idx="95">
                  <c:v>9.5</c:v>
                </c:pt>
                <c:pt idx="96">
                  <c:v>9.6</c:v>
                </c:pt>
                <c:pt idx="97">
                  <c:v>9.6999999999999993</c:v>
                </c:pt>
                <c:pt idx="98">
                  <c:v>9.8000000000000007</c:v>
                </c:pt>
                <c:pt idx="99">
                  <c:v>9.9</c:v>
                </c:pt>
                <c:pt idx="100">
                  <c:v>10</c:v>
                </c:pt>
                <c:pt idx="101">
                  <c:v>10.1</c:v>
                </c:pt>
                <c:pt idx="102">
                  <c:v>10.199999999999999</c:v>
                </c:pt>
                <c:pt idx="103">
                  <c:v>10.3</c:v>
                </c:pt>
                <c:pt idx="104">
                  <c:v>10.4</c:v>
                </c:pt>
                <c:pt idx="105">
                  <c:v>10.5</c:v>
                </c:pt>
                <c:pt idx="106">
                  <c:v>10.6</c:v>
                </c:pt>
                <c:pt idx="107">
                  <c:v>10.7</c:v>
                </c:pt>
                <c:pt idx="108">
                  <c:v>10.8</c:v>
                </c:pt>
                <c:pt idx="109">
                  <c:v>10.9</c:v>
                </c:pt>
                <c:pt idx="110">
                  <c:v>11</c:v>
                </c:pt>
                <c:pt idx="111">
                  <c:v>11.1</c:v>
                </c:pt>
                <c:pt idx="112">
                  <c:v>11.2</c:v>
                </c:pt>
                <c:pt idx="113">
                  <c:v>11.3</c:v>
                </c:pt>
                <c:pt idx="114">
                  <c:v>11.4</c:v>
                </c:pt>
                <c:pt idx="115">
                  <c:v>11.5</c:v>
                </c:pt>
                <c:pt idx="116">
                  <c:v>11.6</c:v>
                </c:pt>
                <c:pt idx="117">
                  <c:v>11.7</c:v>
                </c:pt>
                <c:pt idx="118">
                  <c:v>11.8</c:v>
                </c:pt>
                <c:pt idx="119">
                  <c:v>11.9</c:v>
                </c:pt>
                <c:pt idx="120">
                  <c:v>12</c:v>
                </c:pt>
                <c:pt idx="121">
                  <c:v>12.1</c:v>
                </c:pt>
                <c:pt idx="122">
                  <c:v>12.2</c:v>
                </c:pt>
                <c:pt idx="123">
                  <c:v>12.3</c:v>
                </c:pt>
                <c:pt idx="124">
                  <c:v>12.4</c:v>
                </c:pt>
                <c:pt idx="125">
                  <c:v>12.5</c:v>
                </c:pt>
                <c:pt idx="126">
                  <c:v>12.6</c:v>
                </c:pt>
                <c:pt idx="127">
                  <c:v>12.7</c:v>
                </c:pt>
                <c:pt idx="128">
                  <c:v>12.8</c:v>
                </c:pt>
                <c:pt idx="129">
                  <c:v>12.9</c:v>
                </c:pt>
                <c:pt idx="130">
                  <c:v>13</c:v>
                </c:pt>
                <c:pt idx="131">
                  <c:v>13.1</c:v>
                </c:pt>
                <c:pt idx="132">
                  <c:v>13.2</c:v>
                </c:pt>
                <c:pt idx="133">
                  <c:v>13.3</c:v>
                </c:pt>
                <c:pt idx="134">
                  <c:v>13.4</c:v>
                </c:pt>
                <c:pt idx="135">
                  <c:v>13.5</c:v>
                </c:pt>
                <c:pt idx="136">
                  <c:v>13.6</c:v>
                </c:pt>
                <c:pt idx="137">
                  <c:v>13.7</c:v>
                </c:pt>
                <c:pt idx="138">
                  <c:v>13.8</c:v>
                </c:pt>
                <c:pt idx="139">
                  <c:v>13.9</c:v>
                </c:pt>
                <c:pt idx="140">
                  <c:v>14</c:v>
                </c:pt>
              </c:numCache>
            </c:numRef>
          </c:cat>
          <c:val>
            <c:numRef>
              <c:f>'Carbonate acidity'!$B$6:$B$146</c:f>
              <c:numCache>
                <c:formatCode>0.00E+00</c:formatCode>
                <c:ptCount val="141"/>
                <c:pt idx="0">
                  <c:v>3.0368411901185413E-9</c:v>
                </c:pt>
                <c:pt idx="1">
                  <c:v>3.8231551793663671E-9</c:v>
                </c:pt>
                <c:pt idx="2">
                  <c:v>4.8130650428499888E-9</c:v>
                </c:pt>
                <c:pt idx="3">
                  <c:v>6.0592864586832253E-9</c:v>
                </c:pt>
                <c:pt idx="4">
                  <c:v>7.6281842602297465E-9</c:v>
                </c:pt>
                <c:pt idx="5">
                  <c:v>9.6033063893306589E-9</c:v>
                </c:pt>
                <c:pt idx="6">
                  <c:v>1.2089832786294652E-8</c:v>
                </c:pt>
                <c:pt idx="7">
                  <c:v>1.5220176062324102E-8</c:v>
                </c:pt>
                <c:pt idx="8">
                  <c:v>1.9161032093419471E-8</c:v>
                </c:pt>
                <c:pt idx="9">
                  <c:v>2.412225581987201E-8</c:v>
                </c:pt>
                <c:pt idx="10">
                  <c:v>3.0368034625686902E-8</c:v>
                </c:pt>
                <c:pt idx="11">
                  <c:v>3.8230953854643209E-8</c:v>
                </c:pt>
                <c:pt idx="12">
                  <c:v>4.8129702763703188E-8</c:v>
                </c:pt>
                <c:pt idx="13">
                  <c:v>6.0591362648697687E-8</c:v>
                </c:pt>
                <c:pt idx="14">
                  <c:v>7.6279462209428816E-8</c:v>
                </c:pt>
                <c:pt idx="15">
                  <c:v>9.6029291262077449E-8</c:v>
                </c:pt>
                <c:pt idx="16">
                  <c:v>1.2089234871966343E-7</c:v>
                </c:pt>
                <c:pt idx="17">
                  <c:v>1.5219228446793826E-7</c:v>
                </c:pt>
                <c:pt idx="18">
                  <c:v>1.9159530253581999E-7</c:v>
                </c:pt>
                <c:pt idx="19">
                  <c:v>2.4119875623126011E-7</c:v>
                </c:pt>
                <c:pt idx="20">
                  <c:v>3.0364262385759108E-7</c:v>
                </c:pt>
                <c:pt idx="21">
                  <c:v>3.8224975492071849E-7</c:v>
                </c:pt>
                <c:pt idx="22">
                  <c:v>4.8120228166032366E-7</c:v>
                </c:pt>
                <c:pt idx="23">
                  <c:v>6.0576347357973618E-7</c:v>
                </c:pt>
                <c:pt idx="24">
                  <c:v>7.6255666441960598E-7</c:v>
                </c:pt>
                <c:pt idx="25">
                  <c:v>9.5991581231936222E-7</c:v>
                </c:pt>
                <c:pt idx="26">
                  <c:v>1.2083258976992235E-6</c:v>
                </c:pt>
                <c:pt idx="27">
                  <c:v>1.5209758771697625E-6</c:v>
                </c:pt>
                <c:pt idx="28">
                  <c:v>1.9144524782352624E-6</c:v>
                </c:pt>
                <c:pt idx="29">
                  <c:v>2.4096099442267768E-6</c:v>
                </c:pt>
                <c:pt idx="30">
                  <c:v>3.032659142133672E-6</c:v>
                </c:pt>
                <c:pt idx="31">
                  <c:v>3.8165294451773473E-6</c:v>
                </c:pt>
                <c:pt idx="32">
                  <c:v>4.8025686772201669E-6</c:v>
                </c:pt>
                <c:pt idx="33">
                  <c:v>6.0426602391453187E-6</c:v>
                </c:pt>
                <c:pt idx="34">
                  <c:v>7.6018522074344E-6</c:v>
                </c:pt>
                <c:pt idx="35">
                  <c:v>9.561610208224406E-6</c:v>
                </c:pt>
                <c:pt idx="36">
                  <c:v>1.2023823086150228E-5</c:v>
                </c:pt>
                <c:pt idx="37">
                  <c:v>1.5115705597294097E-5</c:v>
                </c:pt>
                <c:pt idx="38">
                  <c:v>1.8995751643543136E-5</c:v>
                </c:pt>
                <c:pt idx="39">
                  <c:v>2.3860888378135943E-5</c:v>
                </c:pt>
                <c:pt idx="40">
                  <c:v>2.9954955359723773E-5</c:v>
                </c:pt>
                <c:pt idx="41">
                  <c:v>3.757856768760838E-5</c:v>
                </c:pt>
                <c:pt idx="42">
                  <c:v>4.7100293936704911E-5</c:v>
                </c:pt>
                <c:pt idx="43">
                  <c:v>5.8968855372406337E-5</c:v>
                </c:pt>
                <c:pt idx="44">
                  <c:v>7.3725688593256691E-5</c:v>
                </c:pt>
                <c:pt idx="45">
                  <c:v>9.2016657596142369E-5</c:v>
                </c:pt>
                <c:pt idx="46">
                  <c:v>1.146009027911202E-4</c:v>
                </c:pt>
                <c:pt idx="47">
                  <c:v>1.4235374706816629E-4</c:v>
                </c:pt>
                <c:pt idx="48">
                  <c:v>1.7625928343080238E-4</c:v>
                </c:pt>
                <c:pt idx="49">
                  <c:v>2.173869245422353E-4</c:v>
                </c:pt>
                <c:pt idx="50">
                  <c:v>2.6684521596421112E-4</c:v>
                </c:pt>
                <c:pt idx="51">
                  <c:v>3.2570634052577749E-4</c:v>
                </c:pt>
                <c:pt idx="52">
                  <c:v>3.9489703693802828E-4</c:v>
                </c:pt>
                <c:pt idx="53">
                  <c:v>4.7505728657049024E-4</c:v>
                </c:pt>
                <c:pt idx="54">
                  <c:v>5.6637773274710005E-4</c:v>
                </c:pt>
                <c:pt idx="55">
                  <c:v>6.684394811645153E-4</c:v>
                </c:pt>
                <c:pt idx="56">
                  <c:v>7.8009219229245477E-4</c:v>
                </c:pt>
                <c:pt idx="57">
                  <c:v>8.994120717859339E-4</c:v>
                </c:pt>
                <c:pt idx="58">
                  <c:v>1.0237737963189706E-3</c:v>
                </c:pt>
                <c:pt idx="59">
                  <c:v>1.1500466779203725E-3</c:v>
                </c:pt>
                <c:pt idx="60">
                  <c:v>1.2748906281472726E-3</c:v>
                </c:pt>
                <c:pt idx="61">
                  <c:v>1.3950950373446207E-3</c:v>
                </c:pt>
                <c:pt idx="62">
                  <c:v>1.5078886734689464E-3</c:v>
                </c:pt>
                <c:pt idx="63">
                  <c:v>1.6111587239848431E-3</c:v>
                </c:pt>
                <c:pt idx="64">
                  <c:v>1.7035470377884541E-3</c:v>
                </c:pt>
                <c:pt idx="65">
                  <c:v>1.7844271528592007E-3</c:v>
                </c:pt>
                <c:pt idx="66">
                  <c:v>1.8537924248812172E-3</c:v>
                </c:pt>
                <c:pt idx="67">
                  <c:v>1.9120964535741666E-3</c:v>
                </c:pt>
                <c:pt idx="68">
                  <c:v>1.960083543853327E-3</c:v>
                </c:pt>
                <c:pt idx="69">
                  <c:v>1.9986354592653162E-3</c:v>
                </c:pt>
                <c:pt idx="70">
                  <c:v>2.0286477514344027E-3</c:v>
                </c:pt>
                <c:pt idx="71">
                  <c:v>2.0509385908402699E-3</c:v>
                </c:pt>
                <c:pt idx="72">
                  <c:v>2.0661866720696506E-3</c:v>
                </c:pt>
                <c:pt idx="73">
                  <c:v>2.0748920306971723E-3</c:v>
                </c:pt>
                <c:pt idx="74">
                  <c:v>2.0773534035603935E-3</c:v>
                </c:pt>
                <c:pt idx="75">
                  <c:v>2.0736570209788623E-3</c:v>
                </c:pt>
                <c:pt idx="76">
                  <c:v>2.0636736799323789E-3</c:v>
                </c:pt>
                <c:pt idx="77">
                  <c:v>2.0470631803936852E-3</c:v>
                </c:pt>
                <c:pt idx="78">
                  <c:v>2.0232874988612296E-3</c:v>
                </c:pt>
                <c:pt idx="79">
                  <c:v>1.9916362737541593E-3</c:v>
                </c:pt>
                <c:pt idx="80">
                  <c:v>1.9512700408952967E-3</c:v>
                </c:pt>
                <c:pt idx="81">
                  <c:v>1.9012876937479443E-3</c:v>
                </c:pt>
                <c:pt idx="82">
                  <c:v>1.8408240241281877E-3</c:v>
                </c:pt>
                <c:pt idx="83">
                  <c:v>1.7691798176968981E-3</c:v>
                </c:pt>
                <c:pt idx="84">
                  <c:v>1.6859798163891488E-3</c:v>
                </c:pt>
                <c:pt idx="85">
                  <c:v>1.5913427897169914E-3</c:v>
                </c:pt>
                <c:pt idx="86">
                  <c:v>1.4860348592251511E-3</c:v>
                </c:pt>
                <c:pt idx="87">
                  <c:v>1.3715667747617468E-3</c:v>
                </c:pt>
                <c:pt idx="88">
                  <c:v>1.2501948253532144E-3</c:v>
                </c:pt>
                <c:pt idx="89">
                  <c:v>1.1247992379234525E-3</c:v>
                </c:pt>
                <c:pt idx="90">
                  <c:v>9.9864326569352839E-4</c:v>
                </c:pt>
                <c:pt idx="91">
                  <c:v>8.7505186578508182E-4</c:v>
                </c:pt>
                <c:pt idx="92">
                  <c:v>7.5707578354137074E-4</c:v>
                </c:pt>
                <c:pt idx="93">
                  <c:v>6.472118706581109E-4</c:v>
                </c:pt>
                <c:pt idx="94">
                  <c:v>5.4723099426609654E-4</c:v>
                </c:pt>
                <c:pt idx="95">
                  <c:v>4.581307011725437E-4</c:v>
                </c:pt>
                <c:pt idx="96">
                  <c:v>3.8019640610061415E-4</c:v>
                </c:pt>
                <c:pt idx="97">
                  <c:v>3.1313425678549165E-4</c:v>
                </c:pt>
                <c:pt idx="98">
                  <c:v>2.5623433972017109E-4</c:v>
                </c:pt>
                <c:pt idx="99">
                  <c:v>2.0853046845492626E-4</c:v>
                </c:pt>
                <c:pt idx="100">
                  <c:v>1.6893556356291093E-4</c:v>
                </c:pt>
                <c:pt idx="101">
                  <c:v>1.363438887963036E-4</c:v>
                </c:pt>
                <c:pt idx="102">
                  <c:v>1.0970022828302734E-4</c:v>
                </c:pt>
                <c:pt idx="103">
                  <c:v>8.8040972514830511E-5</c:v>
                </c:pt>
                <c:pt idx="104">
                  <c:v>7.0513846479488751E-5</c:v>
                </c:pt>
                <c:pt idx="105">
                  <c:v>5.6382842001587617E-5</c:v>
                </c:pt>
                <c:pt idx="106">
                  <c:v>4.5023816896822904E-5</c:v>
                </c:pt>
                <c:pt idx="107">
                  <c:v>3.5914864951688183E-5</c:v>
                </c:pt>
                <c:pt idx="108">
                  <c:v>2.8624302124160917E-5</c:v>
                </c:pt>
                <c:pt idx="109">
                  <c:v>2.2798100461571605E-5</c:v>
                </c:pt>
                <c:pt idx="110">
                  <c:v>1.8147854591021878E-5</c:v>
                </c:pt>
                <c:pt idx="111">
                  <c:v>1.44398521501214E-5</c:v>
                </c:pt>
                <c:pt idx="112">
                  <c:v>1.1485487156533838E-5</c:v>
                </c:pt>
                <c:pt idx="113">
                  <c:v>9.1330533947343267E-6</c:v>
                </c:pt>
                <c:pt idx="114">
                  <c:v>7.2608416967369895E-6</c:v>
                </c:pt>
                <c:pt idx="115">
                  <c:v>5.7714091945211595E-6</c:v>
                </c:pt>
                <c:pt idx="116">
                  <c:v>4.5868681445728938E-6</c:v>
                </c:pt>
                <c:pt idx="117">
                  <c:v>3.6450419237650393E-6</c:v>
                </c:pt>
                <c:pt idx="118">
                  <c:v>2.8963466918964973E-6</c:v>
                </c:pt>
                <c:pt idx="119">
                  <c:v>2.3012730747808088E-6</c:v>
                </c:pt>
                <c:pt idx="120">
                  <c:v>1.8283595321048257E-6</c:v>
                </c:pt>
                <c:pt idx="121">
                  <c:v>1.4525658843019012E-6</c:v>
                </c:pt>
                <c:pt idx="122">
                  <c:v>1.1539707997880417E-6</c:v>
                </c:pt>
                <c:pt idx="123">
                  <c:v>9.1673048662321518E-7</c:v>
                </c:pt>
                <c:pt idx="124">
                  <c:v>7.2824732183975428E-7</c:v>
                </c:pt>
                <c:pt idx="125">
                  <c:v>5.7850679539142359E-7</c:v>
                </c:pt>
                <c:pt idx="126">
                  <c:v>4.5954913534737519E-7</c:v>
                </c:pt>
                <c:pt idx="127">
                  <c:v>3.650485366503063E-7</c:v>
                </c:pt>
                <c:pt idx="128">
                  <c:v>2.8997825589903159E-7</c:v>
                </c:pt>
                <c:pt idx="129">
                  <c:v>2.3034416057435566E-7</c:v>
                </c:pt>
                <c:pt idx="130">
                  <c:v>1.8297281062598758E-7</c:v>
                </c:pt>
                <c:pt idx="131">
                  <c:v>1.4534295584725395E-7</c:v>
                </c:pt>
                <c:pt idx="132">
                  <c:v>1.1545158226950557E-7</c:v>
                </c:pt>
                <c:pt idx="133">
                  <c:v>9.1707441360880624E-8</c:v>
                </c:pt>
                <c:pt idx="134">
                  <c:v>7.2846434553943257E-8</c:v>
                </c:pt>
                <c:pt idx="135">
                  <c:v>5.7864373833559741E-8</c:v>
                </c:pt>
                <c:pt idx="136">
                  <c:v>4.5963554564004217E-8</c:v>
                </c:pt>
                <c:pt idx="137">
                  <c:v>3.6510306043358596E-8</c:v>
                </c:pt>
                <c:pt idx="138">
                  <c:v>2.9001265937093998E-8</c:v>
                </c:pt>
                <c:pt idx="139">
                  <c:v>2.30365868344403E-8</c:v>
                </c:pt>
                <c:pt idx="140">
                  <c:v>1.8298650762710018E-8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8DE-0641-88E3-58D9E131BD06}"/>
            </c:ext>
          </c:extLst>
        </c:ser>
        <c:ser>
          <c:idx val="2"/>
          <c:order val="2"/>
          <c:tx>
            <c:strRef>
              <c:f>'Carbonate acidity'!$C$5</c:f>
              <c:strCache>
                <c:ptCount val="1"/>
                <c:pt idx="0">
                  <c:v>CO₃²⁻</c:v>
                </c:pt>
              </c:strCache>
            </c:strRef>
          </c:tx>
          <c:spPr>
            <a:ln w="317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'Carbonate acidity'!$F$6:$F$146</c:f>
              <c:numCache>
                <c:formatCode>General</c:formatCode>
                <c:ptCount val="14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2.2999999999999998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</c:v>
                </c:pt>
                <c:pt idx="34">
                  <c:v>3.4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</c:v>
                </c:pt>
                <c:pt idx="39">
                  <c:v>3.9</c:v>
                </c:pt>
                <c:pt idx="40">
                  <c:v>4</c:v>
                </c:pt>
                <c:pt idx="41">
                  <c:v>4.0999999999999996</c:v>
                </c:pt>
                <c:pt idx="42">
                  <c:v>4.2</c:v>
                </c:pt>
                <c:pt idx="43">
                  <c:v>4.3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4.7</c:v>
                </c:pt>
                <c:pt idx="48">
                  <c:v>4.8</c:v>
                </c:pt>
                <c:pt idx="49">
                  <c:v>4.9000000000000004</c:v>
                </c:pt>
                <c:pt idx="50">
                  <c:v>5</c:v>
                </c:pt>
                <c:pt idx="51">
                  <c:v>5.0999999999999996</c:v>
                </c:pt>
                <c:pt idx="52">
                  <c:v>5.2</c:v>
                </c:pt>
                <c:pt idx="53">
                  <c:v>5.3</c:v>
                </c:pt>
                <c:pt idx="54">
                  <c:v>5.4</c:v>
                </c:pt>
                <c:pt idx="55">
                  <c:v>5.5</c:v>
                </c:pt>
                <c:pt idx="56">
                  <c:v>5.6</c:v>
                </c:pt>
                <c:pt idx="57">
                  <c:v>5.7</c:v>
                </c:pt>
                <c:pt idx="58">
                  <c:v>5.8</c:v>
                </c:pt>
                <c:pt idx="59">
                  <c:v>5.9</c:v>
                </c:pt>
                <c:pt idx="60">
                  <c:v>6</c:v>
                </c:pt>
                <c:pt idx="61">
                  <c:v>6.1</c:v>
                </c:pt>
                <c:pt idx="62">
                  <c:v>6.2</c:v>
                </c:pt>
                <c:pt idx="63">
                  <c:v>6.3</c:v>
                </c:pt>
                <c:pt idx="64">
                  <c:v>6.4</c:v>
                </c:pt>
                <c:pt idx="65">
                  <c:v>6.5</c:v>
                </c:pt>
                <c:pt idx="66">
                  <c:v>6.6</c:v>
                </c:pt>
                <c:pt idx="67">
                  <c:v>6.7</c:v>
                </c:pt>
                <c:pt idx="68">
                  <c:v>6.8</c:v>
                </c:pt>
                <c:pt idx="69">
                  <c:v>6.9</c:v>
                </c:pt>
                <c:pt idx="70">
                  <c:v>7</c:v>
                </c:pt>
                <c:pt idx="71">
                  <c:v>7.1</c:v>
                </c:pt>
                <c:pt idx="72">
                  <c:v>7.2</c:v>
                </c:pt>
                <c:pt idx="73">
                  <c:v>7.3</c:v>
                </c:pt>
                <c:pt idx="74">
                  <c:v>7.4</c:v>
                </c:pt>
                <c:pt idx="75">
                  <c:v>7.5</c:v>
                </c:pt>
                <c:pt idx="76">
                  <c:v>7.6</c:v>
                </c:pt>
                <c:pt idx="77">
                  <c:v>7.7</c:v>
                </c:pt>
                <c:pt idx="78">
                  <c:v>7.8</c:v>
                </c:pt>
                <c:pt idx="79">
                  <c:v>7.9</c:v>
                </c:pt>
                <c:pt idx="80">
                  <c:v>8</c:v>
                </c:pt>
                <c:pt idx="81">
                  <c:v>8.1</c:v>
                </c:pt>
                <c:pt idx="82">
                  <c:v>8.1999999999999993</c:v>
                </c:pt>
                <c:pt idx="83">
                  <c:v>8.3000000000000007</c:v>
                </c:pt>
                <c:pt idx="84">
                  <c:v>8.4</c:v>
                </c:pt>
                <c:pt idx="85">
                  <c:v>8.5</c:v>
                </c:pt>
                <c:pt idx="86">
                  <c:v>8.6</c:v>
                </c:pt>
                <c:pt idx="87">
                  <c:v>8.6999999999999993</c:v>
                </c:pt>
                <c:pt idx="88">
                  <c:v>8.8000000000000007</c:v>
                </c:pt>
                <c:pt idx="89">
                  <c:v>8.9</c:v>
                </c:pt>
                <c:pt idx="90">
                  <c:v>9</c:v>
                </c:pt>
                <c:pt idx="91">
                  <c:v>9.1</c:v>
                </c:pt>
                <c:pt idx="92">
                  <c:v>9.1999999999999993</c:v>
                </c:pt>
                <c:pt idx="93">
                  <c:v>9.3000000000000007</c:v>
                </c:pt>
                <c:pt idx="94">
                  <c:v>9.4</c:v>
                </c:pt>
                <c:pt idx="95">
                  <c:v>9.5</c:v>
                </c:pt>
                <c:pt idx="96">
                  <c:v>9.6</c:v>
                </c:pt>
                <c:pt idx="97">
                  <c:v>9.6999999999999993</c:v>
                </c:pt>
                <c:pt idx="98">
                  <c:v>9.8000000000000007</c:v>
                </c:pt>
                <c:pt idx="99">
                  <c:v>9.9</c:v>
                </c:pt>
                <c:pt idx="100">
                  <c:v>10</c:v>
                </c:pt>
                <c:pt idx="101">
                  <c:v>10.1</c:v>
                </c:pt>
                <c:pt idx="102">
                  <c:v>10.199999999999999</c:v>
                </c:pt>
                <c:pt idx="103">
                  <c:v>10.3</c:v>
                </c:pt>
                <c:pt idx="104">
                  <c:v>10.4</c:v>
                </c:pt>
                <c:pt idx="105">
                  <c:v>10.5</c:v>
                </c:pt>
                <c:pt idx="106">
                  <c:v>10.6</c:v>
                </c:pt>
                <c:pt idx="107">
                  <c:v>10.7</c:v>
                </c:pt>
                <c:pt idx="108">
                  <c:v>10.8</c:v>
                </c:pt>
                <c:pt idx="109">
                  <c:v>10.9</c:v>
                </c:pt>
                <c:pt idx="110">
                  <c:v>11</c:v>
                </c:pt>
                <c:pt idx="111">
                  <c:v>11.1</c:v>
                </c:pt>
                <c:pt idx="112">
                  <c:v>11.2</c:v>
                </c:pt>
                <c:pt idx="113">
                  <c:v>11.3</c:v>
                </c:pt>
                <c:pt idx="114">
                  <c:v>11.4</c:v>
                </c:pt>
                <c:pt idx="115">
                  <c:v>11.5</c:v>
                </c:pt>
                <c:pt idx="116">
                  <c:v>11.6</c:v>
                </c:pt>
                <c:pt idx="117">
                  <c:v>11.7</c:v>
                </c:pt>
                <c:pt idx="118">
                  <c:v>11.8</c:v>
                </c:pt>
                <c:pt idx="119">
                  <c:v>11.9</c:v>
                </c:pt>
                <c:pt idx="120">
                  <c:v>12</c:v>
                </c:pt>
                <c:pt idx="121">
                  <c:v>12.1</c:v>
                </c:pt>
                <c:pt idx="122">
                  <c:v>12.2</c:v>
                </c:pt>
                <c:pt idx="123">
                  <c:v>12.3</c:v>
                </c:pt>
                <c:pt idx="124">
                  <c:v>12.4</c:v>
                </c:pt>
                <c:pt idx="125">
                  <c:v>12.5</c:v>
                </c:pt>
                <c:pt idx="126">
                  <c:v>12.6</c:v>
                </c:pt>
                <c:pt idx="127">
                  <c:v>12.7</c:v>
                </c:pt>
                <c:pt idx="128">
                  <c:v>12.8</c:v>
                </c:pt>
                <c:pt idx="129">
                  <c:v>12.9</c:v>
                </c:pt>
                <c:pt idx="130">
                  <c:v>13</c:v>
                </c:pt>
                <c:pt idx="131">
                  <c:v>13.1</c:v>
                </c:pt>
                <c:pt idx="132">
                  <c:v>13.2</c:v>
                </c:pt>
                <c:pt idx="133">
                  <c:v>13.3</c:v>
                </c:pt>
                <c:pt idx="134">
                  <c:v>13.4</c:v>
                </c:pt>
                <c:pt idx="135">
                  <c:v>13.5</c:v>
                </c:pt>
                <c:pt idx="136">
                  <c:v>13.6</c:v>
                </c:pt>
                <c:pt idx="137">
                  <c:v>13.7</c:v>
                </c:pt>
                <c:pt idx="138">
                  <c:v>13.8</c:v>
                </c:pt>
                <c:pt idx="139">
                  <c:v>13.9</c:v>
                </c:pt>
                <c:pt idx="140">
                  <c:v>14</c:v>
                </c:pt>
              </c:numCache>
            </c:numRef>
          </c:cat>
          <c:val>
            <c:numRef>
              <c:f>'Carbonate acidity'!$C$6:$C$146</c:f>
              <c:numCache>
                <c:formatCode>0.00E+00</c:formatCode>
                <c:ptCount val="141"/>
                <c:pt idx="0">
                  <c:v>3.6510861564607388E-18</c:v>
                </c:pt>
                <c:pt idx="1">
                  <c:v>5.786579526247113E-18</c:v>
                </c:pt>
                <c:pt idx="2">
                  <c:v>9.1711063721527455E-18</c:v>
                </c:pt>
                <c:pt idx="3">
                  <c:v>1.4535215822858354E-17</c:v>
                </c:pt>
                <c:pt idx="4">
                  <c:v>2.3036748180224406E-17</c:v>
                </c:pt>
                <c:pt idx="5">
                  <c:v>3.6510752588410108E-17</c:v>
                </c:pt>
                <c:pt idx="6">
                  <c:v>5.7865577826694664E-17</c:v>
                </c:pt>
                <c:pt idx="7">
                  <c:v>9.1710629880928596E-17</c:v>
                </c:pt>
                <c:pt idx="8">
                  <c:v>1.4535129260482507E-16</c:v>
                </c:pt>
                <c:pt idx="9">
                  <c:v>2.3036575466090208E-16</c:v>
                </c:pt>
                <c:pt idx="10">
                  <c:v>3.6510407979693479E-16</c:v>
                </c:pt>
                <c:pt idx="11">
                  <c:v>5.7864890245140868E-16</c:v>
                </c:pt>
                <c:pt idx="12">
                  <c:v>9.1709257983483561E-16</c:v>
                </c:pt>
                <c:pt idx="13">
                  <c:v>1.4534855532994406E-15</c:v>
                </c:pt>
                <c:pt idx="14">
                  <c:v>2.3036029313070511E-15</c:v>
                </c:pt>
                <c:pt idx="15">
                  <c:v>3.6509318274020578E-15</c:v>
                </c:pt>
                <c:pt idx="16">
                  <c:v>5.7862716028793129E-15</c:v>
                </c:pt>
                <c:pt idx="17">
                  <c:v>9.1704919932711791E-15</c:v>
                </c:pt>
                <c:pt idx="18">
                  <c:v>1.4533989998460522E-14</c:v>
                </c:pt>
                <c:pt idx="19">
                  <c:v>2.3034302395844517E-14</c:v>
                </c:pt>
                <c:pt idx="20">
                  <c:v>3.6505872749789444E-14</c:v>
                </c:pt>
                <c:pt idx="21">
                  <c:v>5.7855841627223738E-14</c:v>
                </c:pt>
                <c:pt idx="22">
                  <c:v>9.1691204509803401E-14</c:v>
                </c:pt>
                <c:pt idx="23">
                  <c:v>1.4531253615626649E-13</c:v>
                </c:pt>
                <c:pt idx="24">
                  <c:v>2.3028843106180119E-13</c:v>
                </c:pt>
                <c:pt idx="25">
                  <c:v>3.6494981320425974E-13</c:v>
                </c:pt>
                <c:pt idx="26">
                  <c:v>5.7834113597161467E-13</c:v>
                </c:pt>
                <c:pt idx="27">
                  <c:v>9.1647859497649594E-13</c:v>
                </c:pt>
                <c:pt idx="28">
                  <c:v>1.4522607184483165E-12</c:v>
                </c:pt>
                <c:pt idx="29">
                  <c:v>2.3011596319400995E-12</c:v>
                </c:pt>
                <c:pt idx="30">
                  <c:v>3.6460582289046674E-12</c:v>
                </c:pt>
                <c:pt idx="31">
                  <c:v>5.7765510717361782E-12</c:v>
                </c:pt>
                <c:pt idx="32">
                  <c:v>9.1511059597637514E-12</c:v>
                </c:pt>
                <c:pt idx="33">
                  <c:v>1.4495332300111982E-11</c:v>
                </c:pt>
                <c:pt idx="34">
                  <c:v>2.2957226652083388E-11</c:v>
                </c:pt>
                <c:pt idx="35">
                  <c:v>3.6352228129173542E-11</c:v>
                </c:pt>
                <c:pt idx="36">
                  <c:v>5.7549635537951593E-11</c:v>
                </c:pt>
                <c:pt idx="37">
                  <c:v>9.1081133079274016E-11</c:v>
                </c:pt>
                <c:pt idx="38">
                  <c:v>1.4409751217615593E-10</c:v>
                </c:pt>
                <c:pt idx="39">
                  <c:v>2.2786971497004875E-10</c:v>
                </c:pt>
                <c:pt idx="40">
                  <c:v>3.6013777469548134E-10</c:v>
                </c:pt>
                <c:pt idx="41">
                  <c:v>5.6877463823701092E-10</c:v>
                </c:pt>
                <c:pt idx="42">
                  <c:v>8.9747759900913766E-10</c:v>
                </c:pt>
                <c:pt idx="43">
                  <c:v>1.414564314642276E-9</c:v>
                </c:pt>
                <c:pt idx="44">
                  <c:v>2.2264802010502936E-9</c:v>
                </c:pt>
                <c:pt idx="45">
                  <c:v>3.4983757502913185E-9</c:v>
                </c:pt>
                <c:pt idx="46">
                  <c:v>5.485144068317159E-9</c:v>
                </c:pt>
                <c:pt idx="47">
                  <c:v>8.57766149095282E-9</c:v>
                </c:pt>
                <c:pt idx="48">
                  <c:v>1.3370633980131969E-8</c:v>
                </c:pt>
                <c:pt idx="49">
                  <c:v>2.0760290123583627E-8</c:v>
                </c:pt>
                <c:pt idx="50">
                  <c:v>3.2081851270157371E-8</c:v>
                </c:pt>
                <c:pt idx="51">
                  <c:v>4.9297649538978499E-8</c:v>
                </c:pt>
                <c:pt idx="52">
                  <c:v>7.5246079152549555E-8</c:v>
                </c:pt>
                <c:pt idx="53">
                  <c:v>1.1395830574453687E-7</c:v>
                </c:pt>
                <c:pt idx="54">
                  <c:v>1.7104334084070007E-7</c:v>
                </c:pt>
                <c:pt idx="55">
                  <c:v>2.5413360282076641E-7</c:v>
                </c:pt>
                <c:pt idx="56">
                  <c:v>3.7337559801710683E-7</c:v>
                </c:pt>
                <c:pt idx="57">
                  <c:v>5.4194936568561417E-7</c:v>
                </c:pt>
                <c:pt idx="58">
                  <c:v>7.7661184379006731E-7</c:v>
                </c:pt>
                <c:pt idx="59">
                  <c:v>1.0982860509925406E-6</c:v>
                </c:pt>
                <c:pt idx="60">
                  <c:v>1.5327556602485191E-6</c:v>
                </c:pt>
                <c:pt idx="61">
                  <c:v>2.1115617864104831E-6</c:v>
                </c:pt>
                <c:pt idx="62">
                  <c:v>2.8732226343567898E-6</c:v>
                </c:pt>
                <c:pt idx="63">
                  <c:v>3.8649005848602785E-6</c:v>
                </c:pt>
                <c:pt idx="64">
                  <c:v>5.1446298075550133E-6</c:v>
                </c:pt>
                <c:pt idx="65">
                  <c:v>6.7842028202355843E-6</c:v>
                </c:pt>
                <c:pt idx="66">
                  <c:v>8.8728083946790516E-6</c:v>
                </c:pt>
                <c:pt idx="67">
                  <c:v>1.152152047599899E-5</c:v>
                </c:pt>
                <c:pt idx="68">
                  <c:v>1.4868754215508666E-5</c:v>
                </c:pt>
                <c:pt idx="69">
                  <c:v>1.9086820457579276E-5</c:v>
                </c:pt>
                <c:pt idx="70">
                  <c:v>2.4389710419161683E-5</c:v>
                </c:pt>
                <c:pt idx="71">
                  <c:v>3.1042211740181939E-5</c:v>
                </c:pt>
                <c:pt idx="72">
                  <c:v>3.9370375396079379E-5</c:v>
                </c:pt>
                <c:pt idx="73">
                  <c:v>4.9773193066475831E-5</c:v>
                </c:pt>
                <c:pt idx="74">
                  <c:v>6.2735069849652173E-5</c:v>
                </c:pt>
                <c:pt idx="75">
                  <c:v>7.8838241098184934E-5</c:v>
                </c:pt>
                <c:pt idx="76">
                  <c:v>9.8773632394983532E-5</c:v>
                </c:pt>
                <c:pt idx="77">
                  <c:v>1.2334775426460785E-4</c:v>
                </c:pt>
                <c:pt idx="78">
                  <c:v>1.5348205244730142E-4</c:v>
                </c:pt>
                <c:pt idx="79">
                  <c:v>1.9019978754865864E-4</c:v>
                </c:pt>
                <c:pt idx="80">
                  <c:v>2.3459425725028796E-4</c:v>
                </c:pt>
                <c:pt idx="81">
                  <c:v>2.877715375385539E-4</c:v>
                </c:pt>
                <c:pt idx="82">
                  <c:v>3.5076178666592896E-4</c:v>
                </c:pt>
                <c:pt idx="83">
                  <c:v>4.2439667863562296E-4</c:v>
                </c:pt>
                <c:pt idx="84">
                  <c:v>5.091577647067493E-4</c:v>
                </c:pt>
                <c:pt idx="85">
                  <c:v>6.0501165456158096E-4</c:v>
                </c:pt>
                <c:pt idx="86">
                  <c:v>7.1126100186559267E-4</c:v>
                </c:pt>
                <c:pt idx="87">
                  <c:v>8.2645070807377881E-4</c:v>
                </c:pt>
                <c:pt idx="88">
                  <c:v>9.4836975893047978E-4</c:v>
                </c:pt>
                <c:pt idx="89">
                  <c:v>1.0741749329794621E-3</c:v>
                </c:pt>
                <c:pt idx="90">
                  <c:v>1.2006332812135167E-3</c:v>
                </c:pt>
                <c:pt idx="91">
                  <c:v>1.3244445944241043E-3</c:v>
                </c:pt>
                <c:pt idx="92">
                  <c:v>1.4425781660593294E-3</c:v>
                </c:pt>
                <c:pt idx="93">
                  <c:v>1.5525531409148667E-3</c:v>
                </c:pt>
                <c:pt idx="94">
                  <c:v>1.6526111825912084E-3</c:v>
                </c:pt>
                <c:pt idx="95">
                  <c:v>1.7417643471470507E-3</c:v>
                </c:pt>
                <c:pt idx="96">
                  <c:v>1.8197344095267237E-3</c:v>
                </c:pt>
                <c:pt idx="97">
                  <c:v>1.8868204815436743E-3</c:v>
                </c:pt>
                <c:pt idx="98">
                  <c:v>1.9437362406413187E-3</c:v>
                </c:pt>
                <c:pt idx="99">
                  <c:v>1.9914505133403174E-3</c:v>
                </c:pt>
                <c:pt idx="100">
                  <c:v>2.0310521981373713E-3</c:v>
                </c:pt>
                <c:pt idx="101">
                  <c:v>2.0636482654318141E-3</c:v>
                </c:pt>
                <c:pt idx="102">
                  <c:v>2.0902947574490982E-3</c:v>
                </c:pt>
                <c:pt idx="103">
                  <c:v>2.1119558309106658E-3</c:v>
                </c:pt>
                <c:pt idx="104">
                  <c:v>2.1294841198789645E-3</c:v>
                </c:pt>
                <c:pt idx="105">
                  <c:v>2.1436158663421232E-3</c:v>
                </c:pt>
                <c:pt idx="106">
                  <c:v>2.1549753638043941E-3</c:v>
                </c:pt>
                <c:pt idx="107">
                  <c:v>2.1640846159205708E-3</c:v>
                </c:pt>
                <c:pt idx="108">
                  <c:v>2.1713753692248778E-3</c:v>
                </c:pt>
                <c:pt idx="109">
                  <c:v>2.1772016916172814E-3</c:v>
                </c:pt>
                <c:pt idx="110">
                  <c:v>2.1818520139393932E-3</c:v>
                </c:pt>
                <c:pt idx="111">
                  <c:v>2.1855600647572031E-3</c:v>
                </c:pt>
                <c:pt idx="112">
                  <c:v>2.1885144603446612E-3</c:v>
                </c:pt>
                <c:pt idx="113">
                  <c:v>2.1908669134451529E-3</c:v>
                </c:pt>
                <c:pt idx="114">
                  <c:v>2.1927391373627665E-3</c:v>
                </c:pt>
                <c:pt idx="115">
                  <c:v>2.1942285775839441E-3</c:v>
                </c:pt>
                <c:pt idx="116">
                  <c:v>2.1954131235086996E-3</c:v>
                </c:pt>
                <c:pt idx="117">
                  <c:v>2.1963549528075466E-3</c:v>
                </c:pt>
                <c:pt idx="118">
                  <c:v>2.1971036499826529E-3</c:v>
                </c:pt>
                <c:pt idx="119">
                  <c:v>2.1976987248264333E-3</c:v>
                </c:pt>
                <c:pt idx="120">
                  <c:v>2.1981716391433659E-3</c:v>
                </c:pt>
                <c:pt idx="121">
                  <c:v>2.1985474332798338E-3</c:v>
                </c:pt>
                <c:pt idx="122">
                  <c:v>2.198846028672746E-3</c:v>
                </c:pt>
                <c:pt idx="123">
                  <c:v>2.1990832691805326E-3</c:v>
                </c:pt>
                <c:pt idx="124">
                  <c:v>2.1992717524681317E-3</c:v>
                </c:pt>
                <c:pt idx="125">
                  <c:v>2.1994214930720806E-3</c:v>
                </c:pt>
                <c:pt idx="126">
                  <c:v>2.1995404507810287E-3</c:v>
                </c:pt>
                <c:pt idx="127">
                  <c:v>2.1996349514105842E-3</c:v>
                </c:pt>
                <c:pt idx="128">
                  <c:v>2.1997100217108069E-3</c:v>
                </c:pt>
                <c:pt idx="129">
                  <c:v>2.1997696558184181E-3</c:v>
                </c:pt>
                <c:pt idx="130">
                  <c:v>2.1998170271761187E-3</c:v>
                </c:pt>
                <c:pt idx="131">
                  <c:v>2.1998546570357897E-3</c:v>
                </c:pt>
                <c:pt idx="132">
                  <c:v>2.1998845484124539E-3</c:v>
                </c:pt>
                <c:pt idx="133">
                  <c:v>2.1999082925553098E-3</c:v>
                </c:pt>
                <c:pt idx="134">
                  <c:v>2.1999271535633452E-3</c:v>
                </c:pt>
                <c:pt idx="135">
                  <c:v>2.1999421356248407E-3</c:v>
                </c:pt>
                <c:pt idx="136">
                  <c:v>2.1999540364445996E-3</c:v>
                </c:pt>
                <c:pt idx="137">
                  <c:v>2.1999634896934291E-3</c:v>
                </c:pt>
                <c:pt idx="138">
                  <c:v>2.1999709987337301E-3</c:v>
                </c:pt>
                <c:pt idx="139">
                  <c:v>2.1999769634129555E-3</c:v>
                </c:pt>
                <c:pt idx="140">
                  <c:v>2.1999817013491048E-3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8DE-0641-88E3-58D9E131BD06}"/>
            </c:ext>
          </c:extLst>
        </c:ser>
        <c:ser>
          <c:idx val="3"/>
          <c:order val="3"/>
          <c:tx>
            <c:strRef>
              <c:f>'Carbonate acidity'!$D$5</c:f>
              <c:strCache>
                <c:ptCount val="1"/>
                <c:pt idx="0">
                  <c:v>H⁺</c:v>
                </c:pt>
              </c:strCache>
            </c:strRef>
          </c:tx>
          <c:spPr>
            <a:ln w="317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'Carbonate acidity'!$F$6:$F$146</c:f>
              <c:numCache>
                <c:formatCode>General</c:formatCode>
                <c:ptCount val="14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2.2999999999999998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</c:v>
                </c:pt>
                <c:pt idx="34">
                  <c:v>3.4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</c:v>
                </c:pt>
                <c:pt idx="39">
                  <c:v>3.9</c:v>
                </c:pt>
                <c:pt idx="40">
                  <c:v>4</c:v>
                </c:pt>
                <c:pt idx="41">
                  <c:v>4.0999999999999996</c:v>
                </c:pt>
                <c:pt idx="42">
                  <c:v>4.2</c:v>
                </c:pt>
                <c:pt idx="43">
                  <c:v>4.3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4.7</c:v>
                </c:pt>
                <c:pt idx="48">
                  <c:v>4.8</c:v>
                </c:pt>
                <c:pt idx="49">
                  <c:v>4.9000000000000004</c:v>
                </c:pt>
                <c:pt idx="50">
                  <c:v>5</c:v>
                </c:pt>
                <c:pt idx="51">
                  <c:v>5.0999999999999996</c:v>
                </c:pt>
                <c:pt idx="52">
                  <c:v>5.2</c:v>
                </c:pt>
                <c:pt idx="53">
                  <c:v>5.3</c:v>
                </c:pt>
                <c:pt idx="54">
                  <c:v>5.4</c:v>
                </c:pt>
                <c:pt idx="55">
                  <c:v>5.5</c:v>
                </c:pt>
                <c:pt idx="56">
                  <c:v>5.6</c:v>
                </c:pt>
                <c:pt idx="57">
                  <c:v>5.7</c:v>
                </c:pt>
                <c:pt idx="58">
                  <c:v>5.8</c:v>
                </c:pt>
                <c:pt idx="59">
                  <c:v>5.9</c:v>
                </c:pt>
                <c:pt idx="60">
                  <c:v>6</c:v>
                </c:pt>
                <c:pt idx="61">
                  <c:v>6.1</c:v>
                </c:pt>
                <c:pt idx="62">
                  <c:v>6.2</c:v>
                </c:pt>
                <c:pt idx="63">
                  <c:v>6.3</c:v>
                </c:pt>
                <c:pt idx="64">
                  <c:v>6.4</c:v>
                </c:pt>
                <c:pt idx="65">
                  <c:v>6.5</c:v>
                </c:pt>
                <c:pt idx="66">
                  <c:v>6.6</c:v>
                </c:pt>
                <c:pt idx="67">
                  <c:v>6.7</c:v>
                </c:pt>
                <c:pt idx="68">
                  <c:v>6.8</c:v>
                </c:pt>
                <c:pt idx="69">
                  <c:v>6.9</c:v>
                </c:pt>
                <c:pt idx="70">
                  <c:v>7</c:v>
                </c:pt>
                <c:pt idx="71">
                  <c:v>7.1</c:v>
                </c:pt>
                <c:pt idx="72">
                  <c:v>7.2</c:v>
                </c:pt>
                <c:pt idx="73">
                  <c:v>7.3</c:v>
                </c:pt>
                <c:pt idx="74">
                  <c:v>7.4</c:v>
                </c:pt>
                <c:pt idx="75">
                  <c:v>7.5</c:v>
                </c:pt>
                <c:pt idx="76">
                  <c:v>7.6</c:v>
                </c:pt>
                <c:pt idx="77">
                  <c:v>7.7</c:v>
                </c:pt>
                <c:pt idx="78">
                  <c:v>7.8</c:v>
                </c:pt>
                <c:pt idx="79">
                  <c:v>7.9</c:v>
                </c:pt>
                <c:pt idx="80">
                  <c:v>8</c:v>
                </c:pt>
                <c:pt idx="81">
                  <c:v>8.1</c:v>
                </c:pt>
                <c:pt idx="82">
                  <c:v>8.1999999999999993</c:v>
                </c:pt>
                <c:pt idx="83">
                  <c:v>8.3000000000000007</c:v>
                </c:pt>
                <c:pt idx="84">
                  <c:v>8.4</c:v>
                </c:pt>
                <c:pt idx="85">
                  <c:v>8.5</c:v>
                </c:pt>
                <c:pt idx="86">
                  <c:v>8.6</c:v>
                </c:pt>
                <c:pt idx="87">
                  <c:v>8.6999999999999993</c:v>
                </c:pt>
                <c:pt idx="88">
                  <c:v>8.8000000000000007</c:v>
                </c:pt>
                <c:pt idx="89">
                  <c:v>8.9</c:v>
                </c:pt>
                <c:pt idx="90">
                  <c:v>9</c:v>
                </c:pt>
                <c:pt idx="91">
                  <c:v>9.1</c:v>
                </c:pt>
                <c:pt idx="92">
                  <c:v>9.1999999999999993</c:v>
                </c:pt>
                <c:pt idx="93">
                  <c:v>9.3000000000000007</c:v>
                </c:pt>
                <c:pt idx="94">
                  <c:v>9.4</c:v>
                </c:pt>
                <c:pt idx="95">
                  <c:v>9.5</c:v>
                </c:pt>
                <c:pt idx="96">
                  <c:v>9.6</c:v>
                </c:pt>
                <c:pt idx="97">
                  <c:v>9.6999999999999993</c:v>
                </c:pt>
                <c:pt idx="98">
                  <c:v>9.8000000000000007</c:v>
                </c:pt>
                <c:pt idx="99">
                  <c:v>9.9</c:v>
                </c:pt>
                <c:pt idx="100">
                  <c:v>10</c:v>
                </c:pt>
                <c:pt idx="101">
                  <c:v>10.1</c:v>
                </c:pt>
                <c:pt idx="102">
                  <c:v>10.199999999999999</c:v>
                </c:pt>
                <c:pt idx="103">
                  <c:v>10.3</c:v>
                </c:pt>
                <c:pt idx="104">
                  <c:v>10.4</c:v>
                </c:pt>
                <c:pt idx="105">
                  <c:v>10.5</c:v>
                </c:pt>
                <c:pt idx="106">
                  <c:v>10.6</c:v>
                </c:pt>
                <c:pt idx="107">
                  <c:v>10.7</c:v>
                </c:pt>
                <c:pt idx="108">
                  <c:v>10.8</c:v>
                </c:pt>
                <c:pt idx="109">
                  <c:v>10.9</c:v>
                </c:pt>
                <c:pt idx="110">
                  <c:v>11</c:v>
                </c:pt>
                <c:pt idx="111">
                  <c:v>11.1</c:v>
                </c:pt>
                <c:pt idx="112">
                  <c:v>11.2</c:v>
                </c:pt>
                <c:pt idx="113">
                  <c:v>11.3</c:v>
                </c:pt>
                <c:pt idx="114">
                  <c:v>11.4</c:v>
                </c:pt>
                <c:pt idx="115">
                  <c:v>11.5</c:v>
                </c:pt>
                <c:pt idx="116">
                  <c:v>11.6</c:v>
                </c:pt>
                <c:pt idx="117">
                  <c:v>11.7</c:v>
                </c:pt>
                <c:pt idx="118">
                  <c:v>11.8</c:v>
                </c:pt>
                <c:pt idx="119">
                  <c:v>11.9</c:v>
                </c:pt>
                <c:pt idx="120">
                  <c:v>12</c:v>
                </c:pt>
                <c:pt idx="121">
                  <c:v>12.1</c:v>
                </c:pt>
                <c:pt idx="122">
                  <c:v>12.2</c:v>
                </c:pt>
                <c:pt idx="123">
                  <c:v>12.3</c:v>
                </c:pt>
                <c:pt idx="124">
                  <c:v>12.4</c:v>
                </c:pt>
                <c:pt idx="125">
                  <c:v>12.5</c:v>
                </c:pt>
                <c:pt idx="126">
                  <c:v>12.6</c:v>
                </c:pt>
                <c:pt idx="127">
                  <c:v>12.7</c:v>
                </c:pt>
                <c:pt idx="128">
                  <c:v>12.8</c:v>
                </c:pt>
                <c:pt idx="129">
                  <c:v>12.9</c:v>
                </c:pt>
                <c:pt idx="130">
                  <c:v>13</c:v>
                </c:pt>
                <c:pt idx="131">
                  <c:v>13.1</c:v>
                </c:pt>
                <c:pt idx="132">
                  <c:v>13.2</c:v>
                </c:pt>
                <c:pt idx="133">
                  <c:v>13.3</c:v>
                </c:pt>
                <c:pt idx="134">
                  <c:v>13.4</c:v>
                </c:pt>
                <c:pt idx="135">
                  <c:v>13.5</c:v>
                </c:pt>
                <c:pt idx="136">
                  <c:v>13.6</c:v>
                </c:pt>
                <c:pt idx="137">
                  <c:v>13.7</c:v>
                </c:pt>
                <c:pt idx="138">
                  <c:v>13.8</c:v>
                </c:pt>
                <c:pt idx="139">
                  <c:v>13.9</c:v>
                </c:pt>
                <c:pt idx="140">
                  <c:v>14</c:v>
                </c:pt>
              </c:numCache>
            </c:numRef>
          </c:cat>
          <c:val>
            <c:numRef>
              <c:f>'Carbonate acidity'!$D$6:$D$146</c:f>
              <c:numCache>
                <c:formatCode>0.00</c:formatCode>
                <c:ptCount val="141"/>
                <c:pt idx="0">
                  <c:v>1</c:v>
                </c:pt>
                <c:pt idx="1">
                  <c:v>0.79432823472428149</c:v>
                </c:pt>
                <c:pt idx="2">
                  <c:v>0.63095734448019325</c:v>
                </c:pt>
                <c:pt idx="3">
                  <c:v>0.50118723362727224</c:v>
                </c:pt>
                <c:pt idx="4" formatCode="0.00E+00">
                  <c:v>0.3981071705534972</c:v>
                </c:pt>
                <c:pt idx="5" formatCode="0.00E+00">
                  <c:v>0.31622776601683794</c:v>
                </c:pt>
                <c:pt idx="6" formatCode="0.00E+00">
                  <c:v>0.25118864315095801</c:v>
                </c:pt>
                <c:pt idx="7" formatCode="0.00E+00">
                  <c:v>0.19952623149688795</c:v>
                </c:pt>
                <c:pt idx="8" formatCode="0.00E+00">
                  <c:v>0.15848931924611132</c:v>
                </c:pt>
                <c:pt idx="9" formatCode="0.00E+00">
                  <c:v>0.12589254117941667</c:v>
                </c:pt>
                <c:pt idx="10" formatCode="0.00E+00">
                  <c:v>0.1</c:v>
                </c:pt>
                <c:pt idx="11" formatCode="0.00E+00">
                  <c:v>7.9432823472428096E-2</c:v>
                </c:pt>
                <c:pt idx="12" formatCode="0.00E+00">
                  <c:v>6.3095734448019317E-2</c:v>
                </c:pt>
                <c:pt idx="13" formatCode="0.00E+00">
                  <c:v>5.0118723362727206E-2</c:v>
                </c:pt>
                <c:pt idx="14" formatCode="0.00E+00">
                  <c:v>3.9810717055349727E-2</c:v>
                </c:pt>
                <c:pt idx="15" formatCode="0.00E+00">
                  <c:v>3.1622776601683784E-2</c:v>
                </c:pt>
                <c:pt idx="16" formatCode="0.00E+00">
                  <c:v>2.511886431509578E-2</c:v>
                </c:pt>
                <c:pt idx="17" formatCode="0.00E+00">
                  <c:v>1.9952623149688792E-2</c:v>
                </c:pt>
                <c:pt idx="18" formatCode="0.00E+00">
                  <c:v>1.5848931924611124E-2</c:v>
                </c:pt>
                <c:pt idx="19" formatCode="0.00E+00">
                  <c:v>1.2589254117941664E-2</c:v>
                </c:pt>
                <c:pt idx="20" formatCode="0.00E+00">
                  <c:v>0.01</c:v>
                </c:pt>
                <c:pt idx="21" formatCode="0.00E+00">
                  <c:v>7.9432823472428121E-3</c:v>
                </c:pt>
                <c:pt idx="22" formatCode="0.00E+00">
                  <c:v>6.3095734448019251E-3</c:v>
                </c:pt>
                <c:pt idx="23" formatCode="0.00E+00">
                  <c:v>5.0118723362727212E-3</c:v>
                </c:pt>
                <c:pt idx="24" formatCode="0.00E+00">
                  <c:v>3.9810717055349717E-3</c:v>
                </c:pt>
                <c:pt idx="25" formatCode="0.00E+00">
                  <c:v>3.1622776601683764E-3</c:v>
                </c:pt>
                <c:pt idx="26" formatCode="0.00E+00">
                  <c:v>2.5118864315095777E-3</c:v>
                </c:pt>
                <c:pt idx="27" formatCode="0.00E+00">
                  <c:v>1.9952623149688781E-3</c:v>
                </c:pt>
                <c:pt idx="28" formatCode="0.00E+00">
                  <c:v>1.5848931924611134E-3</c:v>
                </c:pt>
                <c:pt idx="29" formatCode="0.00E+00">
                  <c:v>1.2589254117941662E-3</c:v>
                </c:pt>
                <c:pt idx="30" formatCode="0.00E+00">
                  <c:v>1E-3</c:v>
                </c:pt>
                <c:pt idx="31" formatCode="0.00E+00">
                  <c:v>7.9432823472428099E-4</c:v>
                </c:pt>
                <c:pt idx="32" formatCode="0.00E+00">
                  <c:v>6.3095734448019244E-4</c:v>
                </c:pt>
                <c:pt idx="33" formatCode="0.00E+00">
                  <c:v>5.0118723362727209E-4</c:v>
                </c:pt>
                <c:pt idx="34" formatCode="0.00E+00">
                  <c:v>3.9810717055349708E-4</c:v>
                </c:pt>
                <c:pt idx="35" formatCode="0.00E+00">
                  <c:v>3.1622776601683783E-4</c:v>
                </c:pt>
                <c:pt idx="36" formatCode="0.00E+00">
                  <c:v>2.5118864315095774E-4</c:v>
                </c:pt>
                <c:pt idx="37" formatCode="0.00E+00">
                  <c:v>1.9952623149688758E-4</c:v>
                </c:pt>
                <c:pt idx="38" formatCode="0.00E+00">
                  <c:v>1.584893192461112E-4</c:v>
                </c:pt>
                <c:pt idx="39" formatCode="0.00E+00">
                  <c:v>1.2589254117941672E-4</c:v>
                </c:pt>
                <c:pt idx="40" formatCode="0.00E+00">
                  <c:v>1E-4</c:v>
                </c:pt>
                <c:pt idx="41" formatCode="General">
                  <c:v>7.9432823472428153E-5</c:v>
                </c:pt>
                <c:pt idx="42" formatCode="General">
                  <c:v>6.3095734448019279E-5</c:v>
                </c:pt>
                <c:pt idx="43" formatCode="General">
                  <c:v>5.0118723362727238E-5</c:v>
                </c:pt>
                <c:pt idx="44" formatCode="General">
                  <c:v>3.9810717055349634E-5</c:v>
                </c:pt>
                <c:pt idx="45" formatCode="General">
                  <c:v>3.1622776601683748E-5</c:v>
                </c:pt>
                <c:pt idx="46" formatCode="General">
                  <c:v>2.5118864315095791E-5</c:v>
                </c:pt>
                <c:pt idx="47" formatCode="General">
                  <c:v>1.9952623149688769E-5</c:v>
                </c:pt>
                <c:pt idx="48" formatCode="General">
                  <c:v>1.5848931924611131E-5</c:v>
                </c:pt>
                <c:pt idx="49" formatCode="General">
                  <c:v>1.2589254117941658E-5</c:v>
                </c:pt>
                <c:pt idx="50" formatCode="General">
                  <c:v>1.0000000000000001E-5</c:v>
                </c:pt>
                <c:pt idx="51" formatCode="General">
                  <c:v>7.9432823472428065E-6</c:v>
                </c:pt>
                <c:pt idx="52" formatCode="General">
                  <c:v>6.3095734448019212E-6</c:v>
                </c:pt>
                <c:pt idx="53" formatCode="General">
                  <c:v>5.011872336272719E-6</c:v>
                </c:pt>
                <c:pt idx="54" formatCode="General">
                  <c:v>3.9810717055349657E-6</c:v>
                </c:pt>
                <c:pt idx="55" formatCode="General">
                  <c:v>3.1622776601683767E-6</c:v>
                </c:pt>
                <c:pt idx="56" formatCode="General">
                  <c:v>2.5118864315095806E-6</c:v>
                </c:pt>
                <c:pt idx="57" formatCode="General">
                  <c:v>1.9952623149688749E-6</c:v>
                </c:pt>
                <c:pt idx="58" formatCode="General">
                  <c:v>1.5848931924611111E-6</c:v>
                </c:pt>
                <c:pt idx="59" formatCode="General">
                  <c:v>1.2589254117941642E-6</c:v>
                </c:pt>
                <c:pt idx="60" formatCode="General">
                  <c:v>9.9999999999999995E-7</c:v>
                </c:pt>
                <c:pt idx="61" formatCode="General">
                  <c:v>7.9432823472428114E-7</c:v>
                </c:pt>
                <c:pt idx="62" formatCode="General">
                  <c:v>6.3095734448019254E-7</c:v>
                </c:pt>
                <c:pt idx="63" formatCode="General">
                  <c:v>5.0118723362727218E-7</c:v>
                </c:pt>
                <c:pt idx="64" formatCode="General">
                  <c:v>3.9810717055349618E-7</c:v>
                </c:pt>
                <c:pt idx="65" formatCode="General">
                  <c:v>3.1622776601683734E-7</c:v>
                </c:pt>
                <c:pt idx="66" formatCode="General">
                  <c:v>2.511886431509578E-7</c:v>
                </c:pt>
                <c:pt idx="67" formatCode="General">
                  <c:v>1.9952623149688761E-7</c:v>
                </c:pt>
                <c:pt idx="68" formatCode="General">
                  <c:v>1.5848931924611122E-7</c:v>
                </c:pt>
                <c:pt idx="69" formatCode="General">
                  <c:v>1.2589254117941651E-7</c:v>
                </c:pt>
                <c:pt idx="70" formatCode="General">
                  <c:v>9.9999999999999995E-8</c:v>
                </c:pt>
                <c:pt idx="71" formatCode="General">
                  <c:v>7.943282347242818E-8</c:v>
                </c:pt>
                <c:pt idx="72" formatCode="General">
                  <c:v>6.3095734448019177E-8</c:v>
                </c:pt>
                <c:pt idx="73" formatCode="General">
                  <c:v>5.0118723362727164E-8</c:v>
                </c:pt>
                <c:pt idx="74" formatCode="General">
                  <c:v>3.981071705534957E-8</c:v>
                </c:pt>
                <c:pt idx="75" formatCode="General">
                  <c:v>3.1622776601683699E-8</c:v>
                </c:pt>
                <c:pt idx="76" formatCode="General">
                  <c:v>2.5118864315095751E-8</c:v>
                </c:pt>
                <c:pt idx="77" formatCode="General">
                  <c:v>1.9952623149688773E-8</c:v>
                </c:pt>
                <c:pt idx="78" formatCode="General">
                  <c:v>1.5848931924611133E-8</c:v>
                </c:pt>
                <c:pt idx="79" formatCode="General">
                  <c:v>1.2589254117941638E-8</c:v>
                </c:pt>
                <c:pt idx="80" formatCode="General">
                  <c:v>1E-8</c:v>
                </c:pt>
                <c:pt idx="81" formatCode="General">
                  <c:v>7.9432823472428087E-9</c:v>
                </c:pt>
                <c:pt idx="82" formatCode="General">
                  <c:v>6.3095734448019329E-9</c:v>
                </c:pt>
                <c:pt idx="83" formatCode="General">
                  <c:v>5.0118723362727114E-9</c:v>
                </c:pt>
                <c:pt idx="84" formatCode="General">
                  <c:v>3.9810717055349665E-9</c:v>
                </c:pt>
                <c:pt idx="85" formatCode="General">
                  <c:v>3.1622776601683779E-9</c:v>
                </c:pt>
                <c:pt idx="86" formatCode="General">
                  <c:v>2.5118864315095812E-9</c:v>
                </c:pt>
                <c:pt idx="87" formatCode="General">
                  <c:v>1.9952623149688824E-9</c:v>
                </c:pt>
                <c:pt idx="88" formatCode="General">
                  <c:v>1.584893192461106E-9</c:v>
                </c:pt>
                <c:pt idx="89" formatCode="General">
                  <c:v>1.2589254117941623E-9</c:v>
                </c:pt>
                <c:pt idx="90" formatCode="General">
                  <c:v>1.0000000000000001E-9</c:v>
                </c:pt>
                <c:pt idx="91" formatCode="General">
                  <c:v>7.9432823472428E-10</c:v>
                </c:pt>
                <c:pt idx="92" formatCode="General">
                  <c:v>6.309573444801927E-10</c:v>
                </c:pt>
                <c:pt idx="93" formatCode="General">
                  <c:v>5.011872336272705E-10</c:v>
                </c:pt>
                <c:pt idx="94" formatCode="General">
                  <c:v>3.9810717055349621E-10</c:v>
                </c:pt>
                <c:pt idx="95" formatCode="General">
                  <c:v>3.1622776601683744E-10</c:v>
                </c:pt>
                <c:pt idx="96" formatCode="General">
                  <c:v>2.5118864315095784E-10</c:v>
                </c:pt>
                <c:pt idx="97" formatCode="General">
                  <c:v>1.9952623149688802E-10</c:v>
                </c:pt>
                <c:pt idx="98" formatCode="General">
                  <c:v>1.5848931924611098E-10</c:v>
                </c:pt>
                <c:pt idx="99" formatCode="General">
                  <c:v>1.2589254117941656E-10</c:v>
                </c:pt>
                <c:pt idx="100" formatCode="General">
                  <c:v>1E-10</c:v>
                </c:pt>
                <c:pt idx="101" formatCode="General">
                  <c:v>7.943282347242792E-11</c:v>
                </c:pt>
                <c:pt idx="102" formatCode="General">
                  <c:v>6.3095734448019192E-11</c:v>
                </c:pt>
                <c:pt idx="103" formatCode="General">
                  <c:v>5.0118723362726993E-11</c:v>
                </c:pt>
                <c:pt idx="104" formatCode="General">
                  <c:v>3.9810717055349579E-11</c:v>
                </c:pt>
                <c:pt idx="105" formatCode="General">
                  <c:v>3.162277660168371E-11</c:v>
                </c:pt>
                <c:pt idx="106" formatCode="General">
                  <c:v>2.5118864315095759E-11</c:v>
                </c:pt>
                <c:pt idx="107" formatCode="General">
                  <c:v>1.995262314968878E-11</c:v>
                </c:pt>
                <c:pt idx="108" formatCode="General">
                  <c:v>1.5848931924611082E-11</c:v>
                </c:pt>
                <c:pt idx="109" formatCode="General">
                  <c:v>1.2589254117941641E-11</c:v>
                </c:pt>
                <c:pt idx="110" formatCode="General">
                  <c:v>9.9999999999999994E-12</c:v>
                </c:pt>
                <c:pt idx="111" formatCode="General">
                  <c:v>7.9432823472428101E-12</c:v>
                </c:pt>
                <c:pt idx="112" formatCode="General">
                  <c:v>6.3095734448019345E-12</c:v>
                </c:pt>
                <c:pt idx="113" formatCode="General">
                  <c:v>5.0118723362726945E-12</c:v>
                </c:pt>
                <c:pt idx="114" formatCode="General">
                  <c:v>3.9810717055349533E-12</c:v>
                </c:pt>
                <c:pt idx="115" formatCode="General">
                  <c:v>3.1622776601683669E-12</c:v>
                </c:pt>
                <c:pt idx="116" formatCode="General">
                  <c:v>2.5118864315095726E-12</c:v>
                </c:pt>
                <c:pt idx="117" formatCode="General">
                  <c:v>1.9952623149688759E-12</c:v>
                </c:pt>
                <c:pt idx="118" formatCode="General">
                  <c:v>1.5848931924611065E-12</c:v>
                </c:pt>
                <c:pt idx="119" formatCode="General">
                  <c:v>1.2589254117941629E-12</c:v>
                </c:pt>
                <c:pt idx="120" formatCode="General">
                  <c:v>9.9999999999999998E-13</c:v>
                </c:pt>
                <c:pt idx="121" formatCode="General">
                  <c:v>7.9432823472428024E-13</c:v>
                </c:pt>
                <c:pt idx="122" formatCode="General">
                  <c:v>6.3095734448019283E-13</c:v>
                </c:pt>
                <c:pt idx="123" formatCode="General">
                  <c:v>5.0118723362727066E-13</c:v>
                </c:pt>
                <c:pt idx="124" formatCode="General">
                  <c:v>3.9810717055349631E-13</c:v>
                </c:pt>
                <c:pt idx="125" formatCode="General">
                  <c:v>3.1622776601683746E-13</c:v>
                </c:pt>
                <c:pt idx="126" formatCode="General">
                  <c:v>2.511886431509579E-13</c:v>
                </c:pt>
                <c:pt idx="127" formatCode="General">
                  <c:v>1.9952623149688807E-13</c:v>
                </c:pt>
                <c:pt idx="128" formatCode="General">
                  <c:v>1.5848931924611046E-13</c:v>
                </c:pt>
                <c:pt idx="129" formatCode="General">
                  <c:v>1.2589254117941612E-13</c:v>
                </c:pt>
                <c:pt idx="130" formatCode="General">
                  <c:v>1E-13</c:v>
                </c:pt>
                <c:pt idx="131" formatCode="General">
                  <c:v>7.9432823472427931E-14</c:v>
                </c:pt>
                <c:pt idx="132" formatCode="General">
                  <c:v>6.3095734448019215E-14</c:v>
                </c:pt>
                <c:pt idx="133" formatCode="General">
                  <c:v>5.0118723362727011E-14</c:v>
                </c:pt>
                <c:pt idx="134" formatCode="General">
                  <c:v>3.9810717055349592E-14</c:v>
                </c:pt>
                <c:pt idx="135" formatCode="General">
                  <c:v>3.1622776601683714E-14</c:v>
                </c:pt>
                <c:pt idx="136" formatCode="General">
                  <c:v>2.511886431509576E-14</c:v>
                </c:pt>
                <c:pt idx="137" formatCode="General">
                  <c:v>1.9952623149688784E-14</c:v>
                </c:pt>
                <c:pt idx="138" formatCode="General">
                  <c:v>1.5848931924611084E-14</c:v>
                </c:pt>
                <c:pt idx="139" formatCode="General">
                  <c:v>1.2589254117941644E-14</c:v>
                </c:pt>
                <c:pt idx="140" formatCode="General">
                  <c:v>1E-14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8DE-0641-88E3-58D9E131BD06}"/>
            </c:ext>
          </c:extLst>
        </c:ser>
        <c:ser>
          <c:idx val="4"/>
          <c:order val="4"/>
          <c:tx>
            <c:strRef>
              <c:f>'Carbonate acidity'!$E$5</c:f>
              <c:strCache>
                <c:ptCount val="1"/>
                <c:pt idx="0">
                  <c:v>OH⁻</c:v>
                </c:pt>
              </c:strCache>
            </c:strRef>
          </c:tx>
          <c:spPr>
            <a:ln w="317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'Carbonate acidity'!$E$6:$E$146</c:f>
              <c:numCache>
                <c:formatCode>0.00E+00</c:formatCode>
                <c:ptCount val="141"/>
                <c:pt idx="0">
                  <c:v>6.0255958607435464E-14</c:v>
                </c:pt>
                <c:pt idx="1">
                  <c:v>7.5857757502917909E-14</c:v>
                </c:pt>
                <c:pt idx="2">
                  <c:v>9.549925860214291E-14</c:v>
                </c:pt>
                <c:pt idx="3">
                  <c:v>1.2022644346174119E-13</c:v>
                </c:pt>
                <c:pt idx="4">
                  <c:v>1.5135612484362054E-13</c:v>
                </c:pt>
                <c:pt idx="5">
                  <c:v>1.9054607179632417E-13</c:v>
                </c:pt>
                <c:pt idx="6">
                  <c:v>2.3988329190194817E-13</c:v>
                </c:pt>
                <c:pt idx="7">
                  <c:v>3.0199517204020016E-13</c:v>
                </c:pt>
                <c:pt idx="8">
                  <c:v>3.8018939632056036E-13</c:v>
                </c:pt>
                <c:pt idx="9">
                  <c:v>4.7863009232263685E-13</c:v>
                </c:pt>
                <c:pt idx="10">
                  <c:v>6.025595860743553E-13</c:v>
                </c:pt>
                <c:pt idx="11">
                  <c:v>7.5857757502917993E-13</c:v>
                </c:pt>
                <c:pt idx="12">
                  <c:v>9.5499258602143024E-13</c:v>
                </c:pt>
                <c:pt idx="13">
                  <c:v>1.2022644346174088E-12</c:v>
                </c:pt>
                <c:pt idx="14">
                  <c:v>1.5135612484362015E-12</c:v>
                </c:pt>
                <c:pt idx="15">
                  <c:v>1.905460717963237E-12</c:v>
                </c:pt>
                <c:pt idx="16">
                  <c:v>2.3988329190194755E-12</c:v>
                </c:pt>
                <c:pt idx="17">
                  <c:v>3.0199517204020161E-12</c:v>
                </c:pt>
                <c:pt idx="18">
                  <c:v>3.8018939632056084E-12</c:v>
                </c:pt>
                <c:pt idx="19">
                  <c:v>4.7863009232263738E-12</c:v>
                </c:pt>
                <c:pt idx="20">
                  <c:v>6.0255958607435596E-12</c:v>
                </c:pt>
                <c:pt idx="21">
                  <c:v>7.5857757502918081E-12</c:v>
                </c:pt>
                <c:pt idx="22">
                  <c:v>9.5499258602143472E-12</c:v>
                </c:pt>
                <c:pt idx="23">
                  <c:v>1.2022644346174101E-11</c:v>
                </c:pt>
                <c:pt idx="24">
                  <c:v>1.5135612484362034E-11</c:v>
                </c:pt>
                <c:pt idx="25">
                  <c:v>1.9054607179632392E-11</c:v>
                </c:pt>
                <c:pt idx="26">
                  <c:v>2.3988329190194783E-11</c:v>
                </c:pt>
                <c:pt idx="27">
                  <c:v>3.0199517204020087E-11</c:v>
                </c:pt>
                <c:pt idx="28">
                  <c:v>3.801893963205585E-11</c:v>
                </c:pt>
                <c:pt idx="29">
                  <c:v>4.786300923226362E-11</c:v>
                </c:pt>
                <c:pt idx="30">
                  <c:v>6.0255958607435443E-11</c:v>
                </c:pt>
                <c:pt idx="31">
                  <c:v>7.5857757502918162E-11</c:v>
                </c:pt>
                <c:pt idx="32">
                  <c:v>9.5499258602143585E-11</c:v>
                </c:pt>
                <c:pt idx="33">
                  <c:v>1.2022644346174114E-10</c:v>
                </c:pt>
                <c:pt idx="34">
                  <c:v>1.5135612484362048E-10</c:v>
                </c:pt>
                <c:pt idx="35">
                  <c:v>1.9054607179632416E-10</c:v>
                </c:pt>
                <c:pt idx="36">
                  <c:v>2.3988329190194809E-10</c:v>
                </c:pt>
                <c:pt idx="37">
                  <c:v>3.0199517204020115E-10</c:v>
                </c:pt>
                <c:pt idx="38">
                  <c:v>3.801893963205603E-10</c:v>
                </c:pt>
                <c:pt idx="39">
                  <c:v>4.7863009232263674E-10</c:v>
                </c:pt>
                <c:pt idx="40">
                  <c:v>6.0255958607435515E-10</c:v>
                </c:pt>
                <c:pt idx="41">
                  <c:v>7.5857757502917976E-10</c:v>
                </c:pt>
                <c:pt idx="42">
                  <c:v>9.5499258602143329E-10</c:v>
                </c:pt>
                <c:pt idx="43">
                  <c:v>1.2022644346174043E-9</c:v>
                </c:pt>
                <c:pt idx="44">
                  <c:v>1.5135612484362064E-9</c:v>
                </c:pt>
                <c:pt idx="45">
                  <c:v>1.9054607179632502E-9</c:v>
                </c:pt>
                <c:pt idx="46">
                  <c:v>2.3988329190194835E-9</c:v>
                </c:pt>
                <c:pt idx="47">
                  <c:v>3.0199517204020151E-9</c:v>
                </c:pt>
                <c:pt idx="48">
                  <c:v>3.8018939632055936E-9</c:v>
                </c:pt>
                <c:pt idx="49">
                  <c:v>4.7863009232263728E-9</c:v>
                </c:pt>
                <c:pt idx="50">
                  <c:v>6.0255958607435582E-9</c:v>
                </c:pt>
                <c:pt idx="51">
                  <c:v>7.5857757502918059E-9</c:v>
                </c:pt>
                <c:pt idx="52">
                  <c:v>9.5499258602143453E-9</c:v>
                </c:pt>
                <c:pt idx="53">
                  <c:v>1.2022644346174099E-8</c:v>
                </c:pt>
                <c:pt idx="54">
                  <c:v>1.5135612484362029E-8</c:v>
                </c:pt>
                <c:pt idx="55">
                  <c:v>1.9054607179632389E-8</c:v>
                </c:pt>
                <c:pt idx="56">
                  <c:v>2.3988329190194778E-8</c:v>
                </c:pt>
                <c:pt idx="57">
                  <c:v>3.0199517204020188E-8</c:v>
                </c:pt>
                <c:pt idx="58">
                  <c:v>3.8018939632056113E-8</c:v>
                </c:pt>
                <c:pt idx="59">
                  <c:v>4.7863009232263782E-8</c:v>
                </c:pt>
                <c:pt idx="60">
                  <c:v>6.0255958607435649E-8</c:v>
                </c:pt>
                <c:pt idx="61">
                  <c:v>7.5857757502918145E-8</c:v>
                </c:pt>
                <c:pt idx="62">
                  <c:v>9.5499258602143212E-8</c:v>
                </c:pt>
                <c:pt idx="63">
                  <c:v>1.202264434617409E-7</c:v>
                </c:pt>
                <c:pt idx="64">
                  <c:v>1.5135612484362072E-7</c:v>
                </c:pt>
                <c:pt idx="65">
                  <c:v>1.9054607179632443E-7</c:v>
                </c:pt>
                <c:pt idx="66">
                  <c:v>2.3988329190194845E-7</c:v>
                </c:pt>
                <c:pt idx="67">
                  <c:v>3.0199517204020165E-7</c:v>
                </c:pt>
                <c:pt idx="68">
                  <c:v>3.8018939632056089E-7</c:v>
                </c:pt>
                <c:pt idx="69">
                  <c:v>4.7863009232263745E-7</c:v>
                </c:pt>
                <c:pt idx="70">
                  <c:v>6.0255958607435604E-7</c:v>
                </c:pt>
                <c:pt idx="71">
                  <c:v>7.5857757502918092E-7</c:v>
                </c:pt>
                <c:pt idx="72">
                  <c:v>9.5499258602143498E-7</c:v>
                </c:pt>
                <c:pt idx="73">
                  <c:v>1.2022644346174125E-6</c:v>
                </c:pt>
                <c:pt idx="74">
                  <c:v>1.5135612484362091E-6</c:v>
                </c:pt>
                <c:pt idx="75">
                  <c:v>1.9054607179632462E-6</c:v>
                </c:pt>
                <c:pt idx="76">
                  <c:v>2.3988329190194872E-6</c:v>
                </c:pt>
                <c:pt idx="77">
                  <c:v>3.0199517204020095E-6</c:v>
                </c:pt>
                <c:pt idx="78">
                  <c:v>3.8018939632055997E-6</c:v>
                </c:pt>
                <c:pt idx="79">
                  <c:v>4.7863009232263885E-6</c:v>
                </c:pt>
                <c:pt idx="80">
                  <c:v>6.025595860743557E-6</c:v>
                </c:pt>
                <c:pt idx="81">
                  <c:v>7.5857757502918187E-6</c:v>
                </c:pt>
                <c:pt idx="82">
                  <c:v>9.5499258602143265E-6</c:v>
                </c:pt>
                <c:pt idx="83">
                  <c:v>1.2022644346174118E-5</c:v>
                </c:pt>
                <c:pt idx="84">
                  <c:v>1.5135612484362051E-5</c:v>
                </c:pt>
                <c:pt idx="85">
                  <c:v>1.9054607179632416E-5</c:v>
                </c:pt>
                <c:pt idx="86">
                  <c:v>2.3988329190194812E-5</c:v>
                </c:pt>
                <c:pt idx="87">
                  <c:v>3.0199517204020019E-5</c:v>
                </c:pt>
                <c:pt idx="88">
                  <c:v>3.8018939632056239E-5</c:v>
                </c:pt>
                <c:pt idx="89">
                  <c:v>4.7863009232263932E-5</c:v>
                </c:pt>
                <c:pt idx="90">
                  <c:v>6.0255958607435637E-5</c:v>
                </c:pt>
                <c:pt idx="91">
                  <c:v>7.5857757502918399E-5</c:v>
                </c:pt>
                <c:pt idx="92">
                  <c:v>9.5499258602143526E-5</c:v>
                </c:pt>
                <c:pt idx="93">
                  <c:v>1.202264434617413E-4</c:v>
                </c:pt>
                <c:pt idx="94">
                  <c:v>1.5135612484362069E-4</c:v>
                </c:pt>
                <c:pt idx="95">
                  <c:v>1.9054607179632438E-4</c:v>
                </c:pt>
                <c:pt idx="96">
                  <c:v>2.3988329190194837E-4</c:v>
                </c:pt>
                <c:pt idx="97">
                  <c:v>3.019951720402005E-4</c:v>
                </c:pt>
                <c:pt idx="98">
                  <c:v>3.8018939632056113E-4</c:v>
                </c:pt>
                <c:pt idx="99">
                  <c:v>4.7863009232263772E-4</c:v>
                </c:pt>
                <c:pt idx="100">
                  <c:v>6.0255958607435649E-4</c:v>
                </c:pt>
                <c:pt idx="101">
                  <c:v>7.5857757502918483E-4</c:v>
                </c:pt>
                <c:pt idx="102">
                  <c:v>9.5499258602143634E-4</c:v>
                </c:pt>
                <c:pt idx="103">
                  <c:v>1.2022644346174176E-3</c:v>
                </c:pt>
                <c:pt idx="104">
                  <c:v>1.5135612484362126E-3</c:v>
                </c:pt>
                <c:pt idx="105">
                  <c:v>1.905460717963251E-3</c:v>
                </c:pt>
                <c:pt idx="106">
                  <c:v>2.3988329190194929E-3</c:v>
                </c:pt>
                <c:pt idx="107">
                  <c:v>3.0199517204020161E-3</c:v>
                </c:pt>
                <c:pt idx="108">
                  <c:v>3.8018939632056123E-3</c:v>
                </c:pt>
                <c:pt idx="109">
                  <c:v>4.7863009232263784E-3</c:v>
                </c:pt>
                <c:pt idx="110">
                  <c:v>6.0255958607435666E-3</c:v>
                </c:pt>
                <c:pt idx="111">
                  <c:v>7.5857757502918169E-3</c:v>
                </c:pt>
                <c:pt idx="112">
                  <c:v>9.5499258602143242E-3</c:v>
                </c:pt>
                <c:pt idx="113">
                  <c:v>1.2022644346174179E-2</c:v>
                </c:pt>
                <c:pt idx="114">
                  <c:v>1.5135612484362128E-2</c:v>
                </c:pt>
                <c:pt idx="115">
                  <c:v>1.9054607179632515E-2</c:v>
                </c:pt>
                <c:pt idx="116">
                  <c:v>2.3988329190194935E-2</c:v>
                </c:pt>
                <c:pt idx="117">
                  <c:v>3.0199517204020185E-2</c:v>
                </c:pt>
                <c:pt idx="118">
                  <c:v>3.8018939632056263E-2</c:v>
                </c:pt>
                <c:pt idx="119">
                  <c:v>4.7863009232263991E-2</c:v>
                </c:pt>
                <c:pt idx="120">
                  <c:v>6.025595860743567E-2</c:v>
                </c:pt>
                <c:pt idx="121">
                  <c:v>7.5857757502918483E-2</c:v>
                </c:pt>
                <c:pt idx="122">
                  <c:v>9.5499258602143686E-2</c:v>
                </c:pt>
                <c:pt idx="123">
                  <c:v>0.12022644346174129</c:v>
                </c:pt>
                <c:pt idx="124">
                  <c:v>0.15135612484362068</c:v>
                </c:pt>
                <c:pt idx="125">
                  <c:v>0.19054607179632441</c:v>
                </c:pt>
                <c:pt idx="126">
                  <c:v>0.23988329190194846</c:v>
                </c:pt>
                <c:pt idx="127">
                  <c:v>0.3019951720402006</c:v>
                </c:pt>
                <c:pt idx="128">
                  <c:v>0.38018939632056276</c:v>
                </c:pt>
                <c:pt idx="129">
                  <c:v>0.47863009232263992</c:v>
                </c:pt>
                <c:pt idx="130">
                  <c:v>0.60255958607435678</c:v>
                </c:pt>
                <c:pt idx="131">
                  <c:v>0.7585775750291851</c:v>
                </c:pt>
                <c:pt idx="132">
                  <c:v>0.95499258602143688</c:v>
                </c:pt>
                <c:pt idx="133">
                  <c:v>1.2022644346174181</c:v>
                </c:pt>
                <c:pt idx="134">
                  <c:v>1.5135612484362135</c:v>
                </c:pt>
                <c:pt idx="135">
                  <c:v>1.9054607179632523</c:v>
                </c:pt>
                <c:pt idx="136">
                  <c:v>2.3988329190194952</c:v>
                </c:pt>
                <c:pt idx="137">
                  <c:v>3.0199517204020196</c:v>
                </c:pt>
                <c:pt idx="138">
                  <c:v>3.8018939632056128</c:v>
                </c:pt>
                <c:pt idx="139">
                  <c:v>4.7863009232263813</c:v>
                </c:pt>
                <c:pt idx="140">
                  <c:v>6.0255958607435698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78DE-0641-88E3-58D9E131BD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24648752"/>
        <c:axId val="1224652384"/>
      </c:lineChart>
      <c:catAx>
        <c:axId val="122464875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US" sz="1400">
                    <a:solidFill>
                      <a:schemeClr val="tx1"/>
                    </a:solidFill>
                  </a:rPr>
                  <a:t>pH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224652384"/>
        <c:crossesAt val="1.0000000000000004E-5"/>
        <c:auto val="1"/>
        <c:lblAlgn val="ctr"/>
        <c:lblOffset val="100"/>
        <c:tickLblSkip val="10"/>
        <c:tickMarkSkip val="2"/>
        <c:noMultiLvlLbl val="0"/>
      </c:catAx>
      <c:valAx>
        <c:axId val="1224652384"/>
        <c:scaling>
          <c:logBase val="10"/>
          <c:orientation val="minMax"/>
          <c:max val="1.0000000000000002E-2"/>
          <c:min val="1.0000000000000004E-5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US" sz="1400">
                    <a:solidFill>
                      <a:schemeClr val="tx1"/>
                    </a:solidFill>
                  </a:rPr>
                  <a:t>Concentration [M]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0.00E+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2246487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8516404199475054"/>
          <c:y val="0.34260416666666665"/>
          <c:w val="0.20136781197804818"/>
          <c:h val="0.398732775590551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680" b="1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US"/>
              <a:t>Catalytic Turnover Number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80" b="1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'Carbonate acidity'!$A$5</c:f>
              <c:strCache>
                <c:ptCount val="1"/>
                <c:pt idx="0">
                  <c:v>CO₂</c:v>
                </c:pt>
              </c:strCache>
            </c:strRef>
          </c:tx>
          <c:spPr>
            <a:ln w="317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'Carbonate acidity'!$F$6:$F$86</c:f>
              <c:numCache>
                <c:formatCode>General</c:formatCode>
                <c:ptCount val="8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2.2999999999999998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</c:v>
                </c:pt>
                <c:pt idx="34">
                  <c:v>3.4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</c:v>
                </c:pt>
                <c:pt idx="39">
                  <c:v>3.9</c:v>
                </c:pt>
                <c:pt idx="40">
                  <c:v>4</c:v>
                </c:pt>
                <c:pt idx="41">
                  <c:v>4.0999999999999996</c:v>
                </c:pt>
                <c:pt idx="42">
                  <c:v>4.2</c:v>
                </c:pt>
                <c:pt idx="43">
                  <c:v>4.3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4.7</c:v>
                </c:pt>
                <c:pt idx="48">
                  <c:v>4.8</c:v>
                </c:pt>
                <c:pt idx="49">
                  <c:v>4.9000000000000004</c:v>
                </c:pt>
                <c:pt idx="50">
                  <c:v>5</c:v>
                </c:pt>
                <c:pt idx="51">
                  <c:v>5.0999999999999996</c:v>
                </c:pt>
                <c:pt idx="52">
                  <c:v>5.2</c:v>
                </c:pt>
                <c:pt idx="53">
                  <c:v>5.3</c:v>
                </c:pt>
                <c:pt idx="54">
                  <c:v>5.4</c:v>
                </c:pt>
                <c:pt idx="55">
                  <c:v>5.5</c:v>
                </c:pt>
                <c:pt idx="56">
                  <c:v>5.6</c:v>
                </c:pt>
                <c:pt idx="57">
                  <c:v>5.7</c:v>
                </c:pt>
                <c:pt idx="58">
                  <c:v>5.8</c:v>
                </c:pt>
                <c:pt idx="59">
                  <c:v>5.9</c:v>
                </c:pt>
                <c:pt idx="60">
                  <c:v>6</c:v>
                </c:pt>
                <c:pt idx="61">
                  <c:v>6.1</c:v>
                </c:pt>
                <c:pt idx="62">
                  <c:v>6.2</c:v>
                </c:pt>
                <c:pt idx="63">
                  <c:v>6.3</c:v>
                </c:pt>
                <c:pt idx="64">
                  <c:v>6.4</c:v>
                </c:pt>
                <c:pt idx="65">
                  <c:v>6.5</c:v>
                </c:pt>
                <c:pt idx="66">
                  <c:v>6.6</c:v>
                </c:pt>
                <c:pt idx="67">
                  <c:v>6.7</c:v>
                </c:pt>
                <c:pt idx="68">
                  <c:v>6.8</c:v>
                </c:pt>
                <c:pt idx="69">
                  <c:v>6.9</c:v>
                </c:pt>
                <c:pt idx="70">
                  <c:v>7</c:v>
                </c:pt>
                <c:pt idx="71">
                  <c:v>7.1</c:v>
                </c:pt>
                <c:pt idx="72">
                  <c:v>7.2</c:v>
                </c:pt>
                <c:pt idx="73">
                  <c:v>7.3</c:v>
                </c:pt>
                <c:pt idx="74">
                  <c:v>7.4</c:v>
                </c:pt>
                <c:pt idx="75">
                  <c:v>7.5</c:v>
                </c:pt>
                <c:pt idx="76">
                  <c:v>7.6</c:v>
                </c:pt>
                <c:pt idx="77">
                  <c:v>7.7</c:v>
                </c:pt>
                <c:pt idx="78">
                  <c:v>7.8</c:v>
                </c:pt>
                <c:pt idx="79">
                  <c:v>7.9</c:v>
                </c:pt>
                <c:pt idx="80">
                  <c:v>8</c:v>
                </c:pt>
              </c:numCache>
            </c:numRef>
          </c:cat>
          <c:val>
            <c:numRef>
              <c:f>'Carbonate acidity'!$A$6:$A$86</c:f>
              <c:numCache>
                <c:formatCode>0.00E+00</c:formatCode>
                <c:ptCount val="81"/>
                <c:pt idx="0">
                  <c:v>2.1999969631588063E-3</c:v>
                </c:pt>
                <c:pt idx="1">
                  <c:v>2.1999961768448149E-3</c:v>
                </c:pt>
                <c:pt idx="2">
                  <c:v>2.1999951869349482E-3</c:v>
                </c:pt>
                <c:pt idx="3">
                  <c:v>2.199993940713527E-3</c:v>
                </c:pt>
                <c:pt idx="4">
                  <c:v>2.1999923718157171E-3</c:v>
                </c:pt>
                <c:pt idx="5">
                  <c:v>2.1999903966935744E-3</c:v>
                </c:pt>
                <c:pt idx="6">
                  <c:v>2.1999879101671565E-3</c:v>
                </c:pt>
                <c:pt idx="7">
                  <c:v>2.199984779823846E-3</c:v>
                </c:pt>
                <c:pt idx="8">
                  <c:v>2.199980838967761E-3</c:v>
                </c:pt>
                <c:pt idx="9">
                  <c:v>2.1999758777439494E-3</c:v>
                </c:pt>
                <c:pt idx="10">
                  <c:v>2.1999696319650094E-3</c:v>
                </c:pt>
                <c:pt idx="11">
                  <c:v>2.1999617690455667E-3</c:v>
                </c:pt>
                <c:pt idx="12">
                  <c:v>2.1999518702963197E-3</c:v>
                </c:pt>
                <c:pt idx="13">
                  <c:v>2.1999394086358983E-3</c:v>
                </c:pt>
                <c:pt idx="14">
                  <c:v>2.1999237205354871E-3</c:v>
                </c:pt>
                <c:pt idx="15">
                  <c:v>2.1999039707050871E-3</c:v>
                </c:pt>
                <c:pt idx="16">
                  <c:v>2.1998791076454942E-3</c:v>
                </c:pt>
                <c:pt idx="17">
                  <c:v>2.1998478077063619E-3</c:v>
                </c:pt>
                <c:pt idx="18">
                  <c:v>2.1998084046829301E-3</c:v>
                </c:pt>
                <c:pt idx="19">
                  <c:v>2.1997588012207347E-3</c:v>
                </c:pt>
                <c:pt idx="20">
                  <c:v>2.1996963573396367E-3</c:v>
                </c:pt>
                <c:pt idx="21">
                  <c:v>2.1996177501872236E-3</c:v>
                </c:pt>
                <c:pt idx="22">
                  <c:v>2.1995187976266489E-3</c:v>
                </c:pt>
                <c:pt idx="23">
                  <c:v>2.1993942363811077E-3</c:v>
                </c:pt>
                <c:pt idx="24">
                  <c:v>2.1992374431052918E-3</c:v>
                </c:pt>
                <c:pt idx="25">
                  <c:v>2.1990400838227311E-3</c:v>
                </c:pt>
                <c:pt idx="26">
                  <c:v>2.19879167352396E-3</c:v>
                </c:pt>
                <c:pt idx="27">
                  <c:v>2.1984790232063515E-3</c:v>
                </c:pt>
                <c:pt idx="28">
                  <c:v>2.1980855460695041E-3</c:v>
                </c:pt>
                <c:pt idx="29">
                  <c:v>2.1975903877546137E-3</c:v>
                </c:pt>
                <c:pt idx="30">
                  <c:v>2.1969673372118081E-3</c:v>
                </c:pt>
                <c:pt idx="31">
                  <c:v>2.1961834647782714E-3</c:v>
                </c:pt>
                <c:pt idx="32">
                  <c:v>2.1951974221716738E-3</c:v>
                </c:pt>
                <c:pt idx="33">
                  <c:v>2.1939573252655223E-3</c:v>
                </c:pt>
                <c:pt idx="34">
                  <c:v>2.1923981248353395E-3</c:v>
                </c:pt>
                <c:pt idx="35">
                  <c:v>2.1904383534395474E-3</c:v>
                </c:pt>
                <c:pt idx="36">
                  <c:v>2.1879761193642142E-3</c:v>
                </c:pt>
                <c:pt idx="37">
                  <c:v>2.1848842033215729E-3</c:v>
                </c:pt>
                <c:pt idx="38">
                  <c:v>2.1810041042589446E-3</c:v>
                </c:pt>
                <c:pt idx="39">
                  <c:v>2.1761388837521494E-3</c:v>
                </c:pt>
                <c:pt idx="40">
                  <c:v>2.1700446845025019E-3</c:v>
                </c:pt>
                <c:pt idx="41">
                  <c:v>2.1624208635377534E-3</c:v>
                </c:pt>
                <c:pt idx="42">
                  <c:v>2.1528988085856961E-3</c:v>
                </c:pt>
                <c:pt idx="43">
                  <c:v>2.141029730063279E-3</c:v>
                </c:pt>
                <c:pt idx="44">
                  <c:v>2.1262720849265422E-3</c:v>
                </c:pt>
                <c:pt idx="45">
                  <c:v>2.1079798440281077E-3</c:v>
                </c:pt>
                <c:pt idx="46">
                  <c:v>2.0853936120648116E-3</c:v>
                </c:pt>
                <c:pt idx="47">
                  <c:v>2.0576376752703424E-3</c:v>
                </c:pt>
                <c:pt idx="48">
                  <c:v>2.0237273459352174E-3</c:v>
                </c:pt>
                <c:pt idx="49">
                  <c:v>1.9825923151676416E-3</c:v>
                </c:pt>
                <c:pt idx="50">
                  <c:v>1.9331227021845191E-3</c:v>
                </c:pt>
                <c:pt idx="51">
                  <c:v>1.8742443618246834E-3</c:v>
                </c:pt>
                <c:pt idx="52">
                  <c:v>1.8050277169828191E-3</c:v>
                </c:pt>
                <c:pt idx="53">
                  <c:v>1.7248287551237652E-3</c:v>
                </c:pt>
                <c:pt idx="54">
                  <c:v>1.6334512239120592E-3</c:v>
                </c:pt>
                <c:pt idx="55">
                  <c:v>1.5313063852326642E-3</c:v>
                </c:pt>
                <c:pt idx="56">
                  <c:v>1.4195344321095284E-3</c:v>
                </c:pt>
                <c:pt idx="57">
                  <c:v>1.3000459788483805E-3</c:v>
                </c:pt>
                <c:pt idx="58">
                  <c:v>1.1754495918372394E-3</c:v>
                </c:pt>
                <c:pt idx="59">
                  <c:v>1.0488550360286349E-3</c:v>
                </c:pt>
                <c:pt idx="60">
                  <c:v>9.2357661619247905E-4</c:v>
                </c:pt>
                <c:pt idx="61">
                  <c:v>8.0279340086896888E-4</c:v>
                </c:pt>
                <c:pt idx="62">
                  <c:v>6.8923810389669702E-4</c:v>
                </c:pt>
                <c:pt idx="63">
                  <c:v>5.8497637543029673E-4</c:v>
                </c:pt>
                <c:pt idx="64">
                  <c:v>4.9130833240399114E-4</c:v>
                </c:pt>
                <c:pt idx="65">
                  <c:v>4.0878864432056396E-4</c:v>
                </c:pt>
                <c:pt idx="66">
                  <c:v>3.3733476672410403E-4</c:v>
                </c:pt>
                <c:pt idx="67">
                  <c:v>2.7638202594983466E-4</c:v>
                </c:pt>
                <c:pt idx="68">
                  <c:v>2.2504770193116453E-4</c:v>
                </c:pt>
                <c:pt idx="69">
                  <c:v>1.822777202771047E-4</c:v>
                </c:pt>
                <c:pt idx="70">
                  <c:v>1.4696253814643553E-4</c:v>
                </c:pt>
                <c:pt idx="71">
                  <c:v>1.1801919741954853E-4</c:v>
                </c:pt>
                <c:pt idx="72">
                  <c:v>9.4442952534270049E-5</c:v>
                </c:pt>
                <c:pt idx="73">
                  <c:v>7.5334776236351584E-5</c:v>
                </c:pt>
                <c:pt idx="74">
                  <c:v>5.9911526589954445E-5</c:v>
                </c:pt>
                <c:pt idx="75">
                  <c:v>4.7504737922952585E-5</c:v>
                </c:pt>
                <c:pt idx="76">
                  <c:v>3.7552687672637762E-5</c:v>
                </c:pt>
                <c:pt idx="77">
                  <c:v>2.9589065341706825E-5</c:v>
                </c:pt>
                <c:pt idx="78">
                  <c:v>2.3230448691468968E-5</c:v>
                </c:pt>
                <c:pt idx="79">
                  <c:v>1.8163938697182073E-5</c:v>
                </c:pt>
                <c:pt idx="80">
                  <c:v>1.4135701854415529E-5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949-DA4F-894E-D731DC0427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24648752"/>
        <c:axId val="1224652384"/>
      </c:lineChart>
      <c:lineChart>
        <c:grouping val="standard"/>
        <c:varyColors val="0"/>
        <c:ser>
          <c:idx val="1"/>
          <c:order val="1"/>
          <c:tx>
            <c:strRef>
              <c:f>'Carbonate acidity'!$P$5</c:f>
              <c:strCache>
                <c:ptCount val="1"/>
                <c:pt idx="0">
                  <c:v>Extractable CO2/Added H+</c:v>
                </c:pt>
              </c:strCache>
            </c:strRef>
          </c:tx>
          <c:spPr>
            <a:ln w="317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'Carbonate acidity'!$F$6:$F$86</c:f>
              <c:numCache>
                <c:formatCode>General</c:formatCode>
                <c:ptCount val="8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2.2999999999999998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</c:v>
                </c:pt>
                <c:pt idx="34">
                  <c:v>3.4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</c:v>
                </c:pt>
                <c:pt idx="39">
                  <c:v>3.9</c:v>
                </c:pt>
                <c:pt idx="40">
                  <c:v>4</c:v>
                </c:pt>
                <c:pt idx="41">
                  <c:v>4.0999999999999996</c:v>
                </c:pt>
                <c:pt idx="42">
                  <c:v>4.2</c:v>
                </c:pt>
                <c:pt idx="43">
                  <c:v>4.3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4.7</c:v>
                </c:pt>
                <c:pt idx="48">
                  <c:v>4.8</c:v>
                </c:pt>
                <c:pt idx="49">
                  <c:v>4.9000000000000004</c:v>
                </c:pt>
                <c:pt idx="50">
                  <c:v>5</c:v>
                </c:pt>
                <c:pt idx="51">
                  <c:v>5.0999999999999996</c:v>
                </c:pt>
                <c:pt idx="52">
                  <c:v>5.2</c:v>
                </c:pt>
                <c:pt idx="53">
                  <c:v>5.3</c:v>
                </c:pt>
                <c:pt idx="54">
                  <c:v>5.4</c:v>
                </c:pt>
                <c:pt idx="55">
                  <c:v>5.5</c:v>
                </c:pt>
                <c:pt idx="56">
                  <c:v>5.6</c:v>
                </c:pt>
                <c:pt idx="57">
                  <c:v>5.7</c:v>
                </c:pt>
                <c:pt idx="58">
                  <c:v>5.8</c:v>
                </c:pt>
                <c:pt idx="59">
                  <c:v>5.9</c:v>
                </c:pt>
                <c:pt idx="60">
                  <c:v>6</c:v>
                </c:pt>
                <c:pt idx="61">
                  <c:v>6.1</c:v>
                </c:pt>
                <c:pt idx="62">
                  <c:v>6.2</c:v>
                </c:pt>
                <c:pt idx="63">
                  <c:v>6.3</c:v>
                </c:pt>
                <c:pt idx="64">
                  <c:v>6.4</c:v>
                </c:pt>
                <c:pt idx="65">
                  <c:v>6.5</c:v>
                </c:pt>
                <c:pt idx="66">
                  <c:v>6.6</c:v>
                </c:pt>
                <c:pt idx="67">
                  <c:v>6.7</c:v>
                </c:pt>
                <c:pt idx="68">
                  <c:v>6.8</c:v>
                </c:pt>
                <c:pt idx="69">
                  <c:v>6.9</c:v>
                </c:pt>
                <c:pt idx="70">
                  <c:v>7</c:v>
                </c:pt>
                <c:pt idx="71">
                  <c:v>7.1</c:v>
                </c:pt>
                <c:pt idx="72">
                  <c:v>7.2</c:v>
                </c:pt>
                <c:pt idx="73">
                  <c:v>7.3</c:v>
                </c:pt>
                <c:pt idx="74">
                  <c:v>7.4</c:v>
                </c:pt>
                <c:pt idx="75">
                  <c:v>7.5</c:v>
                </c:pt>
                <c:pt idx="76">
                  <c:v>7.6</c:v>
                </c:pt>
                <c:pt idx="77">
                  <c:v>7.7</c:v>
                </c:pt>
                <c:pt idx="78">
                  <c:v>7.8</c:v>
                </c:pt>
                <c:pt idx="79">
                  <c:v>7.9</c:v>
                </c:pt>
                <c:pt idx="80">
                  <c:v>8</c:v>
                </c:pt>
              </c:numCache>
            </c:numRef>
          </c:cat>
          <c:val>
            <c:numRef>
              <c:f>'Carbonate acidity'!$P$6:$P$86</c:f>
              <c:numCache>
                <c:formatCode>_(* #,##0.00_);_(* \(#,##0.00\);_(* "-"_);_(@_)</c:formatCode>
                <c:ptCount val="81"/>
                <c:pt idx="0">
                  <c:v>2.1945448237872824E-3</c:v>
                </c:pt>
                <c:pt idx="1">
                  <c:v>2.7609955813688429E-3</c:v>
                </c:pt>
                <c:pt idx="2">
                  <c:v>3.4730820836315181E-3</c:v>
                </c:pt>
                <c:pt idx="3">
                  <c:v>4.3679131059400321E-3</c:v>
                </c:pt>
                <c:pt idx="4">
                  <c:v>5.491858861215288E-3</c:v>
                </c:pt>
                <c:pt idx="5">
                  <c:v>6.9027499988667217E-3</c:v>
                </c:pt>
                <c:pt idx="6">
                  <c:v>8.6725334040106405E-3</c:v>
                </c:pt>
                <c:pt idx="7">
                  <c:v>1.0890440941686693E-2</c:v>
                </c:pt>
                <c:pt idx="8">
                  <c:v>1.3666709035443919E-2</c:v>
                </c:pt>
                <c:pt idx="9">
                  <c:v>1.7136848124912913E-2</c:v>
                </c:pt>
                <c:pt idx="10">
                  <c:v>2.1466389999173774E-2</c:v>
                </c:pt>
                <c:pt idx="11">
                  <c:v>2.6855922009347645E-2</c:v>
                </c:pt>
                <c:pt idx="12">
                  <c:v>3.354603059091632E-2</c:v>
                </c:pt>
                <c:pt idx="13">
                  <c:v>4.1821501126829683E-2</c:v>
                </c:pt>
                <c:pt idx="14">
                  <c:v>5.2013740449760044E-2</c:v>
                </c:pt>
                <c:pt idx="15">
                  <c:v>6.4499903806676695E-2</c:v>
                </c:pt>
                <c:pt idx="16">
                  <c:v>7.9696663117374528E-2</c:v>
                </c:pt>
                <c:pt idx="17">
                  <c:v>9.8046067513497731E-2</c:v>
                </c:pt>
                <c:pt idx="18">
                  <c:v>0.11999075627813741</c:v>
                </c:pt>
                <c:pt idx="19">
                  <c:v>0.14593626264198922</c:v>
                </c:pt>
                <c:pt idx="20">
                  <c:v>0.17619976487675312</c:v>
                </c:pt>
                <c:pt idx="21">
                  <c:v>0.21094779250843551</c:v>
                </c:pt>
                <c:pt idx="22">
                  <c:v>0.25013004935443101</c:v>
                </c:pt>
                <c:pt idx="23">
                  <c:v>0.29342176507274753</c:v>
                </c:pt>
                <c:pt idx="24">
                  <c:v>0.340190791524554</c:v>
                </c:pt>
                <c:pt idx="25">
                  <c:v>0.389505257055829</c:v>
                </c:pt>
                <c:pt idx="26">
                  <c:v>0.44019089429480818</c:v>
                </c:pt>
                <c:pt idx="27">
                  <c:v>0.49093466458234275</c:v>
                </c:pt>
                <c:pt idx="28">
                  <c:v>0.54041707458718125</c:v>
                </c:pt>
                <c:pt idx="29">
                  <c:v>0.58744582401313628</c:v>
                </c:pt>
                <c:pt idx="30">
                  <c:v>0.63106295221927855</c:v>
                </c:pt>
                <c:pt idx="31">
                  <c:v>0.67060670728056671</c:v>
                </c:pt>
                <c:pt idx="32">
                  <c:v>0.70572344503505424</c:v>
                </c:pt>
                <c:pt idx="33">
                  <c:v>0.73633773472578168</c:v>
                </c:pt>
                <c:pt idx="34">
                  <c:v>0.76259614602595616</c:v>
                </c:pt>
                <c:pt idx="35">
                  <c:v>0.78480110733884922</c:v>
                </c:pt>
                <c:pt idx="36">
                  <c:v>0.80334768557399339</c:v>
                </c:pt>
                <c:pt idx="37">
                  <c:v>0.81867091607123299</c:v>
                </c:pt>
                <c:pt idx="38">
                  <c:v>0.83120654637153046</c:v>
                </c:pt>
                <c:pt idx="39">
                  <c:v>0.8413647546866595</c:v>
                </c:pt>
                <c:pt idx="40">
                  <c:v>0.8495146552082008</c:v>
                </c:pt>
                <c:pt idx="41">
                  <c:v>0.85597683571207528</c:v>
                </c:pt>
                <c:pt idx="42">
                  <c:v>0.86102131509746049</c:v>
                </c:pt>
                <c:pt idx="43">
                  <c:v>0.86486877335161039</c:v>
                </c:pt>
                <c:pt idx="44">
                  <c:v>0.86769344601429588</c:v>
                </c:pt>
                <c:pt idx="45">
                  <c:v>0.86962656124822957</c:v>
                </c:pt>
                <c:pt idx="46">
                  <c:v>0.87075958224880656</c:v>
                </c:pt>
                <c:pt idx="47">
                  <c:v>0.87114679805479622</c:v>
                </c:pt>
                <c:pt idx="48">
                  <c:v>0.87080699966967023</c:v>
                </c:pt>
                <c:pt idx="49">
                  <c:v>0.86972411060651933</c:v>
                </c:pt>
                <c:pt idx="50">
                  <c:v>0.86784673714359128</c:v>
                </c:pt>
                <c:pt idx="51">
                  <c:v>0.8650866883213344</c:v>
                </c:pt>
                <c:pt idx="52">
                  <c:v>0.86131661301201778</c:v>
                </c:pt>
                <c:pt idx="53">
                  <c:v>0.85636703563461269</c:v>
                </c:pt>
                <c:pt idx="54">
                  <c:v>0.85002326830515673</c:v>
                </c:pt>
                <c:pt idx="55">
                  <c:v>0.84202295896152879</c:v>
                </c:pt>
                <c:pt idx="56">
                  <c:v>0.83205541758818224</c:v>
                </c:pt>
                <c:pt idx="57">
                  <c:v>0.81976433877381083</c:v>
                </c:pt>
                <c:pt idx="58">
                  <c:v>0.8047560537243228</c:v>
                </c:pt>
                <c:pt idx="59">
                  <c:v>0.78661586126248983</c:v>
                </c:pt>
                <c:pt idx="60">
                  <c:v>0.76493504902955001</c:v>
                </c:pt>
                <c:pt idx="61">
                  <c:v>0.73935053658609984</c:v>
                </c:pt>
                <c:pt idx="62">
                  <c:v>0.70959719926153764</c:v>
                </c:pt>
                <c:pt idx="63">
                  <c:v>0.67556955181072664</c:v>
                </c:pt>
                <c:pt idx="64">
                  <c:v>0.63738477825425632</c:v>
                </c:pt>
                <c:pt idx="65">
                  <c:v>0.59543421185119161</c:v>
                </c:pt>
                <c:pt idx="66">
                  <c:v>0.55040748634093783</c:v>
                </c:pt>
                <c:pt idx="67">
                  <c:v>0.50327533923730317</c:v>
                </c:pt>
                <c:pt idx="68">
                  <c:v>0.4552250168929286</c:v>
                </c:pt>
                <c:pt idx="69">
                  <c:v>0.40755514657198744</c:v>
                </c:pt>
                <c:pt idx="70">
                  <c:v>0.36155025315584555</c:v>
                </c:pt>
                <c:pt idx="71">
                  <c:v>0.31836295240116719</c:v>
                </c:pt>
                <c:pt idx="72">
                  <c:v>0.27893072129651358</c:v>
                </c:pt>
                <c:pt idx="73">
                  <c:v>0.24394551736967432</c:v>
                </c:pt>
                <c:pt idx="74">
                  <c:v>0.21388471291736139</c:v>
                </c:pt>
                <c:pt idx="75">
                  <c:v>0.18911026915069212</c:v>
                </c:pt>
                <c:pt idx="76">
                  <c:v>0.17006483940626099</c:v>
                </c:pt>
                <c:pt idx="77">
                  <c:v>0.15768227560374226</c:v>
                </c:pt>
                <c:pt idx="78">
                  <c:v>0.15448760750890422</c:v>
                </c:pt>
                <c:pt idx="79">
                  <c:v>0.16881134410483797</c:v>
                </c:pt>
                <c:pt idx="80">
                  <c:v>0.24399475347636634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949-DA4F-894E-D731DC0427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52651648"/>
        <c:axId val="1268154384"/>
      </c:lineChart>
      <c:catAx>
        <c:axId val="122464875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US"/>
                  <a:t>pH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224652384"/>
        <c:crossesAt val="1.0000000000000004E-5"/>
        <c:auto val="1"/>
        <c:lblAlgn val="ctr"/>
        <c:lblOffset val="100"/>
        <c:tickLblSkip val="10"/>
        <c:tickMarkSkip val="10"/>
        <c:noMultiLvlLbl val="0"/>
      </c:catAx>
      <c:valAx>
        <c:axId val="1224652384"/>
        <c:scaling>
          <c:orientation val="minMax"/>
          <c:max val="3.0000000000000009E-3"/>
          <c:min val="1.0000000000000004E-5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chemeClr val="accent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US">
                    <a:solidFill>
                      <a:schemeClr val="accent1"/>
                    </a:solidFill>
                  </a:rPr>
                  <a:t>CO</a:t>
                </a:r>
                <a:r>
                  <a:rPr lang="en-US" baseline="-25000">
                    <a:solidFill>
                      <a:schemeClr val="accent1"/>
                    </a:solidFill>
                  </a:rPr>
                  <a:t>2</a:t>
                </a:r>
                <a:r>
                  <a:rPr lang="en-US">
                    <a:solidFill>
                      <a:schemeClr val="accent1"/>
                    </a:solidFill>
                  </a:rPr>
                  <a:t> Concentration [M]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chemeClr val="accent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0.00E+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224648752"/>
        <c:crosses val="autoZero"/>
        <c:crossBetween val="midCat"/>
      </c:valAx>
      <c:valAx>
        <c:axId val="1268154384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chemeClr val="accent2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US">
                    <a:solidFill>
                      <a:schemeClr val="accent2"/>
                    </a:solidFill>
                  </a:rPr>
                  <a:t>Extractable CO</a:t>
                </a:r>
                <a:r>
                  <a:rPr lang="en-US" baseline="-25000">
                    <a:solidFill>
                      <a:schemeClr val="accent2"/>
                    </a:solidFill>
                  </a:rPr>
                  <a:t>2</a:t>
                </a:r>
                <a:r>
                  <a:rPr lang="en-US">
                    <a:solidFill>
                      <a:schemeClr val="accent2"/>
                    </a:solidFill>
                  </a:rPr>
                  <a:t>/H</a:t>
                </a:r>
                <a:r>
                  <a:rPr lang="en-US" baseline="30000">
                    <a:solidFill>
                      <a:schemeClr val="accent2"/>
                    </a:solidFill>
                  </a:rPr>
                  <a:t>+</a:t>
                </a:r>
                <a:r>
                  <a:rPr lang="en-US">
                    <a:solidFill>
                      <a:schemeClr val="accent2"/>
                    </a:solidFill>
                  </a:rPr>
                  <a:t> Added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chemeClr val="accent2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_(* #,##0.00_);_(* \(#,##0.00\);_(* &quot;-&quot;_);_(@_)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252651648"/>
        <c:crosses val="max"/>
        <c:crossBetween val="between"/>
      </c:valAx>
      <c:catAx>
        <c:axId val="125265164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26815438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400">
          <a:solidFill>
            <a:schemeClr val="tx1"/>
          </a:solidFill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US" sz="1600"/>
              <a:t>Oceanwater Volume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'Carbonate acidity'!$A$5</c:f>
              <c:strCache>
                <c:ptCount val="1"/>
                <c:pt idx="0">
                  <c:v>CO₂</c:v>
                </c:pt>
              </c:strCache>
            </c:strRef>
          </c:tx>
          <c:spPr>
            <a:ln w="317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'Carbonate acidity'!$F$6:$F$86</c:f>
              <c:numCache>
                <c:formatCode>General</c:formatCode>
                <c:ptCount val="8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2.2999999999999998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</c:v>
                </c:pt>
                <c:pt idx="34">
                  <c:v>3.4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</c:v>
                </c:pt>
                <c:pt idx="39">
                  <c:v>3.9</c:v>
                </c:pt>
                <c:pt idx="40">
                  <c:v>4</c:v>
                </c:pt>
                <c:pt idx="41">
                  <c:v>4.0999999999999996</c:v>
                </c:pt>
                <c:pt idx="42">
                  <c:v>4.2</c:v>
                </c:pt>
                <c:pt idx="43">
                  <c:v>4.3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4.7</c:v>
                </c:pt>
                <c:pt idx="48">
                  <c:v>4.8</c:v>
                </c:pt>
                <c:pt idx="49">
                  <c:v>4.9000000000000004</c:v>
                </c:pt>
                <c:pt idx="50">
                  <c:v>5</c:v>
                </c:pt>
                <c:pt idx="51">
                  <c:v>5.0999999999999996</c:v>
                </c:pt>
                <c:pt idx="52">
                  <c:v>5.2</c:v>
                </c:pt>
                <c:pt idx="53">
                  <c:v>5.3</c:v>
                </c:pt>
                <c:pt idx="54">
                  <c:v>5.4</c:v>
                </c:pt>
                <c:pt idx="55">
                  <c:v>5.5</c:v>
                </c:pt>
                <c:pt idx="56">
                  <c:v>5.6</c:v>
                </c:pt>
                <c:pt idx="57">
                  <c:v>5.7</c:v>
                </c:pt>
                <c:pt idx="58">
                  <c:v>5.8</c:v>
                </c:pt>
                <c:pt idx="59">
                  <c:v>5.9</c:v>
                </c:pt>
                <c:pt idx="60">
                  <c:v>6</c:v>
                </c:pt>
                <c:pt idx="61">
                  <c:v>6.1</c:v>
                </c:pt>
                <c:pt idx="62">
                  <c:v>6.2</c:v>
                </c:pt>
                <c:pt idx="63">
                  <c:v>6.3</c:v>
                </c:pt>
                <c:pt idx="64">
                  <c:v>6.4</c:v>
                </c:pt>
                <c:pt idx="65">
                  <c:v>6.5</c:v>
                </c:pt>
                <c:pt idx="66">
                  <c:v>6.6</c:v>
                </c:pt>
                <c:pt idx="67">
                  <c:v>6.7</c:v>
                </c:pt>
                <c:pt idx="68">
                  <c:v>6.8</c:v>
                </c:pt>
                <c:pt idx="69">
                  <c:v>6.9</c:v>
                </c:pt>
                <c:pt idx="70">
                  <c:v>7</c:v>
                </c:pt>
                <c:pt idx="71">
                  <c:v>7.1</c:v>
                </c:pt>
                <c:pt idx="72">
                  <c:v>7.2</c:v>
                </c:pt>
                <c:pt idx="73">
                  <c:v>7.3</c:v>
                </c:pt>
                <c:pt idx="74">
                  <c:v>7.4</c:v>
                </c:pt>
                <c:pt idx="75">
                  <c:v>7.5</c:v>
                </c:pt>
                <c:pt idx="76">
                  <c:v>7.6</c:v>
                </c:pt>
                <c:pt idx="77">
                  <c:v>7.7</c:v>
                </c:pt>
                <c:pt idx="78">
                  <c:v>7.8</c:v>
                </c:pt>
                <c:pt idx="79">
                  <c:v>7.9</c:v>
                </c:pt>
                <c:pt idx="80">
                  <c:v>8</c:v>
                </c:pt>
              </c:numCache>
            </c:numRef>
          </c:cat>
          <c:val>
            <c:numRef>
              <c:f>'Carbonate acidity'!$A$6:$A$86</c:f>
              <c:numCache>
                <c:formatCode>0.00E+00</c:formatCode>
                <c:ptCount val="81"/>
                <c:pt idx="0">
                  <c:v>2.1999969631588063E-3</c:v>
                </c:pt>
                <c:pt idx="1">
                  <c:v>2.1999961768448149E-3</c:v>
                </c:pt>
                <c:pt idx="2">
                  <c:v>2.1999951869349482E-3</c:v>
                </c:pt>
                <c:pt idx="3">
                  <c:v>2.199993940713527E-3</c:v>
                </c:pt>
                <c:pt idx="4">
                  <c:v>2.1999923718157171E-3</c:v>
                </c:pt>
                <c:pt idx="5">
                  <c:v>2.1999903966935744E-3</c:v>
                </c:pt>
                <c:pt idx="6">
                  <c:v>2.1999879101671565E-3</c:v>
                </c:pt>
                <c:pt idx="7">
                  <c:v>2.199984779823846E-3</c:v>
                </c:pt>
                <c:pt idx="8">
                  <c:v>2.199980838967761E-3</c:v>
                </c:pt>
                <c:pt idx="9">
                  <c:v>2.1999758777439494E-3</c:v>
                </c:pt>
                <c:pt idx="10">
                  <c:v>2.1999696319650094E-3</c:v>
                </c:pt>
                <c:pt idx="11">
                  <c:v>2.1999617690455667E-3</c:v>
                </c:pt>
                <c:pt idx="12">
                  <c:v>2.1999518702963197E-3</c:v>
                </c:pt>
                <c:pt idx="13">
                  <c:v>2.1999394086358983E-3</c:v>
                </c:pt>
                <c:pt idx="14">
                  <c:v>2.1999237205354871E-3</c:v>
                </c:pt>
                <c:pt idx="15">
                  <c:v>2.1999039707050871E-3</c:v>
                </c:pt>
                <c:pt idx="16">
                  <c:v>2.1998791076454942E-3</c:v>
                </c:pt>
                <c:pt idx="17">
                  <c:v>2.1998478077063619E-3</c:v>
                </c:pt>
                <c:pt idx="18">
                  <c:v>2.1998084046829301E-3</c:v>
                </c:pt>
                <c:pt idx="19">
                  <c:v>2.1997588012207347E-3</c:v>
                </c:pt>
                <c:pt idx="20">
                  <c:v>2.1996963573396367E-3</c:v>
                </c:pt>
                <c:pt idx="21">
                  <c:v>2.1996177501872236E-3</c:v>
                </c:pt>
                <c:pt idx="22">
                  <c:v>2.1995187976266489E-3</c:v>
                </c:pt>
                <c:pt idx="23">
                  <c:v>2.1993942363811077E-3</c:v>
                </c:pt>
                <c:pt idx="24">
                  <c:v>2.1992374431052918E-3</c:v>
                </c:pt>
                <c:pt idx="25">
                  <c:v>2.1990400838227311E-3</c:v>
                </c:pt>
                <c:pt idx="26">
                  <c:v>2.19879167352396E-3</c:v>
                </c:pt>
                <c:pt idx="27">
                  <c:v>2.1984790232063515E-3</c:v>
                </c:pt>
                <c:pt idx="28">
                  <c:v>2.1980855460695041E-3</c:v>
                </c:pt>
                <c:pt idx="29">
                  <c:v>2.1975903877546137E-3</c:v>
                </c:pt>
                <c:pt idx="30">
                  <c:v>2.1969673372118081E-3</c:v>
                </c:pt>
                <c:pt idx="31">
                  <c:v>2.1961834647782714E-3</c:v>
                </c:pt>
                <c:pt idx="32">
                  <c:v>2.1951974221716738E-3</c:v>
                </c:pt>
                <c:pt idx="33">
                  <c:v>2.1939573252655223E-3</c:v>
                </c:pt>
                <c:pt idx="34">
                  <c:v>2.1923981248353395E-3</c:v>
                </c:pt>
                <c:pt idx="35">
                  <c:v>2.1904383534395474E-3</c:v>
                </c:pt>
                <c:pt idx="36">
                  <c:v>2.1879761193642142E-3</c:v>
                </c:pt>
                <c:pt idx="37">
                  <c:v>2.1848842033215729E-3</c:v>
                </c:pt>
                <c:pt idx="38">
                  <c:v>2.1810041042589446E-3</c:v>
                </c:pt>
                <c:pt idx="39">
                  <c:v>2.1761388837521494E-3</c:v>
                </c:pt>
                <c:pt idx="40">
                  <c:v>2.1700446845025019E-3</c:v>
                </c:pt>
                <c:pt idx="41">
                  <c:v>2.1624208635377534E-3</c:v>
                </c:pt>
                <c:pt idx="42">
                  <c:v>2.1528988085856961E-3</c:v>
                </c:pt>
                <c:pt idx="43">
                  <c:v>2.141029730063279E-3</c:v>
                </c:pt>
                <c:pt idx="44">
                  <c:v>2.1262720849265422E-3</c:v>
                </c:pt>
                <c:pt idx="45">
                  <c:v>2.1079798440281077E-3</c:v>
                </c:pt>
                <c:pt idx="46">
                  <c:v>2.0853936120648116E-3</c:v>
                </c:pt>
                <c:pt idx="47">
                  <c:v>2.0576376752703424E-3</c:v>
                </c:pt>
                <c:pt idx="48">
                  <c:v>2.0237273459352174E-3</c:v>
                </c:pt>
                <c:pt idx="49">
                  <c:v>1.9825923151676416E-3</c:v>
                </c:pt>
                <c:pt idx="50">
                  <c:v>1.9331227021845191E-3</c:v>
                </c:pt>
                <c:pt idx="51">
                  <c:v>1.8742443618246834E-3</c:v>
                </c:pt>
                <c:pt idx="52">
                  <c:v>1.8050277169828191E-3</c:v>
                </c:pt>
                <c:pt idx="53">
                  <c:v>1.7248287551237652E-3</c:v>
                </c:pt>
                <c:pt idx="54">
                  <c:v>1.6334512239120592E-3</c:v>
                </c:pt>
                <c:pt idx="55">
                  <c:v>1.5313063852326642E-3</c:v>
                </c:pt>
                <c:pt idx="56">
                  <c:v>1.4195344321095284E-3</c:v>
                </c:pt>
                <c:pt idx="57">
                  <c:v>1.3000459788483805E-3</c:v>
                </c:pt>
                <c:pt idx="58">
                  <c:v>1.1754495918372394E-3</c:v>
                </c:pt>
                <c:pt idx="59">
                  <c:v>1.0488550360286349E-3</c:v>
                </c:pt>
                <c:pt idx="60">
                  <c:v>9.2357661619247905E-4</c:v>
                </c:pt>
                <c:pt idx="61">
                  <c:v>8.0279340086896888E-4</c:v>
                </c:pt>
                <c:pt idx="62">
                  <c:v>6.8923810389669702E-4</c:v>
                </c:pt>
                <c:pt idx="63">
                  <c:v>5.8497637543029673E-4</c:v>
                </c:pt>
                <c:pt idx="64">
                  <c:v>4.9130833240399114E-4</c:v>
                </c:pt>
                <c:pt idx="65">
                  <c:v>4.0878864432056396E-4</c:v>
                </c:pt>
                <c:pt idx="66">
                  <c:v>3.3733476672410403E-4</c:v>
                </c:pt>
                <c:pt idx="67">
                  <c:v>2.7638202594983466E-4</c:v>
                </c:pt>
                <c:pt idx="68">
                  <c:v>2.2504770193116453E-4</c:v>
                </c:pt>
                <c:pt idx="69">
                  <c:v>1.822777202771047E-4</c:v>
                </c:pt>
                <c:pt idx="70">
                  <c:v>1.4696253814643553E-4</c:v>
                </c:pt>
                <c:pt idx="71">
                  <c:v>1.1801919741954853E-4</c:v>
                </c:pt>
                <c:pt idx="72">
                  <c:v>9.4442952534270049E-5</c:v>
                </c:pt>
                <c:pt idx="73">
                  <c:v>7.5334776236351584E-5</c:v>
                </c:pt>
                <c:pt idx="74">
                  <c:v>5.9911526589954445E-5</c:v>
                </c:pt>
                <c:pt idx="75">
                  <c:v>4.7504737922952585E-5</c:v>
                </c:pt>
                <c:pt idx="76">
                  <c:v>3.7552687672637762E-5</c:v>
                </c:pt>
                <c:pt idx="77">
                  <c:v>2.9589065341706825E-5</c:v>
                </c:pt>
                <c:pt idx="78">
                  <c:v>2.3230448691468968E-5</c:v>
                </c:pt>
                <c:pt idx="79">
                  <c:v>1.8163938697182073E-5</c:v>
                </c:pt>
                <c:pt idx="80">
                  <c:v>1.4135701854415529E-5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760C-844D-B6D5-5F3233F5B921}"/>
            </c:ext>
          </c:extLst>
        </c:ser>
        <c:ser>
          <c:idx val="5"/>
          <c:order val="1"/>
          <c:tx>
            <c:strRef>
              <c:f>'Carbonate acidity'!$R$5</c:f>
              <c:strCache>
                <c:ptCount val="1"/>
                <c:pt idx="0">
                  <c:v>L OW/kg CO2</c:v>
                </c:pt>
              </c:strCache>
            </c:strRef>
          </c:tx>
          <c:spPr>
            <a:ln w="317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'Carbonate acidity'!$F$6:$F$86</c:f>
              <c:numCache>
                <c:formatCode>General</c:formatCode>
                <c:ptCount val="8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2.2999999999999998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</c:v>
                </c:pt>
                <c:pt idx="34">
                  <c:v>3.4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</c:v>
                </c:pt>
                <c:pt idx="39">
                  <c:v>3.9</c:v>
                </c:pt>
                <c:pt idx="40">
                  <c:v>4</c:v>
                </c:pt>
                <c:pt idx="41">
                  <c:v>4.0999999999999996</c:v>
                </c:pt>
                <c:pt idx="42">
                  <c:v>4.2</c:v>
                </c:pt>
                <c:pt idx="43">
                  <c:v>4.3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4.7</c:v>
                </c:pt>
                <c:pt idx="48">
                  <c:v>4.8</c:v>
                </c:pt>
                <c:pt idx="49">
                  <c:v>4.9000000000000004</c:v>
                </c:pt>
                <c:pt idx="50">
                  <c:v>5</c:v>
                </c:pt>
                <c:pt idx="51">
                  <c:v>5.0999999999999996</c:v>
                </c:pt>
                <c:pt idx="52">
                  <c:v>5.2</c:v>
                </c:pt>
                <c:pt idx="53">
                  <c:v>5.3</c:v>
                </c:pt>
                <c:pt idx="54">
                  <c:v>5.4</c:v>
                </c:pt>
                <c:pt idx="55">
                  <c:v>5.5</c:v>
                </c:pt>
                <c:pt idx="56">
                  <c:v>5.6</c:v>
                </c:pt>
                <c:pt idx="57">
                  <c:v>5.7</c:v>
                </c:pt>
                <c:pt idx="58">
                  <c:v>5.8</c:v>
                </c:pt>
                <c:pt idx="59">
                  <c:v>5.9</c:v>
                </c:pt>
                <c:pt idx="60">
                  <c:v>6</c:v>
                </c:pt>
                <c:pt idx="61">
                  <c:v>6.1</c:v>
                </c:pt>
                <c:pt idx="62">
                  <c:v>6.2</c:v>
                </c:pt>
                <c:pt idx="63">
                  <c:v>6.3</c:v>
                </c:pt>
                <c:pt idx="64">
                  <c:v>6.4</c:v>
                </c:pt>
                <c:pt idx="65">
                  <c:v>6.5</c:v>
                </c:pt>
                <c:pt idx="66">
                  <c:v>6.6</c:v>
                </c:pt>
                <c:pt idx="67">
                  <c:v>6.7</c:v>
                </c:pt>
                <c:pt idx="68">
                  <c:v>6.8</c:v>
                </c:pt>
                <c:pt idx="69">
                  <c:v>6.9</c:v>
                </c:pt>
                <c:pt idx="70">
                  <c:v>7</c:v>
                </c:pt>
                <c:pt idx="71">
                  <c:v>7.1</c:v>
                </c:pt>
                <c:pt idx="72">
                  <c:v>7.2</c:v>
                </c:pt>
                <c:pt idx="73">
                  <c:v>7.3</c:v>
                </c:pt>
                <c:pt idx="74">
                  <c:v>7.4</c:v>
                </c:pt>
                <c:pt idx="75">
                  <c:v>7.5</c:v>
                </c:pt>
                <c:pt idx="76">
                  <c:v>7.6</c:v>
                </c:pt>
                <c:pt idx="77">
                  <c:v>7.7</c:v>
                </c:pt>
                <c:pt idx="78">
                  <c:v>7.8</c:v>
                </c:pt>
                <c:pt idx="79">
                  <c:v>7.9</c:v>
                </c:pt>
                <c:pt idx="80">
                  <c:v>8</c:v>
                </c:pt>
              </c:numCache>
            </c:numRef>
          </c:cat>
          <c:val>
            <c:numRef>
              <c:f>'Carbonate acidity'!$R$6:$R$86</c:f>
              <c:numCache>
                <c:formatCode>0.00E+00</c:formatCode>
                <c:ptCount val="81"/>
                <c:pt idx="0">
                  <c:v>11478.436413960815</c:v>
                </c:pt>
                <c:pt idx="1">
                  <c:v>11478.440516538469</c:v>
                </c:pt>
                <c:pt idx="2">
                  <c:v>11478.445681377734</c:v>
                </c:pt>
                <c:pt idx="3">
                  <c:v>11478.452183525136</c:v>
                </c:pt>
                <c:pt idx="4">
                  <c:v>11478.460369243743</c:v>
                </c:pt>
                <c:pt idx="5">
                  <c:v>11478.470674452927</c:v>
                </c:pt>
                <c:pt idx="6">
                  <c:v>11478.483647942661</c:v>
                </c:pt>
                <c:pt idx="7">
                  <c:v>11478.49998059861</c:v>
                </c:pt>
                <c:pt idx="8">
                  <c:v>11478.520542194283</c:v>
                </c:pt>
                <c:pt idx="9">
                  <c:v>11478.546427709669</c:v>
                </c:pt>
                <c:pt idx="10">
                  <c:v>11478.57901564293</c:v>
                </c:pt>
                <c:pt idx="11">
                  <c:v>11478.620041420463</c:v>
                </c:pt>
                <c:pt idx="12">
                  <c:v>11478.671689814695</c:v>
                </c:pt>
                <c:pt idx="13">
                  <c:v>11478.736711291253</c:v>
                </c:pt>
                <c:pt idx="14">
                  <c:v>11478.818568481318</c:v>
                </c:pt>
                <c:pt idx="15">
                  <c:v>11478.921620579473</c:v>
                </c:pt>
                <c:pt idx="16">
                  <c:v>11479.05135548687</c:v>
                </c:pt>
                <c:pt idx="17">
                  <c:v>11479.214682062218</c:v>
                </c:pt>
                <c:pt idx="18">
                  <c:v>11479.420298044108</c:v>
                </c:pt>
                <c:pt idx="19">
                  <c:v>11479.679153237896</c:v>
                </c:pt>
                <c:pt idx="20">
                  <c:v>11480.005032633793</c:v>
                </c:pt>
                <c:pt idx="21">
                  <c:v>11480.415290509385</c:v>
                </c:pt>
                <c:pt idx="22">
                  <c:v>11480.931774610672</c:v>
                </c:pt>
                <c:pt idx="23">
                  <c:v>11481.581989628135</c:v>
                </c:pt>
                <c:pt idx="24">
                  <c:v>11482.40056192798</c:v>
                </c:pt>
                <c:pt idx="25">
                  <c:v>11483.431083542227</c:v>
                </c:pt>
                <c:pt idx="26">
                  <c:v>11484.728433618966</c:v>
                </c:pt>
                <c:pt idx="27">
                  <c:v>11486.361700961761</c:v>
                </c:pt>
                <c:pt idx="28">
                  <c:v>11488.417863299468</c:v>
                </c:pt>
                <c:pt idx="29">
                  <c:v>11491.006419229474</c:v>
                </c:pt>
                <c:pt idx="30">
                  <c:v>11494.265219515493</c:v>
                </c:pt>
                <c:pt idx="31">
                  <c:v>11498.367808299099</c:v>
                </c:pt>
                <c:pt idx="32">
                  <c:v>11503.532665204815</c:v>
                </c:pt>
                <c:pt idx="33">
                  <c:v>11510.034840567869</c:v>
                </c:pt>
                <c:pt idx="34">
                  <c:v>11518.220603487267</c:v>
                </c:pt>
                <c:pt idx="35">
                  <c:v>11528.525882900261</c:v>
                </c:pt>
                <c:pt idx="36">
                  <c:v>11541.499483944632</c:v>
                </c:pt>
                <c:pt idx="37">
                  <c:v>11557.832316300823</c:v>
                </c:pt>
                <c:pt idx="38">
                  <c:v>11578.394191562278</c:v>
                </c:pt>
                <c:pt idx="39">
                  <c:v>11604.28015007216</c:v>
                </c:pt>
                <c:pt idx="40">
                  <c:v>11636.868785637274</c:v>
                </c:pt>
                <c:pt idx="41">
                  <c:v>11677.895676243032</c:v>
                </c:pt>
                <c:pt idx="42">
                  <c:v>11729.545834583094</c:v>
                </c:pt>
                <c:pt idx="43">
                  <c:v>11794.570107057274</c:v>
                </c:pt>
                <c:pt idx="44">
                  <c:v>11876.431728349418</c:v>
                </c:pt>
                <c:pt idx="45">
                  <c:v>11979.490849528511</c:v>
                </c:pt>
                <c:pt idx="46">
                  <c:v>12109.236887669356</c:v>
                </c:pt>
                <c:pt idx="47">
                  <c:v>12272.581104060246</c:v>
                </c:pt>
                <c:pt idx="48">
                  <c:v>12478.225045111205</c:v>
                </c:pt>
                <c:pt idx="49">
                  <c:v>12737.124551191446</c:v>
                </c:pt>
                <c:pt idx="50">
                  <c:v>13063.074177334278</c:v>
                </c:pt>
                <c:pt idx="51">
                  <c:v>13473.443360363366</c:v>
                </c:pt>
                <c:pt idx="52">
                  <c:v>13990.103872053514</c:v>
                </c:pt>
                <c:pt idx="53">
                  <c:v>14640.598481159515</c:v>
                </c:pt>
                <c:pt idx="54">
                  <c:v>15459.613903895048</c:v>
                </c:pt>
                <c:pt idx="55">
                  <c:v>16490.837820602719</c:v>
                </c:pt>
                <c:pt idx="56">
                  <c:v>17789.300971726498</c:v>
                </c:pt>
                <c:pt idx="57">
                  <c:v>19424.332418530837</c:v>
                </c:pt>
                <c:pt idx="58">
                  <c:v>21483.29067268236</c:v>
                </c:pt>
                <c:pt idx="59">
                  <c:v>24076.277831625754</c:v>
                </c:pt>
                <c:pt idx="60">
                  <c:v>27342.101142221291</c:v>
                </c:pt>
                <c:pt idx="61">
                  <c:v>31455.820669665602</c:v>
                </c:pt>
                <c:pt idx="62">
                  <c:v>36638.318615521734</c:v>
                </c:pt>
                <c:pt idx="63">
                  <c:v>43168.453143000879</c:v>
                </c:pt>
                <c:pt idx="64">
                  <c:v>51398.528351765679</c:v>
                </c:pt>
                <c:pt idx="65">
                  <c:v>61774.038010514603</c:v>
                </c:pt>
                <c:pt idx="66">
                  <c:v>74858.946493287294</c:v>
                </c:pt>
                <c:pt idx="67">
                  <c:v>91368.189250876865</c:v>
                </c:pt>
                <c:pt idx="68">
                  <c:v>112209.65615658344</c:v>
                </c:pt>
                <c:pt idx="69">
                  <c:v>138538.73756011168</c:v>
                </c:pt>
                <c:pt idx="70">
                  <c:v>171829.67558278888</c:v>
                </c:pt>
                <c:pt idx="71">
                  <c:v>213969.64057258083</c:v>
                </c:pt>
                <c:pt idx="72">
                  <c:v>267383.90292660531</c:v>
                </c:pt>
                <c:pt idx="73">
                  <c:v>335204.09184331069</c:v>
                </c:pt>
                <c:pt idx="74">
                  <c:v>421496.94207190216</c:v>
                </c:pt>
                <c:pt idx="75">
                  <c:v>531579.08782660903</c:v>
                </c:pt>
                <c:pt idx="76">
                  <c:v>672455.86980782601</c:v>
                </c:pt>
                <c:pt idx="77">
                  <c:v>853441.12633834826</c:v>
                </c:pt>
                <c:pt idx="78">
                  <c:v>1087044.2318145523</c:v>
                </c:pt>
                <c:pt idx="79">
                  <c:v>1390256.0272592693</c:v>
                </c:pt>
                <c:pt idx="80">
                  <c:v>1786435.8991582152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760C-844D-B6D5-5F3233F5B921}"/>
            </c:ext>
          </c:extLst>
        </c:ser>
        <c:ser>
          <c:idx val="6"/>
          <c:order val="2"/>
          <c:tx>
            <c:strRef>
              <c:f>'Carbonate acidity'!$A$5</c:f>
              <c:strCache>
                <c:ptCount val="1"/>
                <c:pt idx="0">
                  <c:v>CO₂</c:v>
                </c:pt>
              </c:strCache>
            </c:strRef>
          </c:tx>
          <c:spPr>
            <a:ln w="317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'Carbonate acidity'!$F$6:$F$86</c:f>
              <c:numCache>
                <c:formatCode>General</c:formatCode>
                <c:ptCount val="8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2.2999999999999998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</c:v>
                </c:pt>
                <c:pt idx="34">
                  <c:v>3.4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</c:v>
                </c:pt>
                <c:pt idx="39">
                  <c:v>3.9</c:v>
                </c:pt>
                <c:pt idx="40">
                  <c:v>4</c:v>
                </c:pt>
                <c:pt idx="41">
                  <c:v>4.0999999999999996</c:v>
                </c:pt>
                <c:pt idx="42">
                  <c:v>4.2</c:v>
                </c:pt>
                <c:pt idx="43">
                  <c:v>4.3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4.7</c:v>
                </c:pt>
                <c:pt idx="48">
                  <c:v>4.8</c:v>
                </c:pt>
                <c:pt idx="49">
                  <c:v>4.9000000000000004</c:v>
                </c:pt>
                <c:pt idx="50">
                  <c:v>5</c:v>
                </c:pt>
                <c:pt idx="51">
                  <c:v>5.0999999999999996</c:v>
                </c:pt>
                <c:pt idx="52">
                  <c:v>5.2</c:v>
                </c:pt>
                <c:pt idx="53">
                  <c:v>5.3</c:v>
                </c:pt>
                <c:pt idx="54">
                  <c:v>5.4</c:v>
                </c:pt>
                <c:pt idx="55">
                  <c:v>5.5</c:v>
                </c:pt>
                <c:pt idx="56">
                  <c:v>5.6</c:v>
                </c:pt>
                <c:pt idx="57">
                  <c:v>5.7</c:v>
                </c:pt>
                <c:pt idx="58">
                  <c:v>5.8</c:v>
                </c:pt>
                <c:pt idx="59">
                  <c:v>5.9</c:v>
                </c:pt>
                <c:pt idx="60">
                  <c:v>6</c:v>
                </c:pt>
                <c:pt idx="61">
                  <c:v>6.1</c:v>
                </c:pt>
                <c:pt idx="62">
                  <c:v>6.2</c:v>
                </c:pt>
                <c:pt idx="63">
                  <c:v>6.3</c:v>
                </c:pt>
                <c:pt idx="64">
                  <c:v>6.4</c:v>
                </c:pt>
                <c:pt idx="65">
                  <c:v>6.5</c:v>
                </c:pt>
                <c:pt idx="66">
                  <c:v>6.6</c:v>
                </c:pt>
                <c:pt idx="67">
                  <c:v>6.7</c:v>
                </c:pt>
                <c:pt idx="68">
                  <c:v>6.8</c:v>
                </c:pt>
                <c:pt idx="69">
                  <c:v>6.9</c:v>
                </c:pt>
                <c:pt idx="70">
                  <c:v>7</c:v>
                </c:pt>
                <c:pt idx="71">
                  <c:v>7.1</c:v>
                </c:pt>
                <c:pt idx="72">
                  <c:v>7.2</c:v>
                </c:pt>
                <c:pt idx="73">
                  <c:v>7.3</c:v>
                </c:pt>
                <c:pt idx="74">
                  <c:v>7.4</c:v>
                </c:pt>
                <c:pt idx="75">
                  <c:v>7.5</c:v>
                </c:pt>
                <c:pt idx="76">
                  <c:v>7.6</c:v>
                </c:pt>
                <c:pt idx="77">
                  <c:v>7.7</c:v>
                </c:pt>
                <c:pt idx="78">
                  <c:v>7.8</c:v>
                </c:pt>
                <c:pt idx="79">
                  <c:v>7.9</c:v>
                </c:pt>
                <c:pt idx="80">
                  <c:v>8</c:v>
                </c:pt>
              </c:numCache>
            </c:numRef>
          </c:cat>
          <c:val>
            <c:numRef>
              <c:f>'Carbonate acidity'!$A$6:$A$86</c:f>
              <c:numCache>
                <c:formatCode>0.00E+00</c:formatCode>
                <c:ptCount val="81"/>
                <c:pt idx="0">
                  <c:v>2.1999969631588063E-3</c:v>
                </c:pt>
                <c:pt idx="1">
                  <c:v>2.1999961768448149E-3</c:v>
                </c:pt>
                <c:pt idx="2">
                  <c:v>2.1999951869349482E-3</c:v>
                </c:pt>
                <c:pt idx="3">
                  <c:v>2.199993940713527E-3</c:v>
                </c:pt>
                <c:pt idx="4">
                  <c:v>2.1999923718157171E-3</c:v>
                </c:pt>
                <c:pt idx="5">
                  <c:v>2.1999903966935744E-3</c:v>
                </c:pt>
                <c:pt idx="6">
                  <c:v>2.1999879101671565E-3</c:v>
                </c:pt>
                <c:pt idx="7">
                  <c:v>2.199984779823846E-3</c:v>
                </c:pt>
                <c:pt idx="8">
                  <c:v>2.199980838967761E-3</c:v>
                </c:pt>
                <c:pt idx="9">
                  <c:v>2.1999758777439494E-3</c:v>
                </c:pt>
                <c:pt idx="10">
                  <c:v>2.1999696319650094E-3</c:v>
                </c:pt>
                <c:pt idx="11">
                  <c:v>2.1999617690455667E-3</c:v>
                </c:pt>
                <c:pt idx="12">
                  <c:v>2.1999518702963197E-3</c:v>
                </c:pt>
                <c:pt idx="13">
                  <c:v>2.1999394086358983E-3</c:v>
                </c:pt>
                <c:pt idx="14">
                  <c:v>2.1999237205354871E-3</c:v>
                </c:pt>
                <c:pt idx="15">
                  <c:v>2.1999039707050871E-3</c:v>
                </c:pt>
                <c:pt idx="16">
                  <c:v>2.1998791076454942E-3</c:v>
                </c:pt>
                <c:pt idx="17">
                  <c:v>2.1998478077063619E-3</c:v>
                </c:pt>
                <c:pt idx="18">
                  <c:v>2.1998084046829301E-3</c:v>
                </c:pt>
                <c:pt idx="19">
                  <c:v>2.1997588012207347E-3</c:v>
                </c:pt>
                <c:pt idx="20">
                  <c:v>2.1996963573396367E-3</c:v>
                </c:pt>
                <c:pt idx="21">
                  <c:v>2.1996177501872236E-3</c:v>
                </c:pt>
                <c:pt idx="22">
                  <c:v>2.1995187976266489E-3</c:v>
                </c:pt>
                <c:pt idx="23">
                  <c:v>2.1993942363811077E-3</c:v>
                </c:pt>
                <c:pt idx="24">
                  <c:v>2.1992374431052918E-3</c:v>
                </c:pt>
                <c:pt idx="25">
                  <c:v>2.1990400838227311E-3</c:v>
                </c:pt>
                <c:pt idx="26">
                  <c:v>2.19879167352396E-3</c:v>
                </c:pt>
                <c:pt idx="27">
                  <c:v>2.1984790232063515E-3</c:v>
                </c:pt>
                <c:pt idx="28">
                  <c:v>2.1980855460695041E-3</c:v>
                </c:pt>
                <c:pt idx="29">
                  <c:v>2.1975903877546137E-3</c:v>
                </c:pt>
                <c:pt idx="30">
                  <c:v>2.1969673372118081E-3</c:v>
                </c:pt>
                <c:pt idx="31">
                  <c:v>2.1961834647782714E-3</c:v>
                </c:pt>
                <c:pt idx="32">
                  <c:v>2.1951974221716738E-3</c:v>
                </c:pt>
                <c:pt idx="33">
                  <c:v>2.1939573252655223E-3</c:v>
                </c:pt>
                <c:pt idx="34">
                  <c:v>2.1923981248353395E-3</c:v>
                </c:pt>
                <c:pt idx="35">
                  <c:v>2.1904383534395474E-3</c:v>
                </c:pt>
                <c:pt idx="36">
                  <c:v>2.1879761193642142E-3</c:v>
                </c:pt>
                <c:pt idx="37">
                  <c:v>2.1848842033215729E-3</c:v>
                </c:pt>
                <c:pt idx="38">
                  <c:v>2.1810041042589446E-3</c:v>
                </c:pt>
                <c:pt idx="39">
                  <c:v>2.1761388837521494E-3</c:v>
                </c:pt>
                <c:pt idx="40">
                  <c:v>2.1700446845025019E-3</c:v>
                </c:pt>
                <c:pt idx="41">
                  <c:v>2.1624208635377534E-3</c:v>
                </c:pt>
                <c:pt idx="42">
                  <c:v>2.1528988085856961E-3</c:v>
                </c:pt>
                <c:pt idx="43">
                  <c:v>2.141029730063279E-3</c:v>
                </c:pt>
                <c:pt idx="44">
                  <c:v>2.1262720849265422E-3</c:v>
                </c:pt>
                <c:pt idx="45">
                  <c:v>2.1079798440281077E-3</c:v>
                </c:pt>
                <c:pt idx="46">
                  <c:v>2.0853936120648116E-3</c:v>
                </c:pt>
                <c:pt idx="47">
                  <c:v>2.0576376752703424E-3</c:v>
                </c:pt>
                <c:pt idx="48">
                  <c:v>2.0237273459352174E-3</c:v>
                </c:pt>
                <c:pt idx="49">
                  <c:v>1.9825923151676416E-3</c:v>
                </c:pt>
                <c:pt idx="50">
                  <c:v>1.9331227021845191E-3</c:v>
                </c:pt>
                <c:pt idx="51">
                  <c:v>1.8742443618246834E-3</c:v>
                </c:pt>
                <c:pt idx="52">
                  <c:v>1.8050277169828191E-3</c:v>
                </c:pt>
                <c:pt idx="53">
                  <c:v>1.7248287551237652E-3</c:v>
                </c:pt>
                <c:pt idx="54">
                  <c:v>1.6334512239120592E-3</c:v>
                </c:pt>
                <c:pt idx="55">
                  <c:v>1.5313063852326642E-3</c:v>
                </c:pt>
                <c:pt idx="56">
                  <c:v>1.4195344321095284E-3</c:v>
                </c:pt>
                <c:pt idx="57">
                  <c:v>1.3000459788483805E-3</c:v>
                </c:pt>
                <c:pt idx="58">
                  <c:v>1.1754495918372394E-3</c:v>
                </c:pt>
                <c:pt idx="59">
                  <c:v>1.0488550360286349E-3</c:v>
                </c:pt>
                <c:pt idx="60">
                  <c:v>9.2357661619247905E-4</c:v>
                </c:pt>
                <c:pt idx="61">
                  <c:v>8.0279340086896888E-4</c:v>
                </c:pt>
                <c:pt idx="62">
                  <c:v>6.8923810389669702E-4</c:v>
                </c:pt>
                <c:pt idx="63">
                  <c:v>5.8497637543029673E-4</c:v>
                </c:pt>
                <c:pt idx="64">
                  <c:v>4.9130833240399114E-4</c:v>
                </c:pt>
                <c:pt idx="65">
                  <c:v>4.0878864432056396E-4</c:v>
                </c:pt>
                <c:pt idx="66">
                  <c:v>3.3733476672410403E-4</c:v>
                </c:pt>
                <c:pt idx="67">
                  <c:v>2.7638202594983466E-4</c:v>
                </c:pt>
                <c:pt idx="68">
                  <c:v>2.2504770193116453E-4</c:v>
                </c:pt>
                <c:pt idx="69">
                  <c:v>1.822777202771047E-4</c:v>
                </c:pt>
                <c:pt idx="70">
                  <c:v>1.4696253814643553E-4</c:v>
                </c:pt>
                <c:pt idx="71">
                  <c:v>1.1801919741954853E-4</c:v>
                </c:pt>
                <c:pt idx="72">
                  <c:v>9.4442952534270049E-5</c:v>
                </c:pt>
                <c:pt idx="73">
                  <c:v>7.5334776236351584E-5</c:v>
                </c:pt>
                <c:pt idx="74">
                  <c:v>5.9911526589954445E-5</c:v>
                </c:pt>
                <c:pt idx="75">
                  <c:v>4.7504737922952585E-5</c:v>
                </c:pt>
                <c:pt idx="76">
                  <c:v>3.7552687672637762E-5</c:v>
                </c:pt>
                <c:pt idx="77">
                  <c:v>2.9589065341706825E-5</c:v>
                </c:pt>
                <c:pt idx="78">
                  <c:v>2.3230448691468968E-5</c:v>
                </c:pt>
                <c:pt idx="79">
                  <c:v>1.8163938697182073E-5</c:v>
                </c:pt>
                <c:pt idx="80">
                  <c:v>1.4135701854415529E-5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760C-844D-B6D5-5F3233F5B921}"/>
            </c:ext>
          </c:extLst>
        </c:ser>
        <c:ser>
          <c:idx val="7"/>
          <c:order val="3"/>
          <c:tx>
            <c:strRef>
              <c:f>'Carbonate acidity'!$R$5</c:f>
              <c:strCache>
                <c:ptCount val="1"/>
                <c:pt idx="0">
                  <c:v>L OW/kg CO2</c:v>
                </c:pt>
              </c:strCache>
            </c:strRef>
          </c:tx>
          <c:spPr>
            <a:ln w="317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'Carbonate acidity'!$F$6:$F$86</c:f>
              <c:numCache>
                <c:formatCode>General</c:formatCode>
                <c:ptCount val="8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2.2999999999999998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</c:v>
                </c:pt>
                <c:pt idx="34">
                  <c:v>3.4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</c:v>
                </c:pt>
                <c:pt idx="39">
                  <c:v>3.9</c:v>
                </c:pt>
                <c:pt idx="40">
                  <c:v>4</c:v>
                </c:pt>
                <c:pt idx="41">
                  <c:v>4.0999999999999996</c:v>
                </c:pt>
                <c:pt idx="42">
                  <c:v>4.2</c:v>
                </c:pt>
                <c:pt idx="43">
                  <c:v>4.3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4.7</c:v>
                </c:pt>
                <c:pt idx="48">
                  <c:v>4.8</c:v>
                </c:pt>
                <c:pt idx="49">
                  <c:v>4.9000000000000004</c:v>
                </c:pt>
                <c:pt idx="50">
                  <c:v>5</c:v>
                </c:pt>
                <c:pt idx="51">
                  <c:v>5.0999999999999996</c:v>
                </c:pt>
                <c:pt idx="52">
                  <c:v>5.2</c:v>
                </c:pt>
                <c:pt idx="53">
                  <c:v>5.3</c:v>
                </c:pt>
                <c:pt idx="54">
                  <c:v>5.4</c:v>
                </c:pt>
                <c:pt idx="55">
                  <c:v>5.5</c:v>
                </c:pt>
                <c:pt idx="56">
                  <c:v>5.6</c:v>
                </c:pt>
                <c:pt idx="57">
                  <c:v>5.7</c:v>
                </c:pt>
                <c:pt idx="58">
                  <c:v>5.8</c:v>
                </c:pt>
                <c:pt idx="59">
                  <c:v>5.9</c:v>
                </c:pt>
                <c:pt idx="60">
                  <c:v>6</c:v>
                </c:pt>
                <c:pt idx="61">
                  <c:v>6.1</c:v>
                </c:pt>
                <c:pt idx="62">
                  <c:v>6.2</c:v>
                </c:pt>
                <c:pt idx="63">
                  <c:v>6.3</c:v>
                </c:pt>
                <c:pt idx="64">
                  <c:v>6.4</c:v>
                </c:pt>
                <c:pt idx="65">
                  <c:v>6.5</c:v>
                </c:pt>
                <c:pt idx="66">
                  <c:v>6.6</c:v>
                </c:pt>
                <c:pt idx="67">
                  <c:v>6.7</c:v>
                </c:pt>
                <c:pt idx="68">
                  <c:v>6.8</c:v>
                </c:pt>
                <c:pt idx="69">
                  <c:v>6.9</c:v>
                </c:pt>
                <c:pt idx="70">
                  <c:v>7</c:v>
                </c:pt>
                <c:pt idx="71">
                  <c:v>7.1</c:v>
                </c:pt>
                <c:pt idx="72">
                  <c:v>7.2</c:v>
                </c:pt>
                <c:pt idx="73">
                  <c:v>7.3</c:v>
                </c:pt>
                <c:pt idx="74">
                  <c:v>7.4</c:v>
                </c:pt>
                <c:pt idx="75">
                  <c:v>7.5</c:v>
                </c:pt>
                <c:pt idx="76">
                  <c:v>7.6</c:v>
                </c:pt>
                <c:pt idx="77">
                  <c:v>7.7</c:v>
                </c:pt>
                <c:pt idx="78">
                  <c:v>7.8</c:v>
                </c:pt>
                <c:pt idx="79">
                  <c:v>7.9</c:v>
                </c:pt>
                <c:pt idx="80">
                  <c:v>8</c:v>
                </c:pt>
              </c:numCache>
            </c:numRef>
          </c:cat>
          <c:val>
            <c:numRef>
              <c:f>'Carbonate acidity'!$R$6:$R$86</c:f>
              <c:numCache>
                <c:formatCode>0.00E+00</c:formatCode>
                <c:ptCount val="81"/>
                <c:pt idx="0">
                  <c:v>11478.436413960815</c:v>
                </c:pt>
                <c:pt idx="1">
                  <c:v>11478.440516538469</c:v>
                </c:pt>
                <c:pt idx="2">
                  <c:v>11478.445681377734</c:v>
                </c:pt>
                <c:pt idx="3">
                  <c:v>11478.452183525136</c:v>
                </c:pt>
                <c:pt idx="4">
                  <c:v>11478.460369243743</c:v>
                </c:pt>
                <c:pt idx="5">
                  <c:v>11478.470674452927</c:v>
                </c:pt>
                <c:pt idx="6">
                  <c:v>11478.483647942661</c:v>
                </c:pt>
                <c:pt idx="7">
                  <c:v>11478.49998059861</c:v>
                </c:pt>
                <c:pt idx="8">
                  <c:v>11478.520542194283</c:v>
                </c:pt>
                <c:pt idx="9">
                  <c:v>11478.546427709669</c:v>
                </c:pt>
                <c:pt idx="10">
                  <c:v>11478.57901564293</c:v>
                </c:pt>
                <c:pt idx="11">
                  <c:v>11478.620041420463</c:v>
                </c:pt>
                <c:pt idx="12">
                  <c:v>11478.671689814695</c:v>
                </c:pt>
                <c:pt idx="13">
                  <c:v>11478.736711291253</c:v>
                </c:pt>
                <c:pt idx="14">
                  <c:v>11478.818568481318</c:v>
                </c:pt>
                <c:pt idx="15">
                  <c:v>11478.921620579473</c:v>
                </c:pt>
                <c:pt idx="16">
                  <c:v>11479.05135548687</c:v>
                </c:pt>
                <c:pt idx="17">
                  <c:v>11479.214682062218</c:v>
                </c:pt>
                <c:pt idx="18">
                  <c:v>11479.420298044108</c:v>
                </c:pt>
                <c:pt idx="19">
                  <c:v>11479.679153237896</c:v>
                </c:pt>
                <c:pt idx="20">
                  <c:v>11480.005032633793</c:v>
                </c:pt>
                <c:pt idx="21">
                  <c:v>11480.415290509385</c:v>
                </c:pt>
                <c:pt idx="22">
                  <c:v>11480.931774610672</c:v>
                </c:pt>
                <c:pt idx="23">
                  <c:v>11481.581989628135</c:v>
                </c:pt>
                <c:pt idx="24">
                  <c:v>11482.40056192798</c:v>
                </c:pt>
                <c:pt idx="25">
                  <c:v>11483.431083542227</c:v>
                </c:pt>
                <c:pt idx="26">
                  <c:v>11484.728433618966</c:v>
                </c:pt>
                <c:pt idx="27">
                  <c:v>11486.361700961761</c:v>
                </c:pt>
                <c:pt idx="28">
                  <c:v>11488.417863299468</c:v>
                </c:pt>
                <c:pt idx="29">
                  <c:v>11491.006419229474</c:v>
                </c:pt>
                <c:pt idx="30">
                  <c:v>11494.265219515493</c:v>
                </c:pt>
                <c:pt idx="31">
                  <c:v>11498.367808299099</c:v>
                </c:pt>
                <c:pt idx="32">
                  <c:v>11503.532665204815</c:v>
                </c:pt>
                <c:pt idx="33">
                  <c:v>11510.034840567869</c:v>
                </c:pt>
                <c:pt idx="34">
                  <c:v>11518.220603487267</c:v>
                </c:pt>
                <c:pt idx="35">
                  <c:v>11528.525882900261</c:v>
                </c:pt>
                <c:pt idx="36">
                  <c:v>11541.499483944632</c:v>
                </c:pt>
                <c:pt idx="37">
                  <c:v>11557.832316300823</c:v>
                </c:pt>
                <c:pt idx="38">
                  <c:v>11578.394191562278</c:v>
                </c:pt>
                <c:pt idx="39">
                  <c:v>11604.28015007216</c:v>
                </c:pt>
                <c:pt idx="40">
                  <c:v>11636.868785637274</c:v>
                </c:pt>
                <c:pt idx="41">
                  <c:v>11677.895676243032</c:v>
                </c:pt>
                <c:pt idx="42">
                  <c:v>11729.545834583094</c:v>
                </c:pt>
                <c:pt idx="43">
                  <c:v>11794.570107057274</c:v>
                </c:pt>
                <c:pt idx="44">
                  <c:v>11876.431728349418</c:v>
                </c:pt>
                <c:pt idx="45">
                  <c:v>11979.490849528511</c:v>
                </c:pt>
                <c:pt idx="46">
                  <c:v>12109.236887669356</c:v>
                </c:pt>
                <c:pt idx="47">
                  <c:v>12272.581104060246</c:v>
                </c:pt>
                <c:pt idx="48">
                  <c:v>12478.225045111205</c:v>
                </c:pt>
                <c:pt idx="49">
                  <c:v>12737.124551191446</c:v>
                </c:pt>
                <c:pt idx="50">
                  <c:v>13063.074177334278</c:v>
                </c:pt>
                <c:pt idx="51">
                  <c:v>13473.443360363366</c:v>
                </c:pt>
                <c:pt idx="52">
                  <c:v>13990.103872053514</c:v>
                </c:pt>
                <c:pt idx="53">
                  <c:v>14640.598481159515</c:v>
                </c:pt>
                <c:pt idx="54">
                  <c:v>15459.613903895048</c:v>
                </c:pt>
                <c:pt idx="55">
                  <c:v>16490.837820602719</c:v>
                </c:pt>
                <c:pt idx="56">
                  <c:v>17789.300971726498</c:v>
                </c:pt>
                <c:pt idx="57">
                  <c:v>19424.332418530837</c:v>
                </c:pt>
                <c:pt idx="58">
                  <c:v>21483.29067268236</c:v>
                </c:pt>
                <c:pt idx="59">
                  <c:v>24076.277831625754</c:v>
                </c:pt>
                <c:pt idx="60">
                  <c:v>27342.101142221291</c:v>
                </c:pt>
                <c:pt idx="61">
                  <c:v>31455.820669665602</c:v>
                </c:pt>
                <c:pt idx="62">
                  <c:v>36638.318615521734</c:v>
                </c:pt>
                <c:pt idx="63">
                  <c:v>43168.453143000879</c:v>
                </c:pt>
                <c:pt idx="64">
                  <c:v>51398.528351765679</c:v>
                </c:pt>
                <c:pt idx="65">
                  <c:v>61774.038010514603</c:v>
                </c:pt>
                <c:pt idx="66">
                  <c:v>74858.946493287294</c:v>
                </c:pt>
                <c:pt idx="67">
                  <c:v>91368.189250876865</c:v>
                </c:pt>
                <c:pt idx="68">
                  <c:v>112209.65615658344</c:v>
                </c:pt>
                <c:pt idx="69">
                  <c:v>138538.73756011168</c:v>
                </c:pt>
                <c:pt idx="70">
                  <c:v>171829.67558278888</c:v>
                </c:pt>
                <c:pt idx="71">
                  <c:v>213969.64057258083</c:v>
                </c:pt>
                <c:pt idx="72">
                  <c:v>267383.90292660531</c:v>
                </c:pt>
                <c:pt idx="73">
                  <c:v>335204.09184331069</c:v>
                </c:pt>
                <c:pt idx="74">
                  <c:v>421496.94207190216</c:v>
                </c:pt>
                <c:pt idx="75">
                  <c:v>531579.08782660903</c:v>
                </c:pt>
                <c:pt idx="76">
                  <c:v>672455.86980782601</c:v>
                </c:pt>
                <c:pt idx="77">
                  <c:v>853441.12633834826</c:v>
                </c:pt>
                <c:pt idx="78">
                  <c:v>1087044.2318145523</c:v>
                </c:pt>
                <c:pt idx="79">
                  <c:v>1390256.0272592693</c:v>
                </c:pt>
                <c:pt idx="80">
                  <c:v>1786435.8991582152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760C-844D-B6D5-5F3233F5B921}"/>
            </c:ext>
          </c:extLst>
        </c:ser>
        <c:ser>
          <c:idx val="2"/>
          <c:order val="4"/>
          <c:tx>
            <c:strRef>
              <c:f>'Carbonate acidity'!$A$5</c:f>
              <c:strCache>
                <c:ptCount val="1"/>
                <c:pt idx="0">
                  <c:v>CO₂</c:v>
                </c:pt>
              </c:strCache>
            </c:strRef>
          </c:tx>
          <c:spPr>
            <a:ln w="317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'Carbonate acidity'!$F$6:$F$86</c:f>
              <c:numCache>
                <c:formatCode>General</c:formatCode>
                <c:ptCount val="8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2.2999999999999998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</c:v>
                </c:pt>
                <c:pt idx="34">
                  <c:v>3.4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</c:v>
                </c:pt>
                <c:pt idx="39">
                  <c:v>3.9</c:v>
                </c:pt>
                <c:pt idx="40">
                  <c:v>4</c:v>
                </c:pt>
                <c:pt idx="41">
                  <c:v>4.0999999999999996</c:v>
                </c:pt>
                <c:pt idx="42">
                  <c:v>4.2</c:v>
                </c:pt>
                <c:pt idx="43">
                  <c:v>4.3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4.7</c:v>
                </c:pt>
                <c:pt idx="48">
                  <c:v>4.8</c:v>
                </c:pt>
                <c:pt idx="49">
                  <c:v>4.9000000000000004</c:v>
                </c:pt>
                <c:pt idx="50">
                  <c:v>5</c:v>
                </c:pt>
                <c:pt idx="51">
                  <c:v>5.0999999999999996</c:v>
                </c:pt>
                <c:pt idx="52">
                  <c:v>5.2</c:v>
                </c:pt>
                <c:pt idx="53">
                  <c:v>5.3</c:v>
                </c:pt>
                <c:pt idx="54">
                  <c:v>5.4</c:v>
                </c:pt>
                <c:pt idx="55">
                  <c:v>5.5</c:v>
                </c:pt>
                <c:pt idx="56">
                  <c:v>5.6</c:v>
                </c:pt>
                <c:pt idx="57">
                  <c:v>5.7</c:v>
                </c:pt>
                <c:pt idx="58">
                  <c:v>5.8</c:v>
                </c:pt>
                <c:pt idx="59">
                  <c:v>5.9</c:v>
                </c:pt>
                <c:pt idx="60">
                  <c:v>6</c:v>
                </c:pt>
                <c:pt idx="61">
                  <c:v>6.1</c:v>
                </c:pt>
                <c:pt idx="62">
                  <c:v>6.2</c:v>
                </c:pt>
                <c:pt idx="63">
                  <c:v>6.3</c:v>
                </c:pt>
                <c:pt idx="64">
                  <c:v>6.4</c:v>
                </c:pt>
                <c:pt idx="65">
                  <c:v>6.5</c:v>
                </c:pt>
                <c:pt idx="66">
                  <c:v>6.6</c:v>
                </c:pt>
                <c:pt idx="67">
                  <c:v>6.7</c:v>
                </c:pt>
                <c:pt idx="68">
                  <c:v>6.8</c:v>
                </c:pt>
                <c:pt idx="69">
                  <c:v>6.9</c:v>
                </c:pt>
                <c:pt idx="70">
                  <c:v>7</c:v>
                </c:pt>
                <c:pt idx="71">
                  <c:v>7.1</c:v>
                </c:pt>
                <c:pt idx="72">
                  <c:v>7.2</c:v>
                </c:pt>
                <c:pt idx="73">
                  <c:v>7.3</c:v>
                </c:pt>
                <c:pt idx="74">
                  <c:v>7.4</c:v>
                </c:pt>
                <c:pt idx="75">
                  <c:v>7.5</c:v>
                </c:pt>
                <c:pt idx="76">
                  <c:v>7.6</c:v>
                </c:pt>
                <c:pt idx="77">
                  <c:v>7.7</c:v>
                </c:pt>
                <c:pt idx="78">
                  <c:v>7.8</c:v>
                </c:pt>
                <c:pt idx="79">
                  <c:v>7.9</c:v>
                </c:pt>
                <c:pt idx="80">
                  <c:v>8</c:v>
                </c:pt>
              </c:numCache>
            </c:numRef>
          </c:cat>
          <c:val>
            <c:numRef>
              <c:f>'Carbonate acidity'!$A$6:$A$86</c:f>
              <c:numCache>
                <c:formatCode>0.00E+00</c:formatCode>
                <c:ptCount val="81"/>
                <c:pt idx="0">
                  <c:v>2.1999969631588063E-3</c:v>
                </c:pt>
                <c:pt idx="1">
                  <c:v>2.1999961768448149E-3</c:v>
                </c:pt>
                <c:pt idx="2">
                  <c:v>2.1999951869349482E-3</c:v>
                </c:pt>
                <c:pt idx="3">
                  <c:v>2.199993940713527E-3</c:v>
                </c:pt>
                <c:pt idx="4">
                  <c:v>2.1999923718157171E-3</c:v>
                </c:pt>
                <c:pt idx="5">
                  <c:v>2.1999903966935744E-3</c:v>
                </c:pt>
                <c:pt idx="6">
                  <c:v>2.1999879101671565E-3</c:v>
                </c:pt>
                <c:pt idx="7">
                  <c:v>2.199984779823846E-3</c:v>
                </c:pt>
                <c:pt idx="8">
                  <c:v>2.199980838967761E-3</c:v>
                </c:pt>
                <c:pt idx="9">
                  <c:v>2.1999758777439494E-3</c:v>
                </c:pt>
                <c:pt idx="10">
                  <c:v>2.1999696319650094E-3</c:v>
                </c:pt>
                <c:pt idx="11">
                  <c:v>2.1999617690455667E-3</c:v>
                </c:pt>
                <c:pt idx="12">
                  <c:v>2.1999518702963197E-3</c:v>
                </c:pt>
                <c:pt idx="13">
                  <c:v>2.1999394086358983E-3</c:v>
                </c:pt>
                <c:pt idx="14">
                  <c:v>2.1999237205354871E-3</c:v>
                </c:pt>
                <c:pt idx="15">
                  <c:v>2.1999039707050871E-3</c:v>
                </c:pt>
                <c:pt idx="16">
                  <c:v>2.1998791076454942E-3</c:v>
                </c:pt>
                <c:pt idx="17">
                  <c:v>2.1998478077063619E-3</c:v>
                </c:pt>
                <c:pt idx="18">
                  <c:v>2.1998084046829301E-3</c:v>
                </c:pt>
                <c:pt idx="19">
                  <c:v>2.1997588012207347E-3</c:v>
                </c:pt>
                <c:pt idx="20">
                  <c:v>2.1996963573396367E-3</c:v>
                </c:pt>
                <c:pt idx="21">
                  <c:v>2.1996177501872236E-3</c:v>
                </c:pt>
                <c:pt idx="22">
                  <c:v>2.1995187976266489E-3</c:v>
                </c:pt>
                <c:pt idx="23">
                  <c:v>2.1993942363811077E-3</c:v>
                </c:pt>
                <c:pt idx="24">
                  <c:v>2.1992374431052918E-3</c:v>
                </c:pt>
                <c:pt idx="25">
                  <c:v>2.1990400838227311E-3</c:v>
                </c:pt>
                <c:pt idx="26">
                  <c:v>2.19879167352396E-3</c:v>
                </c:pt>
                <c:pt idx="27">
                  <c:v>2.1984790232063515E-3</c:v>
                </c:pt>
                <c:pt idx="28">
                  <c:v>2.1980855460695041E-3</c:v>
                </c:pt>
                <c:pt idx="29">
                  <c:v>2.1975903877546137E-3</c:v>
                </c:pt>
                <c:pt idx="30">
                  <c:v>2.1969673372118081E-3</c:v>
                </c:pt>
                <c:pt idx="31">
                  <c:v>2.1961834647782714E-3</c:v>
                </c:pt>
                <c:pt idx="32">
                  <c:v>2.1951974221716738E-3</c:v>
                </c:pt>
                <c:pt idx="33">
                  <c:v>2.1939573252655223E-3</c:v>
                </c:pt>
                <c:pt idx="34">
                  <c:v>2.1923981248353395E-3</c:v>
                </c:pt>
                <c:pt idx="35">
                  <c:v>2.1904383534395474E-3</c:v>
                </c:pt>
                <c:pt idx="36">
                  <c:v>2.1879761193642142E-3</c:v>
                </c:pt>
                <c:pt idx="37">
                  <c:v>2.1848842033215729E-3</c:v>
                </c:pt>
                <c:pt idx="38">
                  <c:v>2.1810041042589446E-3</c:v>
                </c:pt>
                <c:pt idx="39">
                  <c:v>2.1761388837521494E-3</c:v>
                </c:pt>
                <c:pt idx="40">
                  <c:v>2.1700446845025019E-3</c:v>
                </c:pt>
                <c:pt idx="41">
                  <c:v>2.1624208635377534E-3</c:v>
                </c:pt>
                <c:pt idx="42">
                  <c:v>2.1528988085856961E-3</c:v>
                </c:pt>
                <c:pt idx="43">
                  <c:v>2.141029730063279E-3</c:v>
                </c:pt>
                <c:pt idx="44">
                  <c:v>2.1262720849265422E-3</c:v>
                </c:pt>
                <c:pt idx="45">
                  <c:v>2.1079798440281077E-3</c:v>
                </c:pt>
                <c:pt idx="46">
                  <c:v>2.0853936120648116E-3</c:v>
                </c:pt>
                <c:pt idx="47">
                  <c:v>2.0576376752703424E-3</c:v>
                </c:pt>
                <c:pt idx="48">
                  <c:v>2.0237273459352174E-3</c:v>
                </c:pt>
                <c:pt idx="49">
                  <c:v>1.9825923151676416E-3</c:v>
                </c:pt>
                <c:pt idx="50">
                  <c:v>1.9331227021845191E-3</c:v>
                </c:pt>
                <c:pt idx="51">
                  <c:v>1.8742443618246834E-3</c:v>
                </c:pt>
                <c:pt idx="52">
                  <c:v>1.8050277169828191E-3</c:v>
                </c:pt>
                <c:pt idx="53">
                  <c:v>1.7248287551237652E-3</c:v>
                </c:pt>
                <c:pt idx="54">
                  <c:v>1.6334512239120592E-3</c:v>
                </c:pt>
                <c:pt idx="55">
                  <c:v>1.5313063852326642E-3</c:v>
                </c:pt>
                <c:pt idx="56">
                  <c:v>1.4195344321095284E-3</c:v>
                </c:pt>
                <c:pt idx="57">
                  <c:v>1.3000459788483805E-3</c:v>
                </c:pt>
                <c:pt idx="58">
                  <c:v>1.1754495918372394E-3</c:v>
                </c:pt>
                <c:pt idx="59">
                  <c:v>1.0488550360286349E-3</c:v>
                </c:pt>
                <c:pt idx="60">
                  <c:v>9.2357661619247905E-4</c:v>
                </c:pt>
                <c:pt idx="61">
                  <c:v>8.0279340086896888E-4</c:v>
                </c:pt>
                <c:pt idx="62">
                  <c:v>6.8923810389669702E-4</c:v>
                </c:pt>
                <c:pt idx="63">
                  <c:v>5.8497637543029673E-4</c:v>
                </c:pt>
                <c:pt idx="64">
                  <c:v>4.9130833240399114E-4</c:v>
                </c:pt>
                <c:pt idx="65">
                  <c:v>4.0878864432056396E-4</c:v>
                </c:pt>
                <c:pt idx="66">
                  <c:v>3.3733476672410403E-4</c:v>
                </c:pt>
                <c:pt idx="67">
                  <c:v>2.7638202594983466E-4</c:v>
                </c:pt>
                <c:pt idx="68">
                  <c:v>2.2504770193116453E-4</c:v>
                </c:pt>
                <c:pt idx="69">
                  <c:v>1.822777202771047E-4</c:v>
                </c:pt>
                <c:pt idx="70">
                  <c:v>1.4696253814643553E-4</c:v>
                </c:pt>
                <c:pt idx="71">
                  <c:v>1.1801919741954853E-4</c:v>
                </c:pt>
                <c:pt idx="72">
                  <c:v>9.4442952534270049E-5</c:v>
                </c:pt>
                <c:pt idx="73">
                  <c:v>7.5334776236351584E-5</c:v>
                </c:pt>
                <c:pt idx="74">
                  <c:v>5.9911526589954445E-5</c:v>
                </c:pt>
                <c:pt idx="75">
                  <c:v>4.7504737922952585E-5</c:v>
                </c:pt>
                <c:pt idx="76">
                  <c:v>3.7552687672637762E-5</c:v>
                </c:pt>
                <c:pt idx="77">
                  <c:v>2.9589065341706825E-5</c:v>
                </c:pt>
                <c:pt idx="78">
                  <c:v>2.3230448691468968E-5</c:v>
                </c:pt>
                <c:pt idx="79">
                  <c:v>1.8163938697182073E-5</c:v>
                </c:pt>
                <c:pt idx="80">
                  <c:v>1.4135701854415529E-5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760C-844D-B6D5-5F3233F5B921}"/>
            </c:ext>
          </c:extLst>
        </c:ser>
        <c:ser>
          <c:idx val="3"/>
          <c:order val="5"/>
          <c:tx>
            <c:strRef>
              <c:f>'Carbonate acidity'!$R$5</c:f>
              <c:strCache>
                <c:ptCount val="1"/>
                <c:pt idx="0">
                  <c:v>L OW/kg CO2</c:v>
                </c:pt>
              </c:strCache>
            </c:strRef>
          </c:tx>
          <c:spPr>
            <a:ln w="317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'Carbonate acidity'!$F$6:$F$86</c:f>
              <c:numCache>
                <c:formatCode>General</c:formatCode>
                <c:ptCount val="8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2.2999999999999998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</c:v>
                </c:pt>
                <c:pt idx="34">
                  <c:v>3.4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</c:v>
                </c:pt>
                <c:pt idx="39">
                  <c:v>3.9</c:v>
                </c:pt>
                <c:pt idx="40">
                  <c:v>4</c:v>
                </c:pt>
                <c:pt idx="41">
                  <c:v>4.0999999999999996</c:v>
                </c:pt>
                <c:pt idx="42">
                  <c:v>4.2</c:v>
                </c:pt>
                <c:pt idx="43">
                  <c:v>4.3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4.7</c:v>
                </c:pt>
                <c:pt idx="48">
                  <c:v>4.8</c:v>
                </c:pt>
                <c:pt idx="49">
                  <c:v>4.9000000000000004</c:v>
                </c:pt>
                <c:pt idx="50">
                  <c:v>5</c:v>
                </c:pt>
                <c:pt idx="51">
                  <c:v>5.0999999999999996</c:v>
                </c:pt>
                <c:pt idx="52">
                  <c:v>5.2</c:v>
                </c:pt>
                <c:pt idx="53">
                  <c:v>5.3</c:v>
                </c:pt>
                <c:pt idx="54">
                  <c:v>5.4</c:v>
                </c:pt>
                <c:pt idx="55">
                  <c:v>5.5</c:v>
                </c:pt>
                <c:pt idx="56">
                  <c:v>5.6</c:v>
                </c:pt>
                <c:pt idx="57">
                  <c:v>5.7</c:v>
                </c:pt>
                <c:pt idx="58">
                  <c:v>5.8</c:v>
                </c:pt>
                <c:pt idx="59">
                  <c:v>5.9</c:v>
                </c:pt>
                <c:pt idx="60">
                  <c:v>6</c:v>
                </c:pt>
                <c:pt idx="61">
                  <c:v>6.1</c:v>
                </c:pt>
                <c:pt idx="62">
                  <c:v>6.2</c:v>
                </c:pt>
                <c:pt idx="63">
                  <c:v>6.3</c:v>
                </c:pt>
                <c:pt idx="64">
                  <c:v>6.4</c:v>
                </c:pt>
                <c:pt idx="65">
                  <c:v>6.5</c:v>
                </c:pt>
                <c:pt idx="66">
                  <c:v>6.6</c:v>
                </c:pt>
                <c:pt idx="67">
                  <c:v>6.7</c:v>
                </c:pt>
                <c:pt idx="68">
                  <c:v>6.8</c:v>
                </c:pt>
                <c:pt idx="69">
                  <c:v>6.9</c:v>
                </c:pt>
                <c:pt idx="70">
                  <c:v>7</c:v>
                </c:pt>
                <c:pt idx="71">
                  <c:v>7.1</c:v>
                </c:pt>
                <c:pt idx="72">
                  <c:v>7.2</c:v>
                </c:pt>
                <c:pt idx="73">
                  <c:v>7.3</c:v>
                </c:pt>
                <c:pt idx="74">
                  <c:v>7.4</c:v>
                </c:pt>
                <c:pt idx="75">
                  <c:v>7.5</c:v>
                </c:pt>
                <c:pt idx="76">
                  <c:v>7.6</c:v>
                </c:pt>
                <c:pt idx="77">
                  <c:v>7.7</c:v>
                </c:pt>
                <c:pt idx="78">
                  <c:v>7.8</c:v>
                </c:pt>
                <c:pt idx="79">
                  <c:v>7.9</c:v>
                </c:pt>
                <c:pt idx="80">
                  <c:v>8</c:v>
                </c:pt>
              </c:numCache>
            </c:numRef>
          </c:cat>
          <c:val>
            <c:numRef>
              <c:f>'Carbonate acidity'!$R$6:$R$86</c:f>
              <c:numCache>
                <c:formatCode>0.00E+00</c:formatCode>
                <c:ptCount val="81"/>
                <c:pt idx="0">
                  <c:v>11478.436413960815</c:v>
                </c:pt>
                <c:pt idx="1">
                  <c:v>11478.440516538469</c:v>
                </c:pt>
                <c:pt idx="2">
                  <c:v>11478.445681377734</c:v>
                </c:pt>
                <c:pt idx="3">
                  <c:v>11478.452183525136</c:v>
                </c:pt>
                <c:pt idx="4">
                  <c:v>11478.460369243743</c:v>
                </c:pt>
                <c:pt idx="5">
                  <c:v>11478.470674452927</c:v>
                </c:pt>
                <c:pt idx="6">
                  <c:v>11478.483647942661</c:v>
                </c:pt>
                <c:pt idx="7">
                  <c:v>11478.49998059861</c:v>
                </c:pt>
                <c:pt idx="8">
                  <c:v>11478.520542194283</c:v>
                </c:pt>
                <c:pt idx="9">
                  <c:v>11478.546427709669</c:v>
                </c:pt>
                <c:pt idx="10">
                  <c:v>11478.57901564293</c:v>
                </c:pt>
                <c:pt idx="11">
                  <c:v>11478.620041420463</c:v>
                </c:pt>
                <c:pt idx="12">
                  <c:v>11478.671689814695</c:v>
                </c:pt>
                <c:pt idx="13">
                  <c:v>11478.736711291253</c:v>
                </c:pt>
                <c:pt idx="14">
                  <c:v>11478.818568481318</c:v>
                </c:pt>
                <c:pt idx="15">
                  <c:v>11478.921620579473</c:v>
                </c:pt>
                <c:pt idx="16">
                  <c:v>11479.05135548687</c:v>
                </c:pt>
                <c:pt idx="17">
                  <c:v>11479.214682062218</c:v>
                </c:pt>
                <c:pt idx="18">
                  <c:v>11479.420298044108</c:v>
                </c:pt>
                <c:pt idx="19">
                  <c:v>11479.679153237896</c:v>
                </c:pt>
                <c:pt idx="20">
                  <c:v>11480.005032633793</c:v>
                </c:pt>
                <c:pt idx="21">
                  <c:v>11480.415290509385</c:v>
                </c:pt>
                <c:pt idx="22">
                  <c:v>11480.931774610672</c:v>
                </c:pt>
                <c:pt idx="23">
                  <c:v>11481.581989628135</c:v>
                </c:pt>
                <c:pt idx="24">
                  <c:v>11482.40056192798</c:v>
                </c:pt>
                <c:pt idx="25">
                  <c:v>11483.431083542227</c:v>
                </c:pt>
                <c:pt idx="26">
                  <c:v>11484.728433618966</c:v>
                </c:pt>
                <c:pt idx="27">
                  <c:v>11486.361700961761</c:v>
                </c:pt>
                <c:pt idx="28">
                  <c:v>11488.417863299468</c:v>
                </c:pt>
                <c:pt idx="29">
                  <c:v>11491.006419229474</c:v>
                </c:pt>
                <c:pt idx="30">
                  <c:v>11494.265219515493</c:v>
                </c:pt>
                <c:pt idx="31">
                  <c:v>11498.367808299099</c:v>
                </c:pt>
                <c:pt idx="32">
                  <c:v>11503.532665204815</c:v>
                </c:pt>
                <c:pt idx="33">
                  <c:v>11510.034840567869</c:v>
                </c:pt>
                <c:pt idx="34">
                  <c:v>11518.220603487267</c:v>
                </c:pt>
                <c:pt idx="35">
                  <c:v>11528.525882900261</c:v>
                </c:pt>
                <c:pt idx="36">
                  <c:v>11541.499483944632</c:v>
                </c:pt>
                <c:pt idx="37">
                  <c:v>11557.832316300823</c:v>
                </c:pt>
                <c:pt idx="38">
                  <c:v>11578.394191562278</c:v>
                </c:pt>
                <c:pt idx="39">
                  <c:v>11604.28015007216</c:v>
                </c:pt>
                <c:pt idx="40">
                  <c:v>11636.868785637274</c:v>
                </c:pt>
                <c:pt idx="41">
                  <c:v>11677.895676243032</c:v>
                </c:pt>
                <c:pt idx="42">
                  <c:v>11729.545834583094</c:v>
                </c:pt>
                <c:pt idx="43">
                  <c:v>11794.570107057274</c:v>
                </c:pt>
                <c:pt idx="44">
                  <c:v>11876.431728349418</c:v>
                </c:pt>
                <c:pt idx="45">
                  <c:v>11979.490849528511</c:v>
                </c:pt>
                <c:pt idx="46">
                  <c:v>12109.236887669356</c:v>
                </c:pt>
                <c:pt idx="47">
                  <c:v>12272.581104060246</c:v>
                </c:pt>
                <c:pt idx="48">
                  <c:v>12478.225045111205</c:v>
                </c:pt>
                <c:pt idx="49">
                  <c:v>12737.124551191446</c:v>
                </c:pt>
                <c:pt idx="50">
                  <c:v>13063.074177334278</c:v>
                </c:pt>
                <c:pt idx="51">
                  <c:v>13473.443360363366</c:v>
                </c:pt>
                <c:pt idx="52">
                  <c:v>13990.103872053514</c:v>
                </c:pt>
                <c:pt idx="53">
                  <c:v>14640.598481159515</c:v>
                </c:pt>
                <c:pt idx="54">
                  <c:v>15459.613903895048</c:v>
                </c:pt>
                <c:pt idx="55">
                  <c:v>16490.837820602719</c:v>
                </c:pt>
                <c:pt idx="56">
                  <c:v>17789.300971726498</c:v>
                </c:pt>
                <c:pt idx="57">
                  <c:v>19424.332418530837</c:v>
                </c:pt>
                <c:pt idx="58">
                  <c:v>21483.29067268236</c:v>
                </c:pt>
                <c:pt idx="59">
                  <c:v>24076.277831625754</c:v>
                </c:pt>
                <c:pt idx="60">
                  <c:v>27342.101142221291</c:v>
                </c:pt>
                <c:pt idx="61">
                  <c:v>31455.820669665602</c:v>
                </c:pt>
                <c:pt idx="62">
                  <c:v>36638.318615521734</c:v>
                </c:pt>
                <c:pt idx="63">
                  <c:v>43168.453143000879</c:v>
                </c:pt>
                <c:pt idx="64">
                  <c:v>51398.528351765679</c:v>
                </c:pt>
                <c:pt idx="65">
                  <c:v>61774.038010514603</c:v>
                </c:pt>
                <c:pt idx="66">
                  <c:v>74858.946493287294</c:v>
                </c:pt>
                <c:pt idx="67">
                  <c:v>91368.189250876865</c:v>
                </c:pt>
                <c:pt idx="68">
                  <c:v>112209.65615658344</c:v>
                </c:pt>
                <c:pt idx="69">
                  <c:v>138538.73756011168</c:v>
                </c:pt>
                <c:pt idx="70">
                  <c:v>171829.67558278888</c:v>
                </c:pt>
                <c:pt idx="71">
                  <c:v>213969.64057258083</c:v>
                </c:pt>
                <c:pt idx="72">
                  <c:v>267383.90292660531</c:v>
                </c:pt>
                <c:pt idx="73">
                  <c:v>335204.09184331069</c:v>
                </c:pt>
                <c:pt idx="74">
                  <c:v>421496.94207190216</c:v>
                </c:pt>
                <c:pt idx="75">
                  <c:v>531579.08782660903</c:v>
                </c:pt>
                <c:pt idx="76">
                  <c:v>672455.86980782601</c:v>
                </c:pt>
                <c:pt idx="77">
                  <c:v>853441.12633834826</c:v>
                </c:pt>
                <c:pt idx="78">
                  <c:v>1087044.2318145523</c:v>
                </c:pt>
                <c:pt idx="79">
                  <c:v>1390256.0272592693</c:v>
                </c:pt>
                <c:pt idx="80">
                  <c:v>1786435.8991582152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760C-844D-B6D5-5F3233F5B921}"/>
            </c:ext>
          </c:extLst>
        </c:ser>
        <c:ser>
          <c:idx val="0"/>
          <c:order val="6"/>
          <c:tx>
            <c:strRef>
              <c:f>'Carbonate acidity'!$A$5</c:f>
              <c:strCache>
                <c:ptCount val="1"/>
                <c:pt idx="0">
                  <c:v>CO₂</c:v>
                </c:pt>
              </c:strCache>
            </c:strRef>
          </c:tx>
          <c:spPr>
            <a:ln w="317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'Carbonate acidity'!$F$6:$F$86</c:f>
              <c:numCache>
                <c:formatCode>General</c:formatCode>
                <c:ptCount val="8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2.2999999999999998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</c:v>
                </c:pt>
                <c:pt idx="34">
                  <c:v>3.4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</c:v>
                </c:pt>
                <c:pt idx="39">
                  <c:v>3.9</c:v>
                </c:pt>
                <c:pt idx="40">
                  <c:v>4</c:v>
                </c:pt>
                <c:pt idx="41">
                  <c:v>4.0999999999999996</c:v>
                </c:pt>
                <c:pt idx="42">
                  <c:v>4.2</c:v>
                </c:pt>
                <c:pt idx="43">
                  <c:v>4.3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4.7</c:v>
                </c:pt>
                <c:pt idx="48">
                  <c:v>4.8</c:v>
                </c:pt>
                <c:pt idx="49">
                  <c:v>4.9000000000000004</c:v>
                </c:pt>
                <c:pt idx="50">
                  <c:v>5</c:v>
                </c:pt>
                <c:pt idx="51">
                  <c:v>5.0999999999999996</c:v>
                </c:pt>
                <c:pt idx="52">
                  <c:v>5.2</c:v>
                </c:pt>
                <c:pt idx="53">
                  <c:v>5.3</c:v>
                </c:pt>
                <c:pt idx="54">
                  <c:v>5.4</c:v>
                </c:pt>
                <c:pt idx="55">
                  <c:v>5.5</c:v>
                </c:pt>
                <c:pt idx="56">
                  <c:v>5.6</c:v>
                </c:pt>
                <c:pt idx="57">
                  <c:v>5.7</c:v>
                </c:pt>
                <c:pt idx="58">
                  <c:v>5.8</c:v>
                </c:pt>
                <c:pt idx="59">
                  <c:v>5.9</c:v>
                </c:pt>
                <c:pt idx="60">
                  <c:v>6</c:v>
                </c:pt>
                <c:pt idx="61">
                  <c:v>6.1</c:v>
                </c:pt>
                <c:pt idx="62">
                  <c:v>6.2</c:v>
                </c:pt>
                <c:pt idx="63">
                  <c:v>6.3</c:v>
                </c:pt>
                <c:pt idx="64">
                  <c:v>6.4</c:v>
                </c:pt>
                <c:pt idx="65">
                  <c:v>6.5</c:v>
                </c:pt>
                <c:pt idx="66">
                  <c:v>6.6</c:v>
                </c:pt>
                <c:pt idx="67">
                  <c:v>6.7</c:v>
                </c:pt>
                <c:pt idx="68">
                  <c:v>6.8</c:v>
                </c:pt>
                <c:pt idx="69">
                  <c:v>6.9</c:v>
                </c:pt>
                <c:pt idx="70">
                  <c:v>7</c:v>
                </c:pt>
                <c:pt idx="71">
                  <c:v>7.1</c:v>
                </c:pt>
                <c:pt idx="72">
                  <c:v>7.2</c:v>
                </c:pt>
                <c:pt idx="73">
                  <c:v>7.3</c:v>
                </c:pt>
                <c:pt idx="74">
                  <c:v>7.4</c:v>
                </c:pt>
                <c:pt idx="75">
                  <c:v>7.5</c:v>
                </c:pt>
                <c:pt idx="76">
                  <c:v>7.6</c:v>
                </c:pt>
                <c:pt idx="77">
                  <c:v>7.7</c:v>
                </c:pt>
                <c:pt idx="78">
                  <c:v>7.8</c:v>
                </c:pt>
                <c:pt idx="79">
                  <c:v>7.9</c:v>
                </c:pt>
                <c:pt idx="80">
                  <c:v>8</c:v>
                </c:pt>
              </c:numCache>
            </c:numRef>
          </c:cat>
          <c:val>
            <c:numRef>
              <c:f>'Carbonate acidity'!$A$6:$A$86</c:f>
              <c:numCache>
                <c:formatCode>0.00E+00</c:formatCode>
                <c:ptCount val="81"/>
                <c:pt idx="0">
                  <c:v>2.1999969631588063E-3</c:v>
                </c:pt>
                <c:pt idx="1">
                  <c:v>2.1999961768448149E-3</c:v>
                </c:pt>
                <c:pt idx="2">
                  <c:v>2.1999951869349482E-3</c:v>
                </c:pt>
                <c:pt idx="3">
                  <c:v>2.199993940713527E-3</c:v>
                </c:pt>
                <c:pt idx="4">
                  <c:v>2.1999923718157171E-3</c:v>
                </c:pt>
                <c:pt idx="5">
                  <c:v>2.1999903966935744E-3</c:v>
                </c:pt>
                <c:pt idx="6">
                  <c:v>2.1999879101671565E-3</c:v>
                </c:pt>
                <c:pt idx="7">
                  <c:v>2.199984779823846E-3</c:v>
                </c:pt>
                <c:pt idx="8">
                  <c:v>2.199980838967761E-3</c:v>
                </c:pt>
                <c:pt idx="9">
                  <c:v>2.1999758777439494E-3</c:v>
                </c:pt>
                <c:pt idx="10">
                  <c:v>2.1999696319650094E-3</c:v>
                </c:pt>
                <c:pt idx="11">
                  <c:v>2.1999617690455667E-3</c:v>
                </c:pt>
                <c:pt idx="12">
                  <c:v>2.1999518702963197E-3</c:v>
                </c:pt>
                <c:pt idx="13">
                  <c:v>2.1999394086358983E-3</c:v>
                </c:pt>
                <c:pt idx="14">
                  <c:v>2.1999237205354871E-3</c:v>
                </c:pt>
                <c:pt idx="15">
                  <c:v>2.1999039707050871E-3</c:v>
                </c:pt>
                <c:pt idx="16">
                  <c:v>2.1998791076454942E-3</c:v>
                </c:pt>
                <c:pt idx="17">
                  <c:v>2.1998478077063619E-3</c:v>
                </c:pt>
                <c:pt idx="18">
                  <c:v>2.1998084046829301E-3</c:v>
                </c:pt>
                <c:pt idx="19">
                  <c:v>2.1997588012207347E-3</c:v>
                </c:pt>
                <c:pt idx="20">
                  <c:v>2.1996963573396367E-3</c:v>
                </c:pt>
                <c:pt idx="21">
                  <c:v>2.1996177501872236E-3</c:v>
                </c:pt>
                <c:pt idx="22">
                  <c:v>2.1995187976266489E-3</c:v>
                </c:pt>
                <c:pt idx="23">
                  <c:v>2.1993942363811077E-3</c:v>
                </c:pt>
                <c:pt idx="24">
                  <c:v>2.1992374431052918E-3</c:v>
                </c:pt>
                <c:pt idx="25">
                  <c:v>2.1990400838227311E-3</c:v>
                </c:pt>
                <c:pt idx="26">
                  <c:v>2.19879167352396E-3</c:v>
                </c:pt>
                <c:pt idx="27">
                  <c:v>2.1984790232063515E-3</c:v>
                </c:pt>
                <c:pt idx="28">
                  <c:v>2.1980855460695041E-3</c:v>
                </c:pt>
                <c:pt idx="29">
                  <c:v>2.1975903877546137E-3</c:v>
                </c:pt>
                <c:pt idx="30">
                  <c:v>2.1969673372118081E-3</c:v>
                </c:pt>
                <c:pt idx="31">
                  <c:v>2.1961834647782714E-3</c:v>
                </c:pt>
                <c:pt idx="32">
                  <c:v>2.1951974221716738E-3</c:v>
                </c:pt>
                <c:pt idx="33">
                  <c:v>2.1939573252655223E-3</c:v>
                </c:pt>
                <c:pt idx="34">
                  <c:v>2.1923981248353395E-3</c:v>
                </c:pt>
                <c:pt idx="35">
                  <c:v>2.1904383534395474E-3</c:v>
                </c:pt>
                <c:pt idx="36">
                  <c:v>2.1879761193642142E-3</c:v>
                </c:pt>
                <c:pt idx="37">
                  <c:v>2.1848842033215729E-3</c:v>
                </c:pt>
                <c:pt idx="38">
                  <c:v>2.1810041042589446E-3</c:v>
                </c:pt>
                <c:pt idx="39">
                  <c:v>2.1761388837521494E-3</c:v>
                </c:pt>
                <c:pt idx="40">
                  <c:v>2.1700446845025019E-3</c:v>
                </c:pt>
                <c:pt idx="41">
                  <c:v>2.1624208635377534E-3</c:v>
                </c:pt>
                <c:pt idx="42">
                  <c:v>2.1528988085856961E-3</c:v>
                </c:pt>
                <c:pt idx="43">
                  <c:v>2.141029730063279E-3</c:v>
                </c:pt>
                <c:pt idx="44">
                  <c:v>2.1262720849265422E-3</c:v>
                </c:pt>
                <c:pt idx="45">
                  <c:v>2.1079798440281077E-3</c:v>
                </c:pt>
                <c:pt idx="46">
                  <c:v>2.0853936120648116E-3</c:v>
                </c:pt>
                <c:pt idx="47">
                  <c:v>2.0576376752703424E-3</c:v>
                </c:pt>
                <c:pt idx="48">
                  <c:v>2.0237273459352174E-3</c:v>
                </c:pt>
                <c:pt idx="49">
                  <c:v>1.9825923151676416E-3</c:v>
                </c:pt>
                <c:pt idx="50">
                  <c:v>1.9331227021845191E-3</c:v>
                </c:pt>
                <c:pt idx="51">
                  <c:v>1.8742443618246834E-3</c:v>
                </c:pt>
                <c:pt idx="52">
                  <c:v>1.8050277169828191E-3</c:v>
                </c:pt>
                <c:pt idx="53">
                  <c:v>1.7248287551237652E-3</c:v>
                </c:pt>
                <c:pt idx="54">
                  <c:v>1.6334512239120592E-3</c:v>
                </c:pt>
                <c:pt idx="55">
                  <c:v>1.5313063852326642E-3</c:v>
                </c:pt>
                <c:pt idx="56">
                  <c:v>1.4195344321095284E-3</c:v>
                </c:pt>
                <c:pt idx="57">
                  <c:v>1.3000459788483805E-3</c:v>
                </c:pt>
                <c:pt idx="58">
                  <c:v>1.1754495918372394E-3</c:v>
                </c:pt>
                <c:pt idx="59">
                  <c:v>1.0488550360286349E-3</c:v>
                </c:pt>
                <c:pt idx="60">
                  <c:v>9.2357661619247905E-4</c:v>
                </c:pt>
                <c:pt idx="61">
                  <c:v>8.0279340086896888E-4</c:v>
                </c:pt>
                <c:pt idx="62">
                  <c:v>6.8923810389669702E-4</c:v>
                </c:pt>
                <c:pt idx="63">
                  <c:v>5.8497637543029673E-4</c:v>
                </c:pt>
                <c:pt idx="64">
                  <c:v>4.9130833240399114E-4</c:v>
                </c:pt>
                <c:pt idx="65">
                  <c:v>4.0878864432056396E-4</c:v>
                </c:pt>
                <c:pt idx="66">
                  <c:v>3.3733476672410403E-4</c:v>
                </c:pt>
                <c:pt idx="67">
                  <c:v>2.7638202594983466E-4</c:v>
                </c:pt>
                <c:pt idx="68">
                  <c:v>2.2504770193116453E-4</c:v>
                </c:pt>
                <c:pt idx="69">
                  <c:v>1.822777202771047E-4</c:v>
                </c:pt>
                <c:pt idx="70">
                  <c:v>1.4696253814643553E-4</c:v>
                </c:pt>
                <c:pt idx="71">
                  <c:v>1.1801919741954853E-4</c:v>
                </c:pt>
                <c:pt idx="72">
                  <c:v>9.4442952534270049E-5</c:v>
                </c:pt>
                <c:pt idx="73">
                  <c:v>7.5334776236351584E-5</c:v>
                </c:pt>
                <c:pt idx="74">
                  <c:v>5.9911526589954445E-5</c:v>
                </c:pt>
                <c:pt idx="75">
                  <c:v>4.7504737922952585E-5</c:v>
                </c:pt>
                <c:pt idx="76">
                  <c:v>3.7552687672637762E-5</c:v>
                </c:pt>
                <c:pt idx="77">
                  <c:v>2.9589065341706825E-5</c:v>
                </c:pt>
                <c:pt idx="78">
                  <c:v>2.3230448691468968E-5</c:v>
                </c:pt>
                <c:pt idx="79">
                  <c:v>1.8163938697182073E-5</c:v>
                </c:pt>
                <c:pt idx="80">
                  <c:v>1.4135701854415529E-5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760C-844D-B6D5-5F3233F5B9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24648752"/>
        <c:axId val="1224652384"/>
      </c:lineChart>
      <c:lineChart>
        <c:grouping val="standard"/>
        <c:varyColors val="0"/>
        <c:ser>
          <c:idx val="1"/>
          <c:order val="7"/>
          <c:tx>
            <c:strRef>
              <c:f>'Carbonate acidity'!$R$5</c:f>
              <c:strCache>
                <c:ptCount val="1"/>
                <c:pt idx="0">
                  <c:v>L OW/kg CO2</c:v>
                </c:pt>
              </c:strCache>
            </c:strRef>
          </c:tx>
          <c:spPr>
            <a:ln w="317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'Carbonate acidity'!$F$6:$F$86</c:f>
              <c:numCache>
                <c:formatCode>General</c:formatCode>
                <c:ptCount val="8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2.2999999999999998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</c:v>
                </c:pt>
                <c:pt idx="34">
                  <c:v>3.4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</c:v>
                </c:pt>
                <c:pt idx="39">
                  <c:v>3.9</c:v>
                </c:pt>
                <c:pt idx="40">
                  <c:v>4</c:v>
                </c:pt>
                <c:pt idx="41">
                  <c:v>4.0999999999999996</c:v>
                </c:pt>
                <c:pt idx="42">
                  <c:v>4.2</c:v>
                </c:pt>
                <c:pt idx="43">
                  <c:v>4.3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4.7</c:v>
                </c:pt>
                <c:pt idx="48">
                  <c:v>4.8</c:v>
                </c:pt>
                <c:pt idx="49">
                  <c:v>4.9000000000000004</c:v>
                </c:pt>
                <c:pt idx="50">
                  <c:v>5</c:v>
                </c:pt>
                <c:pt idx="51">
                  <c:v>5.0999999999999996</c:v>
                </c:pt>
                <c:pt idx="52">
                  <c:v>5.2</c:v>
                </c:pt>
                <c:pt idx="53">
                  <c:v>5.3</c:v>
                </c:pt>
                <c:pt idx="54">
                  <c:v>5.4</c:v>
                </c:pt>
                <c:pt idx="55">
                  <c:v>5.5</c:v>
                </c:pt>
                <c:pt idx="56">
                  <c:v>5.6</c:v>
                </c:pt>
                <c:pt idx="57">
                  <c:v>5.7</c:v>
                </c:pt>
                <c:pt idx="58">
                  <c:v>5.8</c:v>
                </c:pt>
                <c:pt idx="59">
                  <c:v>5.9</c:v>
                </c:pt>
                <c:pt idx="60">
                  <c:v>6</c:v>
                </c:pt>
                <c:pt idx="61">
                  <c:v>6.1</c:v>
                </c:pt>
                <c:pt idx="62">
                  <c:v>6.2</c:v>
                </c:pt>
                <c:pt idx="63">
                  <c:v>6.3</c:v>
                </c:pt>
                <c:pt idx="64">
                  <c:v>6.4</c:v>
                </c:pt>
                <c:pt idx="65">
                  <c:v>6.5</c:v>
                </c:pt>
                <c:pt idx="66">
                  <c:v>6.6</c:v>
                </c:pt>
                <c:pt idx="67">
                  <c:v>6.7</c:v>
                </c:pt>
                <c:pt idx="68">
                  <c:v>6.8</c:v>
                </c:pt>
                <c:pt idx="69">
                  <c:v>6.9</c:v>
                </c:pt>
                <c:pt idx="70">
                  <c:v>7</c:v>
                </c:pt>
                <c:pt idx="71">
                  <c:v>7.1</c:v>
                </c:pt>
                <c:pt idx="72">
                  <c:v>7.2</c:v>
                </c:pt>
                <c:pt idx="73">
                  <c:v>7.3</c:v>
                </c:pt>
                <c:pt idx="74">
                  <c:v>7.4</c:v>
                </c:pt>
                <c:pt idx="75">
                  <c:v>7.5</c:v>
                </c:pt>
                <c:pt idx="76">
                  <c:v>7.6</c:v>
                </c:pt>
                <c:pt idx="77">
                  <c:v>7.7</c:v>
                </c:pt>
                <c:pt idx="78">
                  <c:v>7.8</c:v>
                </c:pt>
                <c:pt idx="79">
                  <c:v>7.9</c:v>
                </c:pt>
                <c:pt idx="80">
                  <c:v>8</c:v>
                </c:pt>
              </c:numCache>
            </c:numRef>
          </c:cat>
          <c:val>
            <c:numRef>
              <c:f>'Carbonate acidity'!$R$6:$R$86</c:f>
              <c:numCache>
                <c:formatCode>0.00E+00</c:formatCode>
                <c:ptCount val="81"/>
                <c:pt idx="0">
                  <c:v>11478.436413960815</c:v>
                </c:pt>
                <c:pt idx="1">
                  <c:v>11478.440516538469</c:v>
                </c:pt>
                <c:pt idx="2">
                  <c:v>11478.445681377734</c:v>
                </c:pt>
                <c:pt idx="3">
                  <c:v>11478.452183525136</c:v>
                </c:pt>
                <c:pt idx="4">
                  <c:v>11478.460369243743</c:v>
                </c:pt>
                <c:pt idx="5">
                  <c:v>11478.470674452927</c:v>
                </c:pt>
                <c:pt idx="6">
                  <c:v>11478.483647942661</c:v>
                </c:pt>
                <c:pt idx="7">
                  <c:v>11478.49998059861</c:v>
                </c:pt>
                <c:pt idx="8">
                  <c:v>11478.520542194283</c:v>
                </c:pt>
                <c:pt idx="9">
                  <c:v>11478.546427709669</c:v>
                </c:pt>
                <c:pt idx="10">
                  <c:v>11478.57901564293</c:v>
                </c:pt>
                <c:pt idx="11">
                  <c:v>11478.620041420463</c:v>
                </c:pt>
                <c:pt idx="12">
                  <c:v>11478.671689814695</c:v>
                </c:pt>
                <c:pt idx="13">
                  <c:v>11478.736711291253</c:v>
                </c:pt>
                <c:pt idx="14">
                  <c:v>11478.818568481318</c:v>
                </c:pt>
                <c:pt idx="15">
                  <c:v>11478.921620579473</c:v>
                </c:pt>
                <c:pt idx="16">
                  <c:v>11479.05135548687</c:v>
                </c:pt>
                <c:pt idx="17">
                  <c:v>11479.214682062218</c:v>
                </c:pt>
                <c:pt idx="18">
                  <c:v>11479.420298044108</c:v>
                </c:pt>
                <c:pt idx="19">
                  <c:v>11479.679153237896</c:v>
                </c:pt>
                <c:pt idx="20">
                  <c:v>11480.005032633793</c:v>
                </c:pt>
                <c:pt idx="21">
                  <c:v>11480.415290509385</c:v>
                </c:pt>
                <c:pt idx="22">
                  <c:v>11480.931774610672</c:v>
                </c:pt>
                <c:pt idx="23">
                  <c:v>11481.581989628135</c:v>
                </c:pt>
                <c:pt idx="24">
                  <c:v>11482.40056192798</c:v>
                </c:pt>
                <c:pt idx="25">
                  <c:v>11483.431083542227</c:v>
                </c:pt>
                <c:pt idx="26">
                  <c:v>11484.728433618966</c:v>
                </c:pt>
                <c:pt idx="27">
                  <c:v>11486.361700961761</c:v>
                </c:pt>
                <c:pt idx="28">
                  <c:v>11488.417863299468</c:v>
                </c:pt>
                <c:pt idx="29">
                  <c:v>11491.006419229474</c:v>
                </c:pt>
                <c:pt idx="30">
                  <c:v>11494.265219515493</c:v>
                </c:pt>
                <c:pt idx="31">
                  <c:v>11498.367808299099</c:v>
                </c:pt>
                <c:pt idx="32">
                  <c:v>11503.532665204815</c:v>
                </c:pt>
                <c:pt idx="33">
                  <c:v>11510.034840567869</c:v>
                </c:pt>
                <c:pt idx="34">
                  <c:v>11518.220603487267</c:v>
                </c:pt>
                <c:pt idx="35">
                  <c:v>11528.525882900261</c:v>
                </c:pt>
                <c:pt idx="36">
                  <c:v>11541.499483944632</c:v>
                </c:pt>
                <c:pt idx="37">
                  <c:v>11557.832316300823</c:v>
                </c:pt>
                <c:pt idx="38">
                  <c:v>11578.394191562278</c:v>
                </c:pt>
                <c:pt idx="39">
                  <c:v>11604.28015007216</c:v>
                </c:pt>
                <c:pt idx="40">
                  <c:v>11636.868785637274</c:v>
                </c:pt>
                <c:pt idx="41">
                  <c:v>11677.895676243032</c:v>
                </c:pt>
                <c:pt idx="42">
                  <c:v>11729.545834583094</c:v>
                </c:pt>
                <c:pt idx="43">
                  <c:v>11794.570107057274</c:v>
                </c:pt>
                <c:pt idx="44">
                  <c:v>11876.431728349418</c:v>
                </c:pt>
                <c:pt idx="45">
                  <c:v>11979.490849528511</c:v>
                </c:pt>
                <c:pt idx="46">
                  <c:v>12109.236887669356</c:v>
                </c:pt>
                <c:pt idx="47">
                  <c:v>12272.581104060246</c:v>
                </c:pt>
                <c:pt idx="48">
                  <c:v>12478.225045111205</c:v>
                </c:pt>
                <c:pt idx="49">
                  <c:v>12737.124551191446</c:v>
                </c:pt>
                <c:pt idx="50">
                  <c:v>13063.074177334278</c:v>
                </c:pt>
                <c:pt idx="51">
                  <c:v>13473.443360363366</c:v>
                </c:pt>
                <c:pt idx="52">
                  <c:v>13990.103872053514</c:v>
                </c:pt>
                <c:pt idx="53">
                  <c:v>14640.598481159515</c:v>
                </c:pt>
                <c:pt idx="54">
                  <c:v>15459.613903895048</c:v>
                </c:pt>
                <c:pt idx="55">
                  <c:v>16490.837820602719</c:v>
                </c:pt>
                <c:pt idx="56">
                  <c:v>17789.300971726498</c:v>
                </c:pt>
                <c:pt idx="57">
                  <c:v>19424.332418530837</c:v>
                </c:pt>
                <c:pt idx="58">
                  <c:v>21483.29067268236</c:v>
                </c:pt>
                <c:pt idx="59">
                  <c:v>24076.277831625754</c:v>
                </c:pt>
                <c:pt idx="60">
                  <c:v>27342.101142221291</c:v>
                </c:pt>
                <c:pt idx="61">
                  <c:v>31455.820669665602</c:v>
                </c:pt>
                <c:pt idx="62">
                  <c:v>36638.318615521734</c:v>
                </c:pt>
                <c:pt idx="63">
                  <c:v>43168.453143000879</c:v>
                </c:pt>
                <c:pt idx="64">
                  <c:v>51398.528351765679</c:v>
                </c:pt>
                <c:pt idx="65">
                  <c:v>61774.038010514603</c:v>
                </c:pt>
                <c:pt idx="66">
                  <c:v>74858.946493287294</c:v>
                </c:pt>
                <c:pt idx="67">
                  <c:v>91368.189250876865</c:v>
                </c:pt>
                <c:pt idx="68">
                  <c:v>112209.65615658344</c:v>
                </c:pt>
                <c:pt idx="69">
                  <c:v>138538.73756011168</c:v>
                </c:pt>
                <c:pt idx="70">
                  <c:v>171829.67558278888</c:v>
                </c:pt>
                <c:pt idx="71">
                  <c:v>213969.64057258083</c:v>
                </c:pt>
                <c:pt idx="72">
                  <c:v>267383.90292660531</c:v>
                </c:pt>
                <c:pt idx="73">
                  <c:v>335204.09184331069</c:v>
                </c:pt>
                <c:pt idx="74">
                  <c:v>421496.94207190216</c:v>
                </c:pt>
                <c:pt idx="75">
                  <c:v>531579.08782660903</c:v>
                </c:pt>
                <c:pt idx="76">
                  <c:v>672455.86980782601</c:v>
                </c:pt>
                <c:pt idx="77">
                  <c:v>853441.12633834826</c:v>
                </c:pt>
                <c:pt idx="78">
                  <c:v>1087044.2318145523</c:v>
                </c:pt>
                <c:pt idx="79">
                  <c:v>1390256.0272592693</c:v>
                </c:pt>
                <c:pt idx="80">
                  <c:v>1786435.8991582152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760C-844D-B6D5-5F3233F5B9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52651648"/>
        <c:axId val="1268154384"/>
      </c:lineChart>
      <c:catAx>
        <c:axId val="122464875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US"/>
                  <a:t>pH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224652384"/>
        <c:crossesAt val="1.0000000000000004E-5"/>
        <c:auto val="1"/>
        <c:lblAlgn val="ctr"/>
        <c:lblOffset val="100"/>
        <c:tickLblSkip val="10"/>
        <c:tickMarkSkip val="10"/>
        <c:noMultiLvlLbl val="0"/>
      </c:catAx>
      <c:valAx>
        <c:axId val="1224652384"/>
        <c:scaling>
          <c:orientation val="minMax"/>
          <c:max val="3.0000000000000009E-3"/>
          <c:min val="1.0000000000000004E-5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chemeClr val="accent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US">
                    <a:solidFill>
                      <a:schemeClr val="accent1"/>
                    </a:solidFill>
                  </a:rPr>
                  <a:t>CO</a:t>
                </a:r>
                <a:r>
                  <a:rPr lang="en-US" baseline="-25000">
                    <a:solidFill>
                      <a:schemeClr val="accent1"/>
                    </a:solidFill>
                  </a:rPr>
                  <a:t>2</a:t>
                </a:r>
                <a:r>
                  <a:rPr lang="en-US">
                    <a:solidFill>
                      <a:schemeClr val="accent1"/>
                    </a:solidFill>
                  </a:rPr>
                  <a:t> Concentration [M]</a:t>
                </a:r>
              </a:p>
            </c:rich>
          </c:tx>
          <c:layout>
            <c:manualLayout>
              <c:xMode val="edge"/>
              <c:yMode val="edge"/>
              <c:x val="1.5151515151515152E-2"/>
              <c:y val="0.206085137795275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chemeClr val="accent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0.00E+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224648752"/>
        <c:crosses val="autoZero"/>
        <c:crossBetween val="midCat"/>
      </c:valAx>
      <c:valAx>
        <c:axId val="1268154384"/>
        <c:scaling>
          <c:orientation val="minMax"/>
          <c:min val="100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chemeClr val="accent2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US">
                    <a:solidFill>
                      <a:schemeClr val="accent2"/>
                    </a:solidFill>
                  </a:rPr>
                  <a:t>L</a:t>
                </a:r>
                <a:r>
                  <a:rPr lang="en-US" baseline="-25000">
                    <a:solidFill>
                      <a:schemeClr val="accent2"/>
                    </a:solidFill>
                  </a:rPr>
                  <a:t>OW</a:t>
                </a:r>
                <a:r>
                  <a:rPr lang="en-US">
                    <a:solidFill>
                      <a:schemeClr val="accent2"/>
                    </a:solidFill>
                  </a:rPr>
                  <a:t>/kg CO</a:t>
                </a:r>
                <a:r>
                  <a:rPr lang="en-US" baseline="-25000">
                    <a:solidFill>
                      <a:schemeClr val="accent2"/>
                    </a:solidFill>
                  </a:rPr>
                  <a:t>2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chemeClr val="accent2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0.00E+0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252651648"/>
        <c:crosses val="max"/>
        <c:crossBetween val="between"/>
      </c:valAx>
      <c:catAx>
        <c:axId val="125265164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26815438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400">
          <a:solidFill>
            <a:schemeClr val="tx1"/>
          </a:solidFill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US" sz="1600"/>
              <a:t>Extraction Efficiency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'Carbonate acidity'!$A$5</c:f>
              <c:strCache>
                <c:ptCount val="1"/>
                <c:pt idx="0">
                  <c:v>CO₂</c:v>
                </c:pt>
              </c:strCache>
            </c:strRef>
          </c:tx>
          <c:spPr>
            <a:ln w="317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'Carbonate acidity'!$F$6:$F$86</c:f>
              <c:numCache>
                <c:formatCode>General</c:formatCode>
                <c:ptCount val="8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2.2999999999999998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</c:v>
                </c:pt>
                <c:pt idx="34">
                  <c:v>3.4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</c:v>
                </c:pt>
                <c:pt idx="39">
                  <c:v>3.9</c:v>
                </c:pt>
                <c:pt idx="40">
                  <c:v>4</c:v>
                </c:pt>
                <c:pt idx="41">
                  <c:v>4.0999999999999996</c:v>
                </c:pt>
                <c:pt idx="42">
                  <c:v>4.2</c:v>
                </c:pt>
                <c:pt idx="43">
                  <c:v>4.3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4.7</c:v>
                </c:pt>
                <c:pt idx="48">
                  <c:v>4.8</c:v>
                </c:pt>
                <c:pt idx="49">
                  <c:v>4.9000000000000004</c:v>
                </c:pt>
                <c:pt idx="50">
                  <c:v>5</c:v>
                </c:pt>
                <c:pt idx="51">
                  <c:v>5.0999999999999996</c:v>
                </c:pt>
                <c:pt idx="52">
                  <c:v>5.2</c:v>
                </c:pt>
                <c:pt idx="53">
                  <c:v>5.3</c:v>
                </c:pt>
                <c:pt idx="54">
                  <c:v>5.4</c:v>
                </c:pt>
                <c:pt idx="55">
                  <c:v>5.5</c:v>
                </c:pt>
                <c:pt idx="56">
                  <c:v>5.6</c:v>
                </c:pt>
                <c:pt idx="57">
                  <c:v>5.7</c:v>
                </c:pt>
                <c:pt idx="58">
                  <c:v>5.8</c:v>
                </c:pt>
                <c:pt idx="59">
                  <c:v>5.9</c:v>
                </c:pt>
                <c:pt idx="60">
                  <c:v>6</c:v>
                </c:pt>
                <c:pt idx="61">
                  <c:v>6.1</c:v>
                </c:pt>
                <c:pt idx="62">
                  <c:v>6.2</c:v>
                </c:pt>
                <c:pt idx="63">
                  <c:v>6.3</c:v>
                </c:pt>
                <c:pt idx="64">
                  <c:v>6.4</c:v>
                </c:pt>
                <c:pt idx="65">
                  <c:v>6.5</c:v>
                </c:pt>
                <c:pt idx="66">
                  <c:v>6.6</c:v>
                </c:pt>
                <c:pt idx="67">
                  <c:v>6.7</c:v>
                </c:pt>
                <c:pt idx="68">
                  <c:v>6.8</c:v>
                </c:pt>
                <c:pt idx="69">
                  <c:v>6.9</c:v>
                </c:pt>
                <c:pt idx="70">
                  <c:v>7</c:v>
                </c:pt>
                <c:pt idx="71">
                  <c:v>7.1</c:v>
                </c:pt>
                <c:pt idx="72">
                  <c:v>7.2</c:v>
                </c:pt>
                <c:pt idx="73">
                  <c:v>7.3</c:v>
                </c:pt>
                <c:pt idx="74">
                  <c:v>7.4</c:v>
                </c:pt>
                <c:pt idx="75">
                  <c:v>7.5</c:v>
                </c:pt>
                <c:pt idx="76">
                  <c:v>7.6</c:v>
                </c:pt>
                <c:pt idx="77">
                  <c:v>7.7</c:v>
                </c:pt>
                <c:pt idx="78">
                  <c:v>7.8</c:v>
                </c:pt>
                <c:pt idx="79">
                  <c:v>7.9</c:v>
                </c:pt>
                <c:pt idx="80">
                  <c:v>8</c:v>
                </c:pt>
              </c:numCache>
            </c:numRef>
          </c:cat>
          <c:val>
            <c:numRef>
              <c:f>'Carbonate acidity'!$A$6:$A$86</c:f>
              <c:numCache>
                <c:formatCode>0.00E+00</c:formatCode>
                <c:ptCount val="81"/>
                <c:pt idx="0">
                  <c:v>2.1999969631588063E-3</c:v>
                </c:pt>
                <c:pt idx="1">
                  <c:v>2.1999961768448149E-3</c:v>
                </c:pt>
                <c:pt idx="2">
                  <c:v>2.1999951869349482E-3</c:v>
                </c:pt>
                <c:pt idx="3">
                  <c:v>2.199993940713527E-3</c:v>
                </c:pt>
                <c:pt idx="4">
                  <c:v>2.1999923718157171E-3</c:v>
                </c:pt>
                <c:pt idx="5">
                  <c:v>2.1999903966935744E-3</c:v>
                </c:pt>
                <c:pt idx="6">
                  <c:v>2.1999879101671565E-3</c:v>
                </c:pt>
                <c:pt idx="7">
                  <c:v>2.199984779823846E-3</c:v>
                </c:pt>
                <c:pt idx="8">
                  <c:v>2.199980838967761E-3</c:v>
                </c:pt>
                <c:pt idx="9">
                  <c:v>2.1999758777439494E-3</c:v>
                </c:pt>
                <c:pt idx="10">
                  <c:v>2.1999696319650094E-3</c:v>
                </c:pt>
                <c:pt idx="11">
                  <c:v>2.1999617690455667E-3</c:v>
                </c:pt>
                <c:pt idx="12">
                  <c:v>2.1999518702963197E-3</c:v>
                </c:pt>
                <c:pt idx="13">
                  <c:v>2.1999394086358983E-3</c:v>
                </c:pt>
                <c:pt idx="14">
                  <c:v>2.1999237205354871E-3</c:v>
                </c:pt>
                <c:pt idx="15">
                  <c:v>2.1999039707050871E-3</c:v>
                </c:pt>
                <c:pt idx="16">
                  <c:v>2.1998791076454942E-3</c:v>
                </c:pt>
                <c:pt idx="17">
                  <c:v>2.1998478077063619E-3</c:v>
                </c:pt>
                <c:pt idx="18">
                  <c:v>2.1998084046829301E-3</c:v>
                </c:pt>
                <c:pt idx="19">
                  <c:v>2.1997588012207347E-3</c:v>
                </c:pt>
                <c:pt idx="20">
                  <c:v>2.1996963573396367E-3</c:v>
                </c:pt>
                <c:pt idx="21">
                  <c:v>2.1996177501872236E-3</c:v>
                </c:pt>
                <c:pt idx="22">
                  <c:v>2.1995187976266489E-3</c:v>
                </c:pt>
                <c:pt idx="23">
                  <c:v>2.1993942363811077E-3</c:v>
                </c:pt>
                <c:pt idx="24">
                  <c:v>2.1992374431052918E-3</c:v>
                </c:pt>
                <c:pt idx="25">
                  <c:v>2.1990400838227311E-3</c:v>
                </c:pt>
                <c:pt idx="26">
                  <c:v>2.19879167352396E-3</c:v>
                </c:pt>
                <c:pt idx="27">
                  <c:v>2.1984790232063515E-3</c:v>
                </c:pt>
                <c:pt idx="28">
                  <c:v>2.1980855460695041E-3</c:v>
                </c:pt>
                <c:pt idx="29">
                  <c:v>2.1975903877546137E-3</c:v>
                </c:pt>
                <c:pt idx="30">
                  <c:v>2.1969673372118081E-3</c:v>
                </c:pt>
                <c:pt idx="31">
                  <c:v>2.1961834647782714E-3</c:v>
                </c:pt>
                <c:pt idx="32">
                  <c:v>2.1951974221716738E-3</c:v>
                </c:pt>
                <c:pt idx="33">
                  <c:v>2.1939573252655223E-3</c:v>
                </c:pt>
                <c:pt idx="34">
                  <c:v>2.1923981248353395E-3</c:v>
                </c:pt>
                <c:pt idx="35">
                  <c:v>2.1904383534395474E-3</c:v>
                </c:pt>
                <c:pt idx="36">
                  <c:v>2.1879761193642142E-3</c:v>
                </c:pt>
                <c:pt idx="37">
                  <c:v>2.1848842033215729E-3</c:v>
                </c:pt>
                <c:pt idx="38">
                  <c:v>2.1810041042589446E-3</c:v>
                </c:pt>
                <c:pt idx="39">
                  <c:v>2.1761388837521494E-3</c:v>
                </c:pt>
                <c:pt idx="40">
                  <c:v>2.1700446845025019E-3</c:v>
                </c:pt>
                <c:pt idx="41">
                  <c:v>2.1624208635377534E-3</c:v>
                </c:pt>
                <c:pt idx="42">
                  <c:v>2.1528988085856961E-3</c:v>
                </c:pt>
                <c:pt idx="43">
                  <c:v>2.141029730063279E-3</c:v>
                </c:pt>
                <c:pt idx="44">
                  <c:v>2.1262720849265422E-3</c:v>
                </c:pt>
                <c:pt idx="45">
                  <c:v>2.1079798440281077E-3</c:v>
                </c:pt>
                <c:pt idx="46">
                  <c:v>2.0853936120648116E-3</c:v>
                </c:pt>
                <c:pt idx="47">
                  <c:v>2.0576376752703424E-3</c:v>
                </c:pt>
                <c:pt idx="48">
                  <c:v>2.0237273459352174E-3</c:v>
                </c:pt>
                <c:pt idx="49">
                  <c:v>1.9825923151676416E-3</c:v>
                </c:pt>
                <c:pt idx="50">
                  <c:v>1.9331227021845191E-3</c:v>
                </c:pt>
                <c:pt idx="51">
                  <c:v>1.8742443618246834E-3</c:v>
                </c:pt>
                <c:pt idx="52">
                  <c:v>1.8050277169828191E-3</c:v>
                </c:pt>
                <c:pt idx="53">
                  <c:v>1.7248287551237652E-3</c:v>
                </c:pt>
                <c:pt idx="54">
                  <c:v>1.6334512239120592E-3</c:v>
                </c:pt>
                <c:pt idx="55">
                  <c:v>1.5313063852326642E-3</c:v>
                </c:pt>
                <c:pt idx="56">
                  <c:v>1.4195344321095284E-3</c:v>
                </c:pt>
                <c:pt idx="57">
                  <c:v>1.3000459788483805E-3</c:v>
                </c:pt>
                <c:pt idx="58">
                  <c:v>1.1754495918372394E-3</c:v>
                </c:pt>
                <c:pt idx="59">
                  <c:v>1.0488550360286349E-3</c:v>
                </c:pt>
                <c:pt idx="60">
                  <c:v>9.2357661619247905E-4</c:v>
                </c:pt>
                <c:pt idx="61">
                  <c:v>8.0279340086896888E-4</c:v>
                </c:pt>
                <c:pt idx="62">
                  <c:v>6.8923810389669702E-4</c:v>
                </c:pt>
                <c:pt idx="63">
                  <c:v>5.8497637543029673E-4</c:v>
                </c:pt>
                <c:pt idx="64">
                  <c:v>4.9130833240399114E-4</c:v>
                </c:pt>
                <c:pt idx="65">
                  <c:v>4.0878864432056396E-4</c:v>
                </c:pt>
                <c:pt idx="66">
                  <c:v>3.3733476672410403E-4</c:v>
                </c:pt>
                <c:pt idx="67">
                  <c:v>2.7638202594983466E-4</c:v>
                </c:pt>
                <c:pt idx="68">
                  <c:v>2.2504770193116453E-4</c:v>
                </c:pt>
                <c:pt idx="69">
                  <c:v>1.822777202771047E-4</c:v>
                </c:pt>
                <c:pt idx="70">
                  <c:v>1.4696253814643553E-4</c:v>
                </c:pt>
                <c:pt idx="71">
                  <c:v>1.1801919741954853E-4</c:v>
                </c:pt>
                <c:pt idx="72">
                  <c:v>9.4442952534270049E-5</c:v>
                </c:pt>
                <c:pt idx="73">
                  <c:v>7.5334776236351584E-5</c:v>
                </c:pt>
                <c:pt idx="74">
                  <c:v>5.9911526589954445E-5</c:v>
                </c:pt>
                <c:pt idx="75">
                  <c:v>4.7504737922952585E-5</c:v>
                </c:pt>
                <c:pt idx="76">
                  <c:v>3.7552687672637762E-5</c:v>
                </c:pt>
                <c:pt idx="77">
                  <c:v>2.9589065341706825E-5</c:v>
                </c:pt>
                <c:pt idx="78">
                  <c:v>2.3230448691468968E-5</c:v>
                </c:pt>
                <c:pt idx="79">
                  <c:v>1.8163938697182073E-5</c:v>
                </c:pt>
                <c:pt idx="80">
                  <c:v>1.4135701854415529E-5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4D8-E645-ABA3-D283E33A04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24648752"/>
        <c:axId val="1224652384"/>
      </c:lineChart>
      <c:lineChart>
        <c:grouping val="standard"/>
        <c:varyColors val="0"/>
        <c:ser>
          <c:idx val="1"/>
          <c:order val="1"/>
          <c:tx>
            <c:strRef>
              <c:f>'Carbonate acidity'!$Q$5</c:f>
              <c:strCache>
                <c:ptCount val="1"/>
                <c:pt idx="0">
                  <c:v>Extraction Efficiency</c:v>
                </c:pt>
              </c:strCache>
            </c:strRef>
          </c:tx>
          <c:spPr>
            <a:ln w="317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'Carbonate acidity'!$F$6:$F$86</c:f>
              <c:numCache>
                <c:formatCode>General</c:formatCode>
                <c:ptCount val="8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2.2999999999999998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</c:v>
                </c:pt>
                <c:pt idx="34">
                  <c:v>3.4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</c:v>
                </c:pt>
                <c:pt idx="39">
                  <c:v>3.9</c:v>
                </c:pt>
                <c:pt idx="40">
                  <c:v>4</c:v>
                </c:pt>
                <c:pt idx="41">
                  <c:v>4.0999999999999996</c:v>
                </c:pt>
                <c:pt idx="42">
                  <c:v>4.2</c:v>
                </c:pt>
                <c:pt idx="43">
                  <c:v>4.3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4.7</c:v>
                </c:pt>
                <c:pt idx="48">
                  <c:v>4.8</c:v>
                </c:pt>
                <c:pt idx="49">
                  <c:v>4.9000000000000004</c:v>
                </c:pt>
                <c:pt idx="50">
                  <c:v>5</c:v>
                </c:pt>
                <c:pt idx="51">
                  <c:v>5.0999999999999996</c:v>
                </c:pt>
                <c:pt idx="52">
                  <c:v>5.2</c:v>
                </c:pt>
                <c:pt idx="53">
                  <c:v>5.3</c:v>
                </c:pt>
                <c:pt idx="54">
                  <c:v>5.4</c:v>
                </c:pt>
                <c:pt idx="55">
                  <c:v>5.5</c:v>
                </c:pt>
                <c:pt idx="56">
                  <c:v>5.6</c:v>
                </c:pt>
                <c:pt idx="57">
                  <c:v>5.7</c:v>
                </c:pt>
                <c:pt idx="58">
                  <c:v>5.8</c:v>
                </c:pt>
                <c:pt idx="59">
                  <c:v>5.9</c:v>
                </c:pt>
                <c:pt idx="60">
                  <c:v>6</c:v>
                </c:pt>
                <c:pt idx="61">
                  <c:v>6.1</c:v>
                </c:pt>
                <c:pt idx="62">
                  <c:v>6.2</c:v>
                </c:pt>
                <c:pt idx="63">
                  <c:v>6.3</c:v>
                </c:pt>
                <c:pt idx="64">
                  <c:v>6.4</c:v>
                </c:pt>
                <c:pt idx="65">
                  <c:v>6.5</c:v>
                </c:pt>
                <c:pt idx="66">
                  <c:v>6.6</c:v>
                </c:pt>
                <c:pt idx="67">
                  <c:v>6.7</c:v>
                </c:pt>
                <c:pt idx="68">
                  <c:v>6.8</c:v>
                </c:pt>
                <c:pt idx="69">
                  <c:v>6.9</c:v>
                </c:pt>
                <c:pt idx="70">
                  <c:v>7</c:v>
                </c:pt>
                <c:pt idx="71">
                  <c:v>7.1</c:v>
                </c:pt>
                <c:pt idx="72">
                  <c:v>7.2</c:v>
                </c:pt>
                <c:pt idx="73">
                  <c:v>7.3</c:v>
                </c:pt>
                <c:pt idx="74">
                  <c:v>7.4</c:v>
                </c:pt>
                <c:pt idx="75">
                  <c:v>7.5</c:v>
                </c:pt>
                <c:pt idx="76">
                  <c:v>7.6</c:v>
                </c:pt>
                <c:pt idx="77">
                  <c:v>7.7</c:v>
                </c:pt>
                <c:pt idx="78">
                  <c:v>7.8</c:v>
                </c:pt>
                <c:pt idx="79">
                  <c:v>7.9</c:v>
                </c:pt>
                <c:pt idx="80">
                  <c:v>8</c:v>
                </c:pt>
              </c:numCache>
            </c:numRef>
          </c:cat>
          <c:val>
            <c:numRef>
              <c:f>'Carbonate acidity'!$Q$6:$Q$86</c:f>
              <c:numCache>
                <c:formatCode>0%</c:formatCode>
                <c:ptCount val="81"/>
                <c:pt idx="0">
                  <c:v>0.99999861961763914</c:v>
                </c:pt>
                <c:pt idx="1">
                  <c:v>0.99999826220218857</c:v>
                </c:pt>
                <c:pt idx="2">
                  <c:v>0.9999978122431582</c:v>
                </c:pt>
                <c:pt idx="3">
                  <c:v>0.99999724577887583</c:v>
                </c:pt>
                <c:pt idx="4">
                  <c:v>0.99999653264350774</c:v>
                </c:pt>
                <c:pt idx="5">
                  <c:v>0.99999563486071563</c:v>
                </c:pt>
                <c:pt idx="6">
                  <c:v>0.99999450462143469</c:v>
                </c:pt>
                <c:pt idx="7">
                  <c:v>0.99999308173811174</c:v>
                </c:pt>
                <c:pt idx="8">
                  <c:v>0.99999129043989132</c:v>
                </c:pt>
                <c:pt idx="9">
                  <c:v>0.99998903533815875</c:v>
                </c:pt>
                <c:pt idx="10">
                  <c:v>0.99998619634773145</c:v>
                </c:pt>
                <c:pt idx="11">
                  <c:v>0.99998262229343937</c:v>
                </c:pt>
                <c:pt idx="12">
                  <c:v>0.99997812286196341</c:v>
                </c:pt>
                <c:pt idx="13">
                  <c:v>0.9999724584708628</c:v>
                </c:pt>
                <c:pt idx="14">
                  <c:v>0.99996532751613043</c:v>
                </c:pt>
                <c:pt idx="15">
                  <c:v>0.99995635032049401</c:v>
                </c:pt>
                <c:pt idx="16">
                  <c:v>0.99994504892976999</c:v>
                </c:pt>
                <c:pt idx="17">
                  <c:v>0.99993082168470993</c:v>
                </c:pt>
                <c:pt idx="18">
                  <c:v>0.99991291121951364</c:v>
                </c:pt>
                <c:pt idx="19">
                  <c:v>0.999890364191243</c:v>
                </c:pt>
                <c:pt idx="20">
                  <c:v>0.99986198060892573</c:v>
                </c:pt>
                <c:pt idx="21">
                  <c:v>0.99982625008510162</c:v>
                </c:pt>
                <c:pt idx="22">
                  <c:v>0.99978127164847674</c:v>
                </c:pt>
                <c:pt idx="23">
                  <c:v>0.9997246529005035</c:v>
                </c:pt>
                <c:pt idx="24">
                  <c:v>0.99965338322967801</c:v>
                </c:pt>
                <c:pt idx="25">
                  <c:v>0.99956367446487771</c:v>
                </c:pt>
                <c:pt idx="26">
                  <c:v>0.99945076069270899</c:v>
                </c:pt>
                <c:pt idx="27">
                  <c:v>0.99930864691197785</c:v>
                </c:pt>
                <c:pt idx="28">
                  <c:v>0.99912979366795629</c:v>
                </c:pt>
                <c:pt idx="29">
                  <c:v>0.99890472170664257</c:v>
                </c:pt>
                <c:pt idx="30">
                  <c:v>0.99862151691445822</c:v>
                </c:pt>
                <c:pt idx="31">
                  <c:v>0.99826521126285062</c:v>
                </c:pt>
                <c:pt idx="32">
                  <c:v>0.99781701007803347</c:v>
                </c:pt>
                <c:pt idx="33">
                  <c:v>0.99725332966614644</c:v>
                </c:pt>
                <c:pt idx="34">
                  <c:v>0.99654460219788155</c:v>
                </c:pt>
                <c:pt idx="35">
                  <c:v>0.99565379701797607</c:v>
                </c:pt>
                <c:pt idx="36">
                  <c:v>0.99453459971100633</c:v>
                </c:pt>
                <c:pt idx="37">
                  <c:v>0.99312918332798761</c:v>
                </c:pt>
                <c:pt idx="38">
                  <c:v>0.99136550193588391</c:v>
                </c:pt>
                <c:pt idx="39">
                  <c:v>0.98915403806915869</c:v>
                </c:pt>
                <c:pt idx="40">
                  <c:v>0.98638394750113711</c:v>
                </c:pt>
                <c:pt idx="41">
                  <c:v>0.98291857433534235</c:v>
                </c:pt>
                <c:pt idx="42">
                  <c:v>0.97859036753895268</c:v>
                </c:pt>
                <c:pt idx="43">
                  <c:v>0.97319533184694496</c:v>
                </c:pt>
                <c:pt idx="44">
                  <c:v>0.96648731133024635</c:v>
                </c:pt>
                <c:pt idx="45">
                  <c:v>0.95817265637641247</c:v>
                </c:pt>
                <c:pt idx="46">
                  <c:v>0.94790618730218701</c:v>
                </c:pt>
                <c:pt idx="47">
                  <c:v>0.93528985239561013</c:v>
                </c:pt>
                <c:pt idx="48">
                  <c:v>0.91987606633418972</c:v>
                </c:pt>
                <c:pt idx="49">
                  <c:v>0.90117832507620066</c:v>
                </c:pt>
                <c:pt idx="50">
                  <c:v>0.87869213735659957</c:v>
                </c:pt>
                <c:pt idx="51">
                  <c:v>0.85192925537485609</c:v>
                </c:pt>
                <c:pt idx="52">
                  <c:v>0.82046714408309951</c:v>
                </c:pt>
                <c:pt idx="53">
                  <c:v>0.78401307051080238</c:v>
                </c:pt>
                <c:pt idx="54">
                  <c:v>0.74247782905093596</c:v>
                </c:pt>
                <c:pt idx="55">
                  <c:v>0.69604835692393818</c:v>
                </c:pt>
                <c:pt idx="56">
                  <c:v>0.64524292368614922</c:v>
                </c:pt>
                <c:pt idx="57">
                  <c:v>0.59092999038562743</c:v>
                </c:pt>
                <c:pt idx="58">
                  <c:v>0.53429526901692703</c:v>
                </c:pt>
                <c:pt idx="59">
                  <c:v>0.47675228910392498</c:v>
                </c:pt>
                <c:pt idx="60">
                  <c:v>0.41980755281476317</c:v>
                </c:pt>
                <c:pt idx="61">
                  <c:v>0.36490609130407675</c:v>
                </c:pt>
                <c:pt idx="62">
                  <c:v>0.31329004722577136</c:v>
                </c:pt>
                <c:pt idx="63">
                  <c:v>0.26589835246831667</c:v>
                </c:pt>
                <c:pt idx="64">
                  <c:v>0.22332196927454143</c:v>
                </c:pt>
                <c:pt idx="65">
                  <c:v>0.18581302014571088</c:v>
                </c:pt>
                <c:pt idx="66">
                  <c:v>0.15333398487459274</c:v>
                </c:pt>
                <c:pt idx="67">
                  <c:v>0.1256281936135612</c:v>
                </c:pt>
                <c:pt idx="68">
                  <c:v>0.10229440996871114</c:v>
                </c:pt>
                <c:pt idx="69">
                  <c:v>8.2853509216865767E-2</c:v>
                </c:pt>
                <c:pt idx="70">
                  <c:v>6.6801153702925234E-2</c:v>
                </c:pt>
                <c:pt idx="71">
                  <c:v>5.3645089736158419E-2</c:v>
                </c:pt>
                <c:pt idx="72">
                  <c:v>4.2928614788304564E-2</c:v>
                </c:pt>
                <c:pt idx="73">
                  <c:v>3.4243080107432537E-2</c:v>
                </c:pt>
                <c:pt idx="74">
                  <c:v>2.7232512086342926E-2</c:v>
                </c:pt>
                <c:pt idx="75">
                  <c:v>2.1593062692251173E-2</c:v>
                </c:pt>
                <c:pt idx="76">
                  <c:v>1.7069403487562619E-2</c:v>
                </c:pt>
                <c:pt idx="77">
                  <c:v>1.3449575155321284E-2</c:v>
                </c:pt>
                <c:pt idx="78">
                  <c:v>1.0559294859758621E-2</c:v>
                </c:pt>
                <c:pt idx="79">
                  <c:v>8.2563357714463964E-3</c:v>
                </c:pt>
                <c:pt idx="80">
                  <c:v>6.4253190247343314E-3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4D8-E645-ABA3-D283E33A04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52651648"/>
        <c:axId val="1268154384"/>
      </c:lineChart>
      <c:catAx>
        <c:axId val="122464875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US"/>
                  <a:t>pH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224652384"/>
        <c:crossesAt val="1.0000000000000004E-5"/>
        <c:auto val="1"/>
        <c:lblAlgn val="ctr"/>
        <c:lblOffset val="100"/>
        <c:tickLblSkip val="10"/>
        <c:tickMarkSkip val="10"/>
        <c:noMultiLvlLbl val="0"/>
      </c:catAx>
      <c:valAx>
        <c:axId val="1224652384"/>
        <c:scaling>
          <c:orientation val="minMax"/>
          <c:max val="3.0000000000000009E-3"/>
          <c:min val="1.0000000000000004E-5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chemeClr val="accent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US">
                    <a:solidFill>
                      <a:schemeClr val="accent1"/>
                    </a:solidFill>
                  </a:rPr>
                  <a:t>CO</a:t>
                </a:r>
                <a:r>
                  <a:rPr lang="en-US" baseline="-25000">
                    <a:solidFill>
                      <a:schemeClr val="accent1"/>
                    </a:solidFill>
                  </a:rPr>
                  <a:t>2</a:t>
                </a:r>
                <a:r>
                  <a:rPr lang="en-US">
                    <a:solidFill>
                      <a:schemeClr val="accent1"/>
                    </a:solidFill>
                  </a:rPr>
                  <a:t> Concentration [M]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chemeClr val="accent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0.00E+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224648752"/>
        <c:crosses val="autoZero"/>
        <c:crossBetween val="midCat"/>
      </c:valAx>
      <c:valAx>
        <c:axId val="1268154384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chemeClr val="accent2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US">
                    <a:solidFill>
                      <a:schemeClr val="accent2"/>
                    </a:solidFill>
                  </a:rPr>
                  <a:t>Extraction Efficiency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chemeClr val="accent2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252651648"/>
        <c:crosses val="max"/>
        <c:crossBetween val="between"/>
      </c:valAx>
      <c:catAx>
        <c:axId val="125265164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26815438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400">
          <a:solidFill>
            <a:schemeClr val="tx1"/>
          </a:solidFill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US" sz="1600"/>
              <a:t>Added Acid vs. pH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'Carbonate acidity'!$A$5</c:f>
              <c:strCache>
                <c:ptCount val="1"/>
                <c:pt idx="0">
                  <c:v>CO₂</c:v>
                </c:pt>
              </c:strCache>
            </c:strRef>
          </c:tx>
          <c:spPr>
            <a:ln w="317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'Carbonate acidity'!$F$6:$F$86</c:f>
              <c:numCache>
                <c:formatCode>General</c:formatCode>
                <c:ptCount val="8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2.2999999999999998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</c:v>
                </c:pt>
                <c:pt idx="34">
                  <c:v>3.4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</c:v>
                </c:pt>
                <c:pt idx="39">
                  <c:v>3.9</c:v>
                </c:pt>
                <c:pt idx="40">
                  <c:v>4</c:v>
                </c:pt>
                <c:pt idx="41">
                  <c:v>4.0999999999999996</c:v>
                </c:pt>
                <c:pt idx="42">
                  <c:v>4.2</c:v>
                </c:pt>
                <c:pt idx="43">
                  <c:v>4.3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4.7</c:v>
                </c:pt>
                <c:pt idx="48">
                  <c:v>4.8</c:v>
                </c:pt>
                <c:pt idx="49">
                  <c:v>4.9000000000000004</c:v>
                </c:pt>
                <c:pt idx="50">
                  <c:v>5</c:v>
                </c:pt>
                <c:pt idx="51">
                  <c:v>5.0999999999999996</c:v>
                </c:pt>
                <c:pt idx="52">
                  <c:v>5.2</c:v>
                </c:pt>
                <c:pt idx="53">
                  <c:v>5.3</c:v>
                </c:pt>
                <c:pt idx="54">
                  <c:v>5.4</c:v>
                </c:pt>
                <c:pt idx="55">
                  <c:v>5.5</c:v>
                </c:pt>
                <c:pt idx="56">
                  <c:v>5.6</c:v>
                </c:pt>
                <c:pt idx="57">
                  <c:v>5.7</c:v>
                </c:pt>
                <c:pt idx="58">
                  <c:v>5.8</c:v>
                </c:pt>
                <c:pt idx="59">
                  <c:v>5.9</c:v>
                </c:pt>
                <c:pt idx="60">
                  <c:v>6</c:v>
                </c:pt>
                <c:pt idx="61">
                  <c:v>6.1</c:v>
                </c:pt>
                <c:pt idx="62">
                  <c:v>6.2</c:v>
                </c:pt>
                <c:pt idx="63">
                  <c:v>6.3</c:v>
                </c:pt>
                <c:pt idx="64">
                  <c:v>6.4</c:v>
                </c:pt>
                <c:pt idx="65">
                  <c:v>6.5</c:v>
                </c:pt>
                <c:pt idx="66">
                  <c:v>6.6</c:v>
                </c:pt>
                <c:pt idx="67">
                  <c:v>6.7</c:v>
                </c:pt>
                <c:pt idx="68">
                  <c:v>6.8</c:v>
                </c:pt>
                <c:pt idx="69">
                  <c:v>6.9</c:v>
                </c:pt>
                <c:pt idx="70">
                  <c:v>7</c:v>
                </c:pt>
                <c:pt idx="71">
                  <c:v>7.1</c:v>
                </c:pt>
                <c:pt idx="72">
                  <c:v>7.2</c:v>
                </c:pt>
                <c:pt idx="73">
                  <c:v>7.3</c:v>
                </c:pt>
                <c:pt idx="74">
                  <c:v>7.4</c:v>
                </c:pt>
                <c:pt idx="75">
                  <c:v>7.5</c:v>
                </c:pt>
                <c:pt idx="76">
                  <c:v>7.6</c:v>
                </c:pt>
                <c:pt idx="77">
                  <c:v>7.7</c:v>
                </c:pt>
                <c:pt idx="78">
                  <c:v>7.8</c:v>
                </c:pt>
                <c:pt idx="79">
                  <c:v>7.9</c:v>
                </c:pt>
                <c:pt idx="80">
                  <c:v>8</c:v>
                </c:pt>
              </c:numCache>
            </c:numRef>
          </c:cat>
          <c:val>
            <c:numRef>
              <c:f>'Carbonate acidity'!$A$6:$A$86</c:f>
              <c:numCache>
                <c:formatCode>0.00E+00</c:formatCode>
                <c:ptCount val="81"/>
                <c:pt idx="0">
                  <c:v>2.1999969631588063E-3</c:v>
                </c:pt>
                <c:pt idx="1">
                  <c:v>2.1999961768448149E-3</c:v>
                </c:pt>
                <c:pt idx="2">
                  <c:v>2.1999951869349482E-3</c:v>
                </c:pt>
                <c:pt idx="3">
                  <c:v>2.199993940713527E-3</c:v>
                </c:pt>
                <c:pt idx="4">
                  <c:v>2.1999923718157171E-3</c:v>
                </c:pt>
                <c:pt idx="5">
                  <c:v>2.1999903966935744E-3</c:v>
                </c:pt>
                <c:pt idx="6">
                  <c:v>2.1999879101671565E-3</c:v>
                </c:pt>
                <c:pt idx="7">
                  <c:v>2.199984779823846E-3</c:v>
                </c:pt>
                <c:pt idx="8">
                  <c:v>2.199980838967761E-3</c:v>
                </c:pt>
                <c:pt idx="9">
                  <c:v>2.1999758777439494E-3</c:v>
                </c:pt>
                <c:pt idx="10">
                  <c:v>2.1999696319650094E-3</c:v>
                </c:pt>
                <c:pt idx="11">
                  <c:v>2.1999617690455667E-3</c:v>
                </c:pt>
                <c:pt idx="12">
                  <c:v>2.1999518702963197E-3</c:v>
                </c:pt>
                <c:pt idx="13">
                  <c:v>2.1999394086358983E-3</c:v>
                </c:pt>
                <c:pt idx="14">
                  <c:v>2.1999237205354871E-3</c:v>
                </c:pt>
                <c:pt idx="15">
                  <c:v>2.1999039707050871E-3</c:v>
                </c:pt>
                <c:pt idx="16">
                  <c:v>2.1998791076454942E-3</c:v>
                </c:pt>
                <c:pt idx="17">
                  <c:v>2.1998478077063619E-3</c:v>
                </c:pt>
                <c:pt idx="18">
                  <c:v>2.1998084046829301E-3</c:v>
                </c:pt>
                <c:pt idx="19">
                  <c:v>2.1997588012207347E-3</c:v>
                </c:pt>
                <c:pt idx="20">
                  <c:v>2.1996963573396367E-3</c:v>
                </c:pt>
                <c:pt idx="21">
                  <c:v>2.1996177501872236E-3</c:v>
                </c:pt>
                <c:pt idx="22">
                  <c:v>2.1995187976266489E-3</c:v>
                </c:pt>
                <c:pt idx="23">
                  <c:v>2.1993942363811077E-3</c:v>
                </c:pt>
                <c:pt idx="24">
                  <c:v>2.1992374431052918E-3</c:v>
                </c:pt>
                <c:pt idx="25">
                  <c:v>2.1990400838227311E-3</c:v>
                </c:pt>
                <c:pt idx="26">
                  <c:v>2.19879167352396E-3</c:v>
                </c:pt>
                <c:pt idx="27">
                  <c:v>2.1984790232063515E-3</c:v>
                </c:pt>
                <c:pt idx="28">
                  <c:v>2.1980855460695041E-3</c:v>
                </c:pt>
                <c:pt idx="29">
                  <c:v>2.1975903877546137E-3</c:v>
                </c:pt>
                <c:pt idx="30">
                  <c:v>2.1969673372118081E-3</c:v>
                </c:pt>
                <c:pt idx="31">
                  <c:v>2.1961834647782714E-3</c:v>
                </c:pt>
                <c:pt idx="32">
                  <c:v>2.1951974221716738E-3</c:v>
                </c:pt>
                <c:pt idx="33">
                  <c:v>2.1939573252655223E-3</c:v>
                </c:pt>
                <c:pt idx="34">
                  <c:v>2.1923981248353395E-3</c:v>
                </c:pt>
                <c:pt idx="35">
                  <c:v>2.1904383534395474E-3</c:v>
                </c:pt>
                <c:pt idx="36">
                  <c:v>2.1879761193642142E-3</c:v>
                </c:pt>
                <c:pt idx="37">
                  <c:v>2.1848842033215729E-3</c:v>
                </c:pt>
                <c:pt idx="38">
                  <c:v>2.1810041042589446E-3</c:v>
                </c:pt>
                <c:pt idx="39">
                  <c:v>2.1761388837521494E-3</c:v>
                </c:pt>
                <c:pt idx="40">
                  <c:v>2.1700446845025019E-3</c:v>
                </c:pt>
                <c:pt idx="41">
                  <c:v>2.1624208635377534E-3</c:v>
                </c:pt>
                <c:pt idx="42">
                  <c:v>2.1528988085856961E-3</c:v>
                </c:pt>
                <c:pt idx="43">
                  <c:v>2.141029730063279E-3</c:v>
                </c:pt>
                <c:pt idx="44">
                  <c:v>2.1262720849265422E-3</c:v>
                </c:pt>
                <c:pt idx="45">
                  <c:v>2.1079798440281077E-3</c:v>
                </c:pt>
                <c:pt idx="46">
                  <c:v>2.0853936120648116E-3</c:v>
                </c:pt>
                <c:pt idx="47">
                  <c:v>2.0576376752703424E-3</c:v>
                </c:pt>
                <c:pt idx="48">
                  <c:v>2.0237273459352174E-3</c:v>
                </c:pt>
                <c:pt idx="49">
                  <c:v>1.9825923151676416E-3</c:v>
                </c:pt>
                <c:pt idx="50">
                  <c:v>1.9331227021845191E-3</c:v>
                </c:pt>
                <c:pt idx="51">
                  <c:v>1.8742443618246834E-3</c:v>
                </c:pt>
                <c:pt idx="52">
                  <c:v>1.8050277169828191E-3</c:v>
                </c:pt>
                <c:pt idx="53">
                  <c:v>1.7248287551237652E-3</c:v>
                </c:pt>
                <c:pt idx="54">
                  <c:v>1.6334512239120592E-3</c:v>
                </c:pt>
                <c:pt idx="55">
                  <c:v>1.5313063852326642E-3</c:v>
                </c:pt>
                <c:pt idx="56">
                  <c:v>1.4195344321095284E-3</c:v>
                </c:pt>
                <c:pt idx="57">
                  <c:v>1.3000459788483805E-3</c:v>
                </c:pt>
                <c:pt idx="58">
                  <c:v>1.1754495918372394E-3</c:v>
                </c:pt>
                <c:pt idx="59">
                  <c:v>1.0488550360286349E-3</c:v>
                </c:pt>
                <c:pt idx="60">
                  <c:v>9.2357661619247905E-4</c:v>
                </c:pt>
                <c:pt idx="61">
                  <c:v>8.0279340086896888E-4</c:v>
                </c:pt>
                <c:pt idx="62">
                  <c:v>6.8923810389669702E-4</c:v>
                </c:pt>
                <c:pt idx="63">
                  <c:v>5.8497637543029673E-4</c:v>
                </c:pt>
                <c:pt idx="64">
                  <c:v>4.9130833240399114E-4</c:v>
                </c:pt>
                <c:pt idx="65">
                  <c:v>4.0878864432056396E-4</c:v>
                </c:pt>
                <c:pt idx="66">
                  <c:v>3.3733476672410403E-4</c:v>
                </c:pt>
                <c:pt idx="67">
                  <c:v>2.7638202594983466E-4</c:v>
                </c:pt>
                <c:pt idx="68">
                  <c:v>2.2504770193116453E-4</c:v>
                </c:pt>
                <c:pt idx="69">
                  <c:v>1.822777202771047E-4</c:v>
                </c:pt>
                <c:pt idx="70">
                  <c:v>1.4696253814643553E-4</c:v>
                </c:pt>
                <c:pt idx="71">
                  <c:v>1.1801919741954853E-4</c:v>
                </c:pt>
                <c:pt idx="72">
                  <c:v>9.4442952534270049E-5</c:v>
                </c:pt>
                <c:pt idx="73">
                  <c:v>7.5334776236351584E-5</c:v>
                </c:pt>
                <c:pt idx="74">
                  <c:v>5.9911526589954445E-5</c:v>
                </c:pt>
                <c:pt idx="75">
                  <c:v>4.7504737922952585E-5</c:v>
                </c:pt>
                <c:pt idx="76">
                  <c:v>3.7552687672637762E-5</c:v>
                </c:pt>
                <c:pt idx="77">
                  <c:v>2.9589065341706825E-5</c:v>
                </c:pt>
                <c:pt idx="78">
                  <c:v>2.3230448691468968E-5</c:v>
                </c:pt>
                <c:pt idx="79">
                  <c:v>1.8163938697182073E-5</c:v>
                </c:pt>
                <c:pt idx="80">
                  <c:v>1.4135701854415529E-5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11D-1147-9B4E-3DD5C29CB55E}"/>
            </c:ext>
          </c:extLst>
        </c:ser>
        <c:ser>
          <c:idx val="3"/>
          <c:order val="1"/>
          <c:tx>
            <c:strRef>
              <c:f>'Carbonate acidity'!$R$5</c:f>
              <c:strCache>
                <c:ptCount val="1"/>
                <c:pt idx="0">
                  <c:v>L OW/kg CO2</c:v>
                </c:pt>
              </c:strCache>
            </c:strRef>
          </c:tx>
          <c:spPr>
            <a:ln w="317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'Carbonate acidity'!$F$6:$F$86</c:f>
              <c:numCache>
                <c:formatCode>General</c:formatCode>
                <c:ptCount val="8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2.2999999999999998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</c:v>
                </c:pt>
                <c:pt idx="34">
                  <c:v>3.4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</c:v>
                </c:pt>
                <c:pt idx="39">
                  <c:v>3.9</c:v>
                </c:pt>
                <c:pt idx="40">
                  <c:v>4</c:v>
                </c:pt>
                <c:pt idx="41">
                  <c:v>4.0999999999999996</c:v>
                </c:pt>
                <c:pt idx="42">
                  <c:v>4.2</c:v>
                </c:pt>
                <c:pt idx="43">
                  <c:v>4.3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4.7</c:v>
                </c:pt>
                <c:pt idx="48">
                  <c:v>4.8</c:v>
                </c:pt>
                <c:pt idx="49">
                  <c:v>4.9000000000000004</c:v>
                </c:pt>
                <c:pt idx="50">
                  <c:v>5</c:v>
                </c:pt>
                <c:pt idx="51">
                  <c:v>5.0999999999999996</c:v>
                </c:pt>
                <c:pt idx="52">
                  <c:v>5.2</c:v>
                </c:pt>
                <c:pt idx="53">
                  <c:v>5.3</c:v>
                </c:pt>
                <c:pt idx="54">
                  <c:v>5.4</c:v>
                </c:pt>
                <c:pt idx="55">
                  <c:v>5.5</c:v>
                </c:pt>
                <c:pt idx="56">
                  <c:v>5.6</c:v>
                </c:pt>
                <c:pt idx="57">
                  <c:v>5.7</c:v>
                </c:pt>
                <c:pt idx="58">
                  <c:v>5.8</c:v>
                </c:pt>
                <c:pt idx="59">
                  <c:v>5.9</c:v>
                </c:pt>
                <c:pt idx="60">
                  <c:v>6</c:v>
                </c:pt>
                <c:pt idx="61">
                  <c:v>6.1</c:v>
                </c:pt>
                <c:pt idx="62">
                  <c:v>6.2</c:v>
                </c:pt>
                <c:pt idx="63">
                  <c:v>6.3</c:v>
                </c:pt>
                <c:pt idx="64">
                  <c:v>6.4</c:v>
                </c:pt>
                <c:pt idx="65">
                  <c:v>6.5</c:v>
                </c:pt>
                <c:pt idx="66">
                  <c:v>6.6</c:v>
                </c:pt>
                <c:pt idx="67">
                  <c:v>6.7</c:v>
                </c:pt>
                <c:pt idx="68">
                  <c:v>6.8</c:v>
                </c:pt>
                <c:pt idx="69">
                  <c:v>6.9</c:v>
                </c:pt>
                <c:pt idx="70">
                  <c:v>7</c:v>
                </c:pt>
                <c:pt idx="71">
                  <c:v>7.1</c:v>
                </c:pt>
                <c:pt idx="72">
                  <c:v>7.2</c:v>
                </c:pt>
                <c:pt idx="73">
                  <c:v>7.3</c:v>
                </c:pt>
                <c:pt idx="74">
                  <c:v>7.4</c:v>
                </c:pt>
                <c:pt idx="75">
                  <c:v>7.5</c:v>
                </c:pt>
                <c:pt idx="76">
                  <c:v>7.6</c:v>
                </c:pt>
                <c:pt idx="77">
                  <c:v>7.7</c:v>
                </c:pt>
                <c:pt idx="78">
                  <c:v>7.8</c:v>
                </c:pt>
                <c:pt idx="79">
                  <c:v>7.9</c:v>
                </c:pt>
                <c:pt idx="80">
                  <c:v>8</c:v>
                </c:pt>
              </c:numCache>
            </c:numRef>
          </c:cat>
          <c:val>
            <c:numRef>
              <c:f>'Carbonate acidity'!$R$6:$R$86</c:f>
              <c:numCache>
                <c:formatCode>0.00E+00</c:formatCode>
                <c:ptCount val="81"/>
                <c:pt idx="0">
                  <c:v>11478.436413960815</c:v>
                </c:pt>
                <c:pt idx="1">
                  <c:v>11478.440516538469</c:v>
                </c:pt>
                <c:pt idx="2">
                  <c:v>11478.445681377734</c:v>
                </c:pt>
                <c:pt idx="3">
                  <c:v>11478.452183525136</c:v>
                </c:pt>
                <c:pt idx="4">
                  <c:v>11478.460369243743</c:v>
                </c:pt>
                <c:pt idx="5">
                  <c:v>11478.470674452927</c:v>
                </c:pt>
                <c:pt idx="6">
                  <c:v>11478.483647942661</c:v>
                </c:pt>
                <c:pt idx="7">
                  <c:v>11478.49998059861</c:v>
                </c:pt>
                <c:pt idx="8">
                  <c:v>11478.520542194283</c:v>
                </c:pt>
                <c:pt idx="9">
                  <c:v>11478.546427709669</c:v>
                </c:pt>
                <c:pt idx="10">
                  <c:v>11478.57901564293</c:v>
                </c:pt>
                <c:pt idx="11">
                  <c:v>11478.620041420463</c:v>
                </c:pt>
                <c:pt idx="12">
                  <c:v>11478.671689814695</c:v>
                </c:pt>
                <c:pt idx="13">
                  <c:v>11478.736711291253</c:v>
                </c:pt>
                <c:pt idx="14">
                  <c:v>11478.818568481318</c:v>
                </c:pt>
                <c:pt idx="15">
                  <c:v>11478.921620579473</c:v>
                </c:pt>
                <c:pt idx="16">
                  <c:v>11479.05135548687</c:v>
                </c:pt>
                <c:pt idx="17">
                  <c:v>11479.214682062218</c:v>
                </c:pt>
                <c:pt idx="18">
                  <c:v>11479.420298044108</c:v>
                </c:pt>
                <c:pt idx="19">
                  <c:v>11479.679153237896</c:v>
                </c:pt>
                <c:pt idx="20">
                  <c:v>11480.005032633793</c:v>
                </c:pt>
                <c:pt idx="21">
                  <c:v>11480.415290509385</c:v>
                </c:pt>
                <c:pt idx="22">
                  <c:v>11480.931774610672</c:v>
                </c:pt>
                <c:pt idx="23">
                  <c:v>11481.581989628135</c:v>
                </c:pt>
                <c:pt idx="24">
                  <c:v>11482.40056192798</c:v>
                </c:pt>
                <c:pt idx="25">
                  <c:v>11483.431083542227</c:v>
                </c:pt>
                <c:pt idx="26">
                  <c:v>11484.728433618966</c:v>
                </c:pt>
                <c:pt idx="27">
                  <c:v>11486.361700961761</c:v>
                </c:pt>
                <c:pt idx="28">
                  <c:v>11488.417863299468</c:v>
                </c:pt>
                <c:pt idx="29">
                  <c:v>11491.006419229474</c:v>
                </c:pt>
                <c:pt idx="30">
                  <c:v>11494.265219515493</c:v>
                </c:pt>
                <c:pt idx="31">
                  <c:v>11498.367808299099</c:v>
                </c:pt>
                <c:pt idx="32">
                  <c:v>11503.532665204815</c:v>
                </c:pt>
                <c:pt idx="33">
                  <c:v>11510.034840567869</c:v>
                </c:pt>
                <c:pt idx="34">
                  <c:v>11518.220603487267</c:v>
                </c:pt>
                <c:pt idx="35">
                  <c:v>11528.525882900261</c:v>
                </c:pt>
                <c:pt idx="36">
                  <c:v>11541.499483944632</c:v>
                </c:pt>
                <c:pt idx="37">
                  <c:v>11557.832316300823</c:v>
                </c:pt>
                <c:pt idx="38">
                  <c:v>11578.394191562278</c:v>
                </c:pt>
                <c:pt idx="39">
                  <c:v>11604.28015007216</c:v>
                </c:pt>
                <c:pt idx="40">
                  <c:v>11636.868785637274</c:v>
                </c:pt>
                <c:pt idx="41">
                  <c:v>11677.895676243032</c:v>
                </c:pt>
                <c:pt idx="42">
                  <c:v>11729.545834583094</c:v>
                </c:pt>
                <c:pt idx="43">
                  <c:v>11794.570107057274</c:v>
                </c:pt>
                <c:pt idx="44">
                  <c:v>11876.431728349418</c:v>
                </c:pt>
                <c:pt idx="45">
                  <c:v>11979.490849528511</c:v>
                </c:pt>
                <c:pt idx="46">
                  <c:v>12109.236887669356</c:v>
                </c:pt>
                <c:pt idx="47">
                  <c:v>12272.581104060246</c:v>
                </c:pt>
                <c:pt idx="48">
                  <c:v>12478.225045111205</c:v>
                </c:pt>
                <c:pt idx="49">
                  <c:v>12737.124551191446</c:v>
                </c:pt>
                <c:pt idx="50">
                  <c:v>13063.074177334278</c:v>
                </c:pt>
                <c:pt idx="51">
                  <c:v>13473.443360363366</c:v>
                </c:pt>
                <c:pt idx="52">
                  <c:v>13990.103872053514</c:v>
                </c:pt>
                <c:pt idx="53">
                  <c:v>14640.598481159515</c:v>
                </c:pt>
                <c:pt idx="54">
                  <c:v>15459.613903895048</c:v>
                </c:pt>
                <c:pt idx="55">
                  <c:v>16490.837820602719</c:v>
                </c:pt>
                <c:pt idx="56">
                  <c:v>17789.300971726498</c:v>
                </c:pt>
                <c:pt idx="57">
                  <c:v>19424.332418530837</c:v>
                </c:pt>
                <c:pt idx="58">
                  <c:v>21483.29067268236</c:v>
                </c:pt>
                <c:pt idx="59">
                  <c:v>24076.277831625754</c:v>
                </c:pt>
                <c:pt idx="60">
                  <c:v>27342.101142221291</c:v>
                </c:pt>
                <c:pt idx="61">
                  <c:v>31455.820669665602</c:v>
                </c:pt>
                <c:pt idx="62">
                  <c:v>36638.318615521734</c:v>
                </c:pt>
                <c:pt idx="63">
                  <c:v>43168.453143000879</c:v>
                </c:pt>
                <c:pt idx="64">
                  <c:v>51398.528351765679</c:v>
                </c:pt>
                <c:pt idx="65">
                  <c:v>61774.038010514603</c:v>
                </c:pt>
                <c:pt idx="66">
                  <c:v>74858.946493287294</c:v>
                </c:pt>
                <c:pt idx="67">
                  <c:v>91368.189250876865</c:v>
                </c:pt>
                <c:pt idx="68">
                  <c:v>112209.65615658344</c:v>
                </c:pt>
                <c:pt idx="69">
                  <c:v>138538.73756011168</c:v>
                </c:pt>
                <c:pt idx="70">
                  <c:v>171829.67558278888</c:v>
                </c:pt>
                <c:pt idx="71">
                  <c:v>213969.64057258083</c:v>
                </c:pt>
                <c:pt idx="72">
                  <c:v>267383.90292660531</c:v>
                </c:pt>
                <c:pt idx="73">
                  <c:v>335204.09184331069</c:v>
                </c:pt>
                <c:pt idx="74">
                  <c:v>421496.94207190216</c:v>
                </c:pt>
                <c:pt idx="75">
                  <c:v>531579.08782660903</c:v>
                </c:pt>
                <c:pt idx="76">
                  <c:v>672455.86980782601</c:v>
                </c:pt>
                <c:pt idx="77">
                  <c:v>853441.12633834826</c:v>
                </c:pt>
                <c:pt idx="78">
                  <c:v>1087044.2318145523</c:v>
                </c:pt>
                <c:pt idx="79">
                  <c:v>1390256.0272592693</c:v>
                </c:pt>
                <c:pt idx="80">
                  <c:v>1786435.8991582152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11D-1147-9B4E-3DD5C29CB55E}"/>
            </c:ext>
          </c:extLst>
        </c:ser>
        <c:ser>
          <c:idx val="0"/>
          <c:order val="2"/>
          <c:tx>
            <c:strRef>
              <c:f>'Carbonate acidity'!$A$5</c:f>
              <c:strCache>
                <c:ptCount val="1"/>
                <c:pt idx="0">
                  <c:v>CO₂</c:v>
                </c:pt>
              </c:strCache>
            </c:strRef>
          </c:tx>
          <c:spPr>
            <a:ln w="317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'Carbonate acidity'!$F$6:$F$86</c:f>
              <c:numCache>
                <c:formatCode>General</c:formatCode>
                <c:ptCount val="8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2.2999999999999998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</c:v>
                </c:pt>
                <c:pt idx="34">
                  <c:v>3.4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</c:v>
                </c:pt>
                <c:pt idx="39">
                  <c:v>3.9</c:v>
                </c:pt>
                <c:pt idx="40">
                  <c:v>4</c:v>
                </c:pt>
                <c:pt idx="41">
                  <c:v>4.0999999999999996</c:v>
                </c:pt>
                <c:pt idx="42">
                  <c:v>4.2</c:v>
                </c:pt>
                <c:pt idx="43">
                  <c:v>4.3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4.7</c:v>
                </c:pt>
                <c:pt idx="48">
                  <c:v>4.8</c:v>
                </c:pt>
                <c:pt idx="49">
                  <c:v>4.9000000000000004</c:v>
                </c:pt>
                <c:pt idx="50">
                  <c:v>5</c:v>
                </c:pt>
                <c:pt idx="51">
                  <c:v>5.0999999999999996</c:v>
                </c:pt>
                <c:pt idx="52">
                  <c:v>5.2</c:v>
                </c:pt>
                <c:pt idx="53">
                  <c:v>5.3</c:v>
                </c:pt>
                <c:pt idx="54">
                  <c:v>5.4</c:v>
                </c:pt>
                <c:pt idx="55">
                  <c:v>5.5</c:v>
                </c:pt>
                <c:pt idx="56">
                  <c:v>5.6</c:v>
                </c:pt>
                <c:pt idx="57">
                  <c:v>5.7</c:v>
                </c:pt>
                <c:pt idx="58">
                  <c:v>5.8</c:v>
                </c:pt>
                <c:pt idx="59">
                  <c:v>5.9</c:v>
                </c:pt>
                <c:pt idx="60">
                  <c:v>6</c:v>
                </c:pt>
                <c:pt idx="61">
                  <c:v>6.1</c:v>
                </c:pt>
                <c:pt idx="62">
                  <c:v>6.2</c:v>
                </c:pt>
                <c:pt idx="63">
                  <c:v>6.3</c:v>
                </c:pt>
                <c:pt idx="64">
                  <c:v>6.4</c:v>
                </c:pt>
                <c:pt idx="65">
                  <c:v>6.5</c:v>
                </c:pt>
                <c:pt idx="66">
                  <c:v>6.6</c:v>
                </c:pt>
                <c:pt idx="67">
                  <c:v>6.7</c:v>
                </c:pt>
                <c:pt idx="68">
                  <c:v>6.8</c:v>
                </c:pt>
                <c:pt idx="69">
                  <c:v>6.9</c:v>
                </c:pt>
                <c:pt idx="70">
                  <c:v>7</c:v>
                </c:pt>
                <c:pt idx="71">
                  <c:v>7.1</c:v>
                </c:pt>
                <c:pt idx="72">
                  <c:v>7.2</c:v>
                </c:pt>
                <c:pt idx="73">
                  <c:v>7.3</c:v>
                </c:pt>
                <c:pt idx="74">
                  <c:v>7.4</c:v>
                </c:pt>
                <c:pt idx="75">
                  <c:v>7.5</c:v>
                </c:pt>
                <c:pt idx="76">
                  <c:v>7.6</c:v>
                </c:pt>
                <c:pt idx="77">
                  <c:v>7.7</c:v>
                </c:pt>
                <c:pt idx="78">
                  <c:v>7.8</c:v>
                </c:pt>
                <c:pt idx="79">
                  <c:v>7.9</c:v>
                </c:pt>
                <c:pt idx="80">
                  <c:v>8</c:v>
                </c:pt>
              </c:numCache>
            </c:numRef>
          </c:cat>
          <c:val>
            <c:numRef>
              <c:f>'Carbonate acidity'!$A$6:$A$86</c:f>
              <c:numCache>
                <c:formatCode>0.00E+00</c:formatCode>
                <c:ptCount val="81"/>
                <c:pt idx="0">
                  <c:v>2.1999969631588063E-3</c:v>
                </c:pt>
                <c:pt idx="1">
                  <c:v>2.1999961768448149E-3</c:v>
                </c:pt>
                <c:pt idx="2">
                  <c:v>2.1999951869349482E-3</c:v>
                </c:pt>
                <c:pt idx="3">
                  <c:v>2.199993940713527E-3</c:v>
                </c:pt>
                <c:pt idx="4">
                  <c:v>2.1999923718157171E-3</c:v>
                </c:pt>
                <c:pt idx="5">
                  <c:v>2.1999903966935744E-3</c:v>
                </c:pt>
                <c:pt idx="6">
                  <c:v>2.1999879101671565E-3</c:v>
                </c:pt>
                <c:pt idx="7">
                  <c:v>2.199984779823846E-3</c:v>
                </c:pt>
                <c:pt idx="8">
                  <c:v>2.199980838967761E-3</c:v>
                </c:pt>
                <c:pt idx="9">
                  <c:v>2.1999758777439494E-3</c:v>
                </c:pt>
                <c:pt idx="10">
                  <c:v>2.1999696319650094E-3</c:v>
                </c:pt>
                <c:pt idx="11">
                  <c:v>2.1999617690455667E-3</c:v>
                </c:pt>
                <c:pt idx="12">
                  <c:v>2.1999518702963197E-3</c:v>
                </c:pt>
                <c:pt idx="13">
                  <c:v>2.1999394086358983E-3</c:v>
                </c:pt>
                <c:pt idx="14">
                  <c:v>2.1999237205354871E-3</c:v>
                </c:pt>
                <c:pt idx="15">
                  <c:v>2.1999039707050871E-3</c:v>
                </c:pt>
                <c:pt idx="16">
                  <c:v>2.1998791076454942E-3</c:v>
                </c:pt>
                <c:pt idx="17">
                  <c:v>2.1998478077063619E-3</c:v>
                </c:pt>
                <c:pt idx="18">
                  <c:v>2.1998084046829301E-3</c:v>
                </c:pt>
                <c:pt idx="19">
                  <c:v>2.1997588012207347E-3</c:v>
                </c:pt>
                <c:pt idx="20">
                  <c:v>2.1996963573396367E-3</c:v>
                </c:pt>
                <c:pt idx="21">
                  <c:v>2.1996177501872236E-3</c:v>
                </c:pt>
                <c:pt idx="22">
                  <c:v>2.1995187976266489E-3</c:v>
                </c:pt>
                <c:pt idx="23">
                  <c:v>2.1993942363811077E-3</c:v>
                </c:pt>
                <c:pt idx="24">
                  <c:v>2.1992374431052918E-3</c:v>
                </c:pt>
                <c:pt idx="25">
                  <c:v>2.1990400838227311E-3</c:v>
                </c:pt>
                <c:pt idx="26">
                  <c:v>2.19879167352396E-3</c:v>
                </c:pt>
                <c:pt idx="27">
                  <c:v>2.1984790232063515E-3</c:v>
                </c:pt>
                <c:pt idx="28">
                  <c:v>2.1980855460695041E-3</c:v>
                </c:pt>
                <c:pt idx="29">
                  <c:v>2.1975903877546137E-3</c:v>
                </c:pt>
                <c:pt idx="30">
                  <c:v>2.1969673372118081E-3</c:v>
                </c:pt>
                <c:pt idx="31">
                  <c:v>2.1961834647782714E-3</c:v>
                </c:pt>
                <c:pt idx="32">
                  <c:v>2.1951974221716738E-3</c:v>
                </c:pt>
                <c:pt idx="33">
                  <c:v>2.1939573252655223E-3</c:v>
                </c:pt>
                <c:pt idx="34">
                  <c:v>2.1923981248353395E-3</c:v>
                </c:pt>
                <c:pt idx="35">
                  <c:v>2.1904383534395474E-3</c:v>
                </c:pt>
                <c:pt idx="36">
                  <c:v>2.1879761193642142E-3</c:v>
                </c:pt>
                <c:pt idx="37">
                  <c:v>2.1848842033215729E-3</c:v>
                </c:pt>
                <c:pt idx="38">
                  <c:v>2.1810041042589446E-3</c:v>
                </c:pt>
                <c:pt idx="39">
                  <c:v>2.1761388837521494E-3</c:v>
                </c:pt>
                <c:pt idx="40">
                  <c:v>2.1700446845025019E-3</c:v>
                </c:pt>
                <c:pt idx="41">
                  <c:v>2.1624208635377534E-3</c:v>
                </c:pt>
                <c:pt idx="42">
                  <c:v>2.1528988085856961E-3</c:v>
                </c:pt>
                <c:pt idx="43">
                  <c:v>2.141029730063279E-3</c:v>
                </c:pt>
                <c:pt idx="44">
                  <c:v>2.1262720849265422E-3</c:v>
                </c:pt>
                <c:pt idx="45">
                  <c:v>2.1079798440281077E-3</c:v>
                </c:pt>
                <c:pt idx="46">
                  <c:v>2.0853936120648116E-3</c:v>
                </c:pt>
                <c:pt idx="47">
                  <c:v>2.0576376752703424E-3</c:v>
                </c:pt>
                <c:pt idx="48">
                  <c:v>2.0237273459352174E-3</c:v>
                </c:pt>
                <c:pt idx="49">
                  <c:v>1.9825923151676416E-3</c:v>
                </c:pt>
                <c:pt idx="50">
                  <c:v>1.9331227021845191E-3</c:v>
                </c:pt>
                <c:pt idx="51">
                  <c:v>1.8742443618246834E-3</c:v>
                </c:pt>
                <c:pt idx="52">
                  <c:v>1.8050277169828191E-3</c:v>
                </c:pt>
                <c:pt idx="53">
                  <c:v>1.7248287551237652E-3</c:v>
                </c:pt>
                <c:pt idx="54">
                  <c:v>1.6334512239120592E-3</c:v>
                </c:pt>
                <c:pt idx="55">
                  <c:v>1.5313063852326642E-3</c:v>
                </c:pt>
                <c:pt idx="56">
                  <c:v>1.4195344321095284E-3</c:v>
                </c:pt>
                <c:pt idx="57">
                  <c:v>1.3000459788483805E-3</c:v>
                </c:pt>
                <c:pt idx="58">
                  <c:v>1.1754495918372394E-3</c:v>
                </c:pt>
                <c:pt idx="59">
                  <c:v>1.0488550360286349E-3</c:v>
                </c:pt>
                <c:pt idx="60">
                  <c:v>9.2357661619247905E-4</c:v>
                </c:pt>
                <c:pt idx="61">
                  <c:v>8.0279340086896888E-4</c:v>
                </c:pt>
                <c:pt idx="62">
                  <c:v>6.8923810389669702E-4</c:v>
                </c:pt>
                <c:pt idx="63">
                  <c:v>5.8497637543029673E-4</c:v>
                </c:pt>
                <c:pt idx="64">
                  <c:v>4.9130833240399114E-4</c:v>
                </c:pt>
                <c:pt idx="65">
                  <c:v>4.0878864432056396E-4</c:v>
                </c:pt>
                <c:pt idx="66">
                  <c:v>3.3733476672410403E-4</c:v>
                </c:pt>
                <c:pt idx="67">
                  <c:v>2.7638202594983466E-4</c:v>
                </c:pt>
                <c:pt idx="68">
                  <c:v>2.2504770193116453E-4</c:v>
                </c:pt>
                <c:pt idx="69">
                  <c:v>1.822777202771047E-4</c:v>
                </c:pt>
                <c:pt idx="70">
                  <c:v>1.4696253814643553E-4</c:v>
                </c:pt>
                <c:pt idx="71">
                  <c:v>1.1801919741954853E-4</c:v>
                </c:pt>
                <c:pt idx="72">
                  <c:v>9.4442952534270049E-5</c:v>
                </c:pt>
                <c:pt idx="73">
                  <c:v>7.5334776236351584E-5</c:v>
                </c:pt>
                <c:pt idx="74">
                  <c:v>5.9911526589954445E-5</c:v>
                </c:pt>
                <c:pt idx="75">
                  <c:v>4.7504737922952585E-5</c:v>
                </c:pt>
                <c:pt idx="76">
                  <c:v>3.7552687672637762E-5</c:v>
                </c:pt>
                <c:pt idx="77">
                  <c:v>2.9589065341706825E-5</c:v>
                </c:pt>
                <c:pt idx="78">
                  <c:v>2.3230448691468968E-5</c:v>
                </c:pt>
                <c:pt idx="79">
                  <c:v>1.8163938697182073E-5</c:v>
                </c:pt>
                <c:pt idx="80">
                  <c:v>1.4135701854415529E-5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11D-1147-9B4E-3DD5C29CB5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24648752"/>
        <c:axId val="1224652384"/>
      </c:lineChart>
      <c:lineChart>
        <c:grouping val="standard"/>
        <c:varyColors val="0"/>
        <c:ser>
          <c:idx val="1"/>
          <c:order val="3"/>
          <c:tx>
            <c:strRef>
              <c:f>'Carbonate acidity'!$L$5</c:f>
              <c:strCache>
                <c:ptCount val="1"/>
                <c:pt idx="0">
                  <c:v>H+ / OH− added</c:v>
                </c:pt>
              </c:strCache>
            </c:strRef>
          </c:tx>
          <c:spPr>
            <a:ln w="317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'Carbonate acidity'!$F$6:$F$86</c:f>
              <c:numCache>
                <c:formatCode>General</c:formatCode>
                <c:ptCount val="8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2.2999999999999998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</c:v>
                </c:pt>
                <c:pt idx="34">
                  <c:v>3.4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</c:v>
                </c:pt>
                <c:pt idx="39">
                  <c:v>3.9</c:v>
                </c:pt>
                <c:pt idx="40">
                  <c:v>4</c:v>
                </c:pt>
                <c:pt idx="41">
                  <c:v>4.0999999999999996</c:v>
                </c:pt>
                <c:pt idx="42">
                  <c:v>4.2</c:v>
                </c:pt>
                <c:pt idx="43">
                  <c:v>4.3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4.7</c:v>
                </c:pt>
                <c:pt idx="48">
                  <c:v>4.8</c:v>
                </c:pt>
                <c:pt idx="49">
                  <c:v>4.9000000000000004</c:v>
                </c:pt>
                <c:pt idx="50">
                  <c:v>5</c:v>
                </c:pt>
                <c:pt idx="51">
                  <c:v>5.0999999999999996</c:v>
                </c:pt>
                <c:pt idx="52">
                  <c:v>5.2</c:v>
                </c:pt>
                <c:pt idx="53">
                  <c:v>5.3</c:v>
                </c:pt>
                <c:pt idx="54">
                  <c:v>5.4</c:v>
                </c:pt>
                <c:pt idx="55">
                  <c:v>5.5</c:v>
                </c:pt>
                <c:pt idx="56">
                  <c:v>5.6</c:v>
                </c:pt>
                <c:pt idx="57">
                  <c:v>5.7</c:v>
                </c:pt>
                <c:pt idx="58">
                  <c:v>5.8</c:v>
                </c:pt>
                <c:pt idx="59">
                  <c:v>5.9</c:v>
                </c:pt>
                <c:pt idx="60">
                  <c:v>6</c:v>
                </c:pt>
                <c:pt idx="61">
                  <c:v>6.1</c:v>
                </c:pt>
                <c:pt idx="62">
                  <c:v>6.2</c:v>
                </c:pt>
                <c:pt idx="63">
                  <c:v>6.3</c:v>
                </c:pt>
                <c:pt idx="64">
                  <c:v>6.4</c:v>
                </c:pt>
                <c:pt idx="65">
                  <c:v>6.5</c:v>
                </c:pt>
                <c:pt idx="66">
                  <c:v>6.6</c:v>
                </c:pt>
                <c:pt idx="67">
                  <c:v>6.7</c:v>
                </c:pt>
                <c:pt idx="68">
                  <c:v>6.8</c:v>
                </c:pt>
                <c:pt idx="69">
                  <c:v>6.9</c:v>
                </c:pt>
                <c:pt idx="70">
                  <c:v>7</c:v>
                </c:pt>
                <c:pt idx="71">
                  <c:v>7.1</c:v>
                </c:pt>
                <c:pt idx="72">
                  <c:v>7.2</c:v>
                </c:pt>
                <c:pt idx="73">
                  <c:v>7.3</c:v>
                </c:pt>
                <c:pt idx="74">
                  <c:v>7.4</c:v>
                </c:pt>
                <c:pt idx="75">
                  <c:v>7.5</c:v>
                </c:pt>
                <c:pt idx="76">
                  <c:v>7.6</c:v>
                </c:pt>
                <c:pt idx="77">
                  <c:v>7.7</c:v>
                </c:pt>
                <c:pt idx="78">
                  <c:v>7.8</c:v>
                </c:pt>
                <c:pt idx="79">
                  <c:v>7.9</c:v>
                </c:pt>
                <c:pt idx="80">
                  <c:v>8</c:v>
                </c:pt>
              </c:numCache>
            </c:numRef>
          </c:cat>
          <c:val>
            <c:numRef>
              <c:f>'Carbonate acidity'!$L$6:$L$86</c:f>
              <c:numCache>
                <c:formatCode>0.00E+00</c:formatCode>
                <c:ptCount val="81"/>
                <c:pt idx="0">
                  <c:v>1.0024844055643916</c:v>
                </c:pt>
                <c:pt idx="1">
                  <c:v>0.79681263950234338</c:v>
                </c:pt>
                <c:pt idx="2">
                  <c:v>0.63344174826832567</c:v>
                </c:pt>
                <c:pt idx="3">
                  <c:v>0.50367163616915855</c:v>
                </c:pt>
                <c:pt idx="4">
                  <c:v>0.40059157152645453</c:v>
                </c:pt>
                <c:pt idx="5">
                  <c:v>0.3187121650146339</c:v>
                </c:pt>
                <c:pt idx="6">
                  <c:v>0.25367303966217819</c:v>
                </c:pt>
                <c:pt idx="7">
                  <c:v>0.20201062487770272</c:v>
                </c:pt>
                <c:pt idx="8">
                  <c:v>0.16097370868599176</c:v>
                </c:pt>
                <c:pt idx="9">
                  <c:v>0.12837692565797476</c:v>
                </c:pt>
                <c:pt idx="10">
                  <c:v>0.10248437823265508</c:v>
                </c:pt>
                <c:pt idx="11">
                  <c:v>8.1917193842007505E-2</c:v>
                </c:pt>
                <c:pt idx="12">
                  <c:v>6.5580094918652715E-2</c:v>
                </c:pt>
                <c:pt idx="13">
                  <c:v>5.2603071371452384E-2</c:v>
                </c:pt>
                <c:pt idx="14">
                  <c:v>4.229504937566235E-2</c:v>
                </c:pt>
                <c:pt idx="15">
                  <c:v>3.4107089171772756E-2</c:v>
                </c:pt>
                <c:pt idx="16">
                  <c:v>2.7603152021629652E-2</c:v>
                </c:pt>
                <c:pt idx="17">
                  <c:v>2.2436879555659026E-2</c:v>
                </c:pt>
                <c:pt idx="18">
                  <c:v>1.8333148926770623E-2</c:v>
                </c:pt>
                <c:pt idx="19">
                  <c:v>1.5073421515646061E-2</c:v>
                </c:pt>
                <c:pt idx="20">
                  <c:v>1.248410495257053E-2</c:v>
                </c:pt>
                <c:pt idx="21">
                  <c:v>1.04273086910794E-2</c:v>
                </c:pt>
                <c:pt idx="22">
                  <c:v>8.7935008340799536E-3</c:v>
                </c:pt>
                <c:pt idx="23">
                  <c:v>7.4956751617788683E-3</c:v>
                </c:pt>
                <c:pt idx="24">
                  <c:v>6.4647177345673601E-3</c:v>
                </c:pt>
                <c:pt idx="25">
                  <c:v>5.6457263258645465E-3</c:v>
                </c:pt>
                <c:pt idx="26">
                  <c:v>4.9950866817598631E-3</c:v>
                </c:pt>
                <c:pt idx="27">
                  <c:v>4.478149908352231E-3</c:v>
                </c:pt>
                <c:pt idx="28">
                  <c:v>4.0673873003524135E-3</c:v>
                </c:pt>
                <c:pt idx="29">
                  <c:v>3.7409243506776073E-3</c:v>
                </c:pt>
                <c:pt idx="30">
                  <c:v>3.4813758746027879E-3</c:v>
                </c:pt>
                <c:pt idx="31">
                  <c:v>3.2749202191612405E-3</c:v>
                </c:pt>
                <c:pt idx="32">
                  <c:v>3.1105632632944984E-3</c:v>
                </c:pt>
                <c:pt idx="33">
                  <c:v>2.9795530254640152E-3</c:v>
                </c:pt>
                <c:pt idx="34">
                  <c:v>2.8749137223684812E-3</c:v>
                </c:pt>
                <c:pt idx="35">
                  <c:v>2.7910744938510821E-3</c:v>
                </c:pt>
                <c:pt idx="36">
                  <c:v>2.7235730663752412E-3</c:v>
                </c:pt>
                <c:pt idx="37">
                  <c:v>2.6688186430351519E-3</c:v>
                </c:pt>
                <c:pt idx="38">
                  <c:v>2.6239015005111439E-3</c:v>
                </c:pt>
                <c:pt idx="39">
                  <c:v>2.5864393197247556E-3</c:v>
                </c:pt>
                <c:pt idx="40">
                  <c:v>2.5544523230981377E-3</c:v>
                </c:pt>
                <c:pt idx="41">
                  <c:v>2.5262609609509649E-3</c:v>
                </c:pt>
                <c:pt idx="42">
                  <c:v>2.500401291856527E-3</c:v>
                </c:pt>
                <c:pt idx="43">
                  <c:v>2.4755544378902536E-3</c:v>
                </c:pt>
                <c:pt idx="44">
                  <c:v>2.450487663233439E-3</c:v>
                </c:pt>
                <c:pt idx="45">
                  <c:v>2.4240058180863195E-3</c:v>
                </c:pt>
                <c:pt idx="46">
                  <c:v>2.3949131936959168E-3</c:v>
                </c:pt>
                <c:pt idx="47">
                  <c:v>2.3619873020998172E-3</c:v>
                </c:pt>
                <c:pt idx="48">
                  <c:v>2.3239677066248816E-3</c:v>
                </c:pt>
                <c:pt idx="49">
                  <c:v>2.2795646239875326E-3</c:v>
                </c:pt>
                <c:pt idx="50">
                  <c:v>2.2274931960303843E-3</c:v>
                </c:pt>
                <c:pt idx="51">
                  <c:v>2.1665393620396338E-3</c:v>
                </c:pt>
                <c:pt idx="52">
                  <c:v>2.0956610957156051E-3</c:v>
                </c:pt>
                <c:pt idx="53">
                  <c:v>2.0141232478029436E-3</c:v>
                </c:pt>
                <c:pt idx="54">
                  <c:v>1.9216547179572658E-3</c:v>
                </c:pt>
                <c:pt idx="55">
                  <c:v>1.8186040759758286E-3</c:v>
                </c:pt>
                <c:pt idx="56">
                  <c:v>1.7060575559068268E-3</c:v>
                </c:pt>
                <c:pt idx="57">
                  <c:v>1.5858776935734561E-3</c:v>
                </c:pt>
                <c:pt idx="58">
                  <c:v>1.460628455539275E-3</c:v>
                </c:pt>
                <c:pt idx="59">
                  <c:v>1.333376413673201E-3</c:v>
                </c:pt>
                <c:pt idx="60">
                  <c:v>1.2073922058666194E-3</c:v>
                </c:pt>
                <c:pt idx="61">
                  <c:v>1.0858089108527764E-3</c:v>
                </c:pt>
                <c:pt idx="62">
                  <c:v>9.713089406412147E-4</c:v>
                </c:pt>
                <c:pt idx="63">
                  <c:v>8.659010369285985E-4</c:v>
                </c:pt>
                <c:pt idx="64">
                  <c:v>7.7081905493514233E-4</c:v>
                </c:pt>
                <c:pt idx="65">
                  <c:v>6.8653872448754536E-4</c:v>
                </c:pt>
                <c:pt idx="66">
                  <c:v>6.128818649736705E-4</c:v>
                </c:pt>
                <c:pt idx="67">
                  <c:v>5.4916663782628877E-4</c:v>
                </c:pt>
                <c:pt idx="68">
                  <c:v>4.9436584893157789E-4</c:v>
                </c:pt>
                <c:pt idx="69">
                  <c:v>4.4724676356137867E-4</c:v>
                </c:pt>
                <c:pt idx="70">
                  <c:v>4.0647886943419618E-4</c:v>
                </c:pt>
                <c:pt idx="71">
                  <c:v>3.7070644222080614E-4</c:v>
                </c:pt>
                <c:pt idx="72">
                  <c:v>3.3858928157961388E-4</c:v>
                </c:pt>
                <c:pt idx="73">
                  <c:v>3.08818038751618E-4</c:v>
                </c:pt>
                <c:pt idx="74">
                  <c:v>2.8011130750191791E-4</c:v>
                </c:pt>
                <c:pt idx="75">
                  <c:v>2.5120126017640288E-4</c:v>
                </c:pt>
                <c:pt idx="76">
                  <c:v>2.2081394251594635E-4</c:v>
                </c:pt>
                <c:pt idx="77">
                  <c:v>1.8764991327284338E-4</c:v>
                </c:pt>
                <c:pt idx="78">
                  <c:v>1.5037095250588323E-4</c:v>
                </c:pt>
                <c:pt idx="79">
                  <c:v>1.0759904077241165E-4</c:v>
                </c:pt>
                <c:pt idx="80">
                  <c:v>5.7934450036380521E-5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11D-1147-9B4E-3DD5C29CB5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52651648"/>
        <c:axId val="1268154384"/>
      </c:lineChart>
      <c:catAx>
        <c:axId val="122464875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US"/>
                  <a:t>pH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224652384"/>
        <c:crossesAt val="1.0000000000000004E-5"/>
        <c:auto val="1"/>
        <c:lblAlgn val="ctr"/>
        <c:lblOffset val="100"/>
        <c:tickLblSkip val="10"/>
        <c:tickMarkSkip val="10"/>
        <c:noMultiLvlLbl val="0"/>
      </c:catAx>
      <c:valAx>
        <c:axId val="1224652384"/>
        <c:scaling>
          <c:logBase val="10"/>
          <c:orientation val="minMax"/>
          <c:max val="3.0000000000000009E-3"/>
          <c:min val="1.0000000000000004E-5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chemeClr val="accent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US">
                    <a:solidFill>
                      <a:schemeClr val="accent1"/>
                    </a:solidFill>
                  </a:rPr>
                  <a:t>CO</a:t>
                </a:r>
                <a:r>
                  <a:rPr lang="en-US" baseline="-25000">
                    <a:solidFill>
                      <a:schemeClr val="accent1"/>
                    </a:solidFill>
                  </a:rPr>
                  <a:t>2</a:t>
                </a:r>
                <a:r>
                  <a:rPr lang="en-US">
                    <a:solidFill>
                      <a:schemeClr val="accent1"/>
                    </a:solidFill>
                  </a:rPr>
                  <a:t> Concentration [M]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chemeClr val="accent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0.00E+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224648752"/>
        <c:crosses val="autoZero"/>
        <c:crossBetween val="midCat"/>
      </c:valAx>
      <c:valAx>
        <c:axId val="1268154384"/>
        <c:scaling>
          <c:logBase val="10"/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chemeClr val="accent2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US">
                    <a:solidFill>
                      <a:schemeClr val="accent2"/>
                    </a:solidFill>
                  </a:rPr>
                  <a:t>Added Acid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chemeClr val="accent2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0.00E+0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252651648"/>
        <c:crosses val="max"/>
        <c:crossBetween val="between"/>
      </c:valAx>
      <c:catAx>
        <c:axId val="125265164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26815438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400">
          <a:solidFill>
            <a:schemeClr val="tx1"/>
          </a:solidFill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chemeClr val="tx1"/>
                </a:solidFill>
                <a:latin typeface="Helvetica" pitchFamily="2" charset="0"/>
                <a:ea typeface="+mn-ea"/>
                <a:cs typeface="Arial" panose="020B0604020202020204" pitchFamily="34" charset="0"/>
              </a:defRPr>
            </a:pPr>
            <a:r>
              <a:rPr lang="en-US" sz="1600"/>
              <a:t>Comparison to Eisaman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chemeClr val="tx1"/>
              </a:solidFill>
              <a:latin typeface="Helvetica" pitchFamily="2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Eisaman!$B$132</c:f>
              <c:strCache>
                <c:ptCount val="1"/>
                <c:pt idx="0">
                  <c:v>ED CapEx &amp; Replacements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Eisaman!$A$133:$A$138</c:f>
              <c:strCache>
                <c:ptCount val="6"/>
                <c:pt idx="0">
                  <c:v>Eisaman</c:v>
                </c:pt>
                <c:pt idx="1">
                  <c:v>Our baseline</c:v>
                </c:pt>
                <c:pt idx="2">
                  <c:v>Smaller scale</c:v>
                </c:pt>
                <c:pt idx="3">
                  <c:v>Worse ED performance</c:v>
                </c:pt>
                <c:pt idx="4">
                  <c:v>Higher electricity price</c:v>
                </c:pt>
                <c:pt idx="5">
                  <c:v>Onshore intake &amp; outfall</c:v>
                </c:pt>
              </c:strCache>
            </c:strRef>
          </c:cat>
          <c:val>
            <c:numRef>
              <c:f>Eisaman!$B$133:$B$138</c:f>
              <c:numCache>
                <c:formatCode>"$"#,##0</c:formatCode>
                <c:ptCount val="6"/>
                <c:pt idx="0">
                  <c:v>55</c:v>
                </c:pt>
                <c:pt idx="1">
                  <c:v>3.5098386890208348</c:v>
                </c:pt>
                <c:pt idx="2">
                  <c:v>24.574683806483076</c:v>
                </c:pt>
                <c:pt idx="3">
                  <c:v>122.87341903241537</c:v>
                </c:pt>
                <c:pt idx="4">
                  <c:v>122.87341903241537</c:v>
                </c:pt>
                <c:pt idx="5">
                  <c:v>122.87341903241534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27-9449-B502-13F23F6610AB}"/>
            </c:ext>
          </c:extLst>
        </c:ser>
        <c:ser>
          <c:idx val="1"/>
          <c:order val="1"/>
          <c:tx>
            <c:strRef>
              <c:f>Eisaman!$C$132</c:f>
              <c:strCache>
                <c:ptCount val="1"/>
                <c:pt idx="0">
                  <c:v>BoP CapEx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Eisaman!$A$133:$A$138</c:f>
              <c:strCache>
                <c:ptCount val="6"/>
                <c:pt idx="0">
                  <c:v>Eisaman</c:v>
                </c:pt>
                <c:pt idx="1">
                  <c:v>Our baseline</c:v>
                </c:pt>
                <c:pt idx="2">
                  <c:v>Smaller scale</c:v>
                </c:pt>
                <c:pt idx="3">
                  <c:v>Worse ED performance</c:v>
                </c:pt>
                <c:pt idx="4">
                  <c:v>Higher electricity price</c:v>
                </c:pt>
                <c:pt idx="5">
                  <c:v>Onshore intake &amp; outfall</c:v>
                </c:pt>
              </c:strCache>
            </c:strRef>
          </c:cat>
          <c:val>
            <c:numRef>
              <c:f>Eisaman!$C$133:$C$138</c:f>
              <c:numCache>
                <c:formatCode>"$"#,##0</c:formatCode>
                <c:ptCount val="6"/>
                <c:pt idx="0">
                  <c:v>1225</c:v>
                </c:pt>
                <c:pt idx="1">
                  <c:v>33.898083286780917</c:v>
                </c:pt>
                <c:pt idx="2">
                  <c:v>237.34272490194328</c:v>
                </c:pt>
                <c:pt idx="3">
                  <c:v>243.17080902554795</c:v>
                </c:pt>
                <c:pt idx="4">
                  <c:v>243.17080902554795</c:v>
                </c:pt>
                <c:pt idx="5">
                  <c:v>951.60125540987133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527-9449-B502-13F23F6610AB}"/>
            </c:ext>
          </c:extLst>
        </c:ser>
        <c:ser>
          <c:idx val="2"/>
          <c:order val="2"/>
          <c:tx>
            <c:strRef>
              <c:f>Eisaman!$D$132</c:f>
              <c:strCache>
                <c:ptCount val="1"/>
                <c:pt idx="0">
                  <c:v>ED Electricity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Eisaman!$A$133:$A$138</c:f>
              <c:strCache>
                <c:ptCount val="6"/>
                <c:pt idx="0">
                  <c:v>Eisaman</c:v>
                </c:pt>
                <c:pt idx="1">
                  <c:v>Our baseline</c:v>
                </c:pt>
                <c:pt idx="2">
                  <c:v>Smaller scale</c:v>
                </c:pt>
                <c:pt idx="3">
                  <c:v>Worse ED performance</c:v>
                </c:pt>
                <c:pt idx="4">
                  <c:v>Higher electricity price</c:v>
                </c:pt>
                <c:pt idx="5">
                  <c:v>Onshore intake &amp; outfall</c:v>
                </c:pt>
              </c:strCache>
            </c:strRef>
          </c:cat>
          <c:val>
            <c:numRef>
              <c:f>Eisaman!$D$133:$D$138</c:f>
              <c:numCache>
                <c:formatCode>"$"#,##0</c:formatCode>
                <c:ptCount val="6"/>
                <c:pt idx="0">
                  <c:v>58</c:v>
                </c:pt>
                <c:pt idx="1">
                  <c:v>41.505931796508982</c:v>
                </c:pt>
                <c:pt idx="2">
                  <c:v>41.505931796509024</c:v>
                </c:pt>
                <c:pt idx="3">
                  <c:v>41.505931796509024</c:v>
                </c:pt>
                <c:pt idx="4">
                  <c:v>101.68953290144711</c:v>
                </c:pt>
                <c:pt idx="5">
                  <c:v>101.68953290144711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527-9449-B502-13F23F6610AB}"/>
            </c:ext>
          </c:extLst>
        </c:ser>
        <c:ser>
          <c:idx val="3"/>
          <c:order val="3"/>
          <c:tx>
            <c:strRef>
              <c:f>Eisaman!$E$132</c:f>
              <c:strCache>
                <c:ptCount val="1"/>
                <c:pt idx="0">
                  <c:v>BoP Electricity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Eisaman!$A$133:$A$138</c:f>
              <c:strCache>
                <c:ptCount val="6"/>
                <c:pt idx="0">
                  <c:v>Eisaman</c:v>
                </c:pt>
                <c:pt idx="1">
                  <c:v>Our baseline</c:v>
                </c:pt>
                <c:pt idx="2">
                  <c:v>Smaller scale</c:v>
                </c:pt>
                <c:pt idx="3">
                  <c:v>Worse ED performance</c:v>
                </c:pt>
                <c:pt idx="4">
                  <c:v>Higher electricity price</c:v>
                </c:pt>
                <c:pt idx="5">
                  <c:v>Onshore intake &amp; outfall</c:v>
                </c:pt>
              </c:strCache>
            </c:strRef>
          </c:cat>
          <c:val>
            <c:numRef>
              <c:f>Eisaman!$E$133:$E$138</c:f>
              <c:numCache>
                <c:formatCode>"$"#,##0</c:formatCode>
                <c:ptCount val="6"/>
                <c:pt idx="0">
                  <c:v>150</c:v>
                </c:pt>
                <c:pt idx="1">
                  <c:v>17.121852043692556</c:v>
                </c:pt>
                <c:pt idx="2">
                  <c:v>17.12185204369257</c:v>
                </c:pt>
                <c:pt idx="3">
                  <c:v>17.12185204369257</c:v>
                </c:pt>
                <c:pt idx="4">
                  <c:v>41.948537507046808</c:v>
                </c:pt>
                <c:pt idx="5">
                  <c:v>41.948537507046808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527-9449-B502-13F23F6610AB}"/>
            </c:ext>
          </c:extLst>
        </c:ser>
        <c:ser>
          <c:idx val="4"/>
          <c:order val="4"/>
          <c:tx>
            <c:strRef>
              <c:f>Eisaman!$F$132</c:f>
              <c:strCache>
                <c:ptCount val="1"/>
                <c:pt idx="0">
                  <c:v>Fixed OpEx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Eisaman!$A$133:$A$138</c:f>
              <c:strCache>
                <c:ptCount val="6"/>
                <c:pt idx="0">
                  <c:v>Eisaman</c:v>
                </c:pt>
                <c:pt idx="1">
                  <c:v>Our baseline</c:v>
                </c:pt>
                <c:pt idx="2">
                  <c:v>Smaller scale</c:v>
                </c:pt>
                <c:pt idx="3">
                  <c:v>Worse ED performance</c:v>
                </c:pt>
                <c:pt idx="4">
                  <c:v>Higher electricity price</c:v>
                </c:pt>
                <c:pt idx="5">
                  <c:v>Onshore intake &amp; outfall</c:v>
                </c:pt>
              </c:strCache>
            </c:strRef>
          </c:cat>
          <c:val>
            <c:numRef>
              <c:f>Eisaman!$F$133:$F$138</c:f>
              <c:numCache>
                <c:formatCode>"$"#,##0</c:formatCode>
                <c:ptCount val="6"/>
                <c:pt idx="0">
                  <c:v>350</c:v>
                </c:pt>
                <c:pt idx="1">
                  <c:v>20.887400876678484</c:v>
                </c:pt>
                <c:pt idx="2">
                  <c:v>210.15654633036579</c:v>
                </c:pt>
                <c:pt idx="3">
                  <c:v>244.55403052986219</c:v>
                </c:pt>
                <c:pt idx="4">
                  <c:v>245.81968975179976</c:v>
                </c:pt>
                <c:pt idx="5">
                  <c:v>662.81259213198518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527-9449-B502-13F23F6610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2086131840"/>
        <c:axId val="2086133488"/>
      </c:barChart>
      <c:catAx>
        <c:axId val="20861318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Helvetica" pitchFamily="2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2086133488"/>
        <c:crosses val="autoZero"/>
        <c:auto val="1"/>
        <c:lblAlgn val="ctr"/>
        <c:lblOffset val="100"/>
        <c:noMultiLvlLbl val="0"/>
      </c:catAx>
      <c:valAx>
        <c:axId val="20861334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chemeClr val="tx1"/>
                    </a:solidFill>
                    <a:latin typeface="Helvetica" pitchFamily="2" charset="0"/>
                    <a:ea typeface="+mn-ea"/>
                    <a:cs typeface="Arial" panose="020B0604020202020204" pitchFamily="34" charset="0"/>
                  </a:defRPr>
                </a:pPr>
                <a:r>
                  <a:rPr lang="en-US" sz="1400"/>
                  <a:t>CO</a:t>
                </a:r>
                <a:r>
                  <a:rPr lang="en-US" sz="1400" baseline="-25000"/>
                  <a:t>2</a:t>
                </a:r>
                <a:r>
                  <a:rPr lang="en-US" sz="1400" baseline="0"/>
                  <a:t> Price ($/ton)</a:t>
                </a:r>
                <a:endParaRPr lang="en-US" sz="14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chemeClr val="tx1"/>
                  </a:solidFill>
                  <a:latin typeface="Helvetica" pitchFamily="2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Helvetica" pitchFamily="2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20861318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4.2896356705411823E-2"/>
          <c:y val="0.86177685336502752"/>
          <c:w val="0.93414588801399845"/>
          <c:h val="0.1226387503448861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Helvetica" pitchFamily="2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>
          <a:solidFill>
            <a:schemeClr val="tx1"/>
          </a:solidFill>
          <a:latin typeface="Helvetica" pitchFamily="2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326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dk1">
            <a:lumMod val="75000"/>
            <a:lumOff val="2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dk1">
            <a:lumMod val="75000"/>
            <a:lumOff val="25000"/>
          </a:schemeClr>
        </a:solidFill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326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dk1">
            <a:lumMod val="75000"/>
            <a:lumOff val="2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dk1">
            <a:lumMod val="75000"/>
            <a:lumOff val="25000"/>
          </a:schemeClr>
        </a:solidFill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326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dk1">
            <a:lumMod val="75000"/>
            <a:lumOff val="2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dk1">
            <a:lumMod val="75000"/>
            <a:lumOff val="25000"/>
          </a:schemeClr>
        </a:solidFill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326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dk1">
            <a:lumMod val="75000"/>
            <a:lumOff val="2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dk1">
            <a:lumMod val="75000"/>
            <a:lumOff val="25000"/>
          </a:schemeClr>
        </a:solidFill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326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dk1">
            <a:lumMod val="75000"/>
            <a:lumOff val="2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dk1">
            <a:lumMod val="75000"/>
            <a:lumOff val="25000"/>
          </a:schemeClr>
        </a:solidFill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1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image" Target="../media/image1.emf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7" Type="http://schemas.openxmlformats.org/officeDocument/2006/relationships/chart" Target="../charts/chart14.xml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4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292100</xdr:colOff>
      <xdr:row>1</xdr:row>
      <xdr:rowOff>101600</xdr:rowOff>
    </xdr:from>
    <xdr:to>
      <xdr:col>13</xdr:col>
      <xdr:colOff>190500</xdr:colOff>
      <xdr:row>23</xdr:row>
      <xdr:rowOff>12700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285750</xdr:colOff>
      <xdr:row>24</xdr:row>
      <xdr:rowOff>73891</xdr:rowOff>
    </xdr:from>
    <xdr:to>
      <xdr:col>11</xdr:col>
      <xdr:colOff>19050</xdr:colOff>
      <xdr:row>46</xdr:row>
      <xdr:rowOff>35791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114300</xdr:colOff>
      <xdr:row>24</xdr:row>
      <xdr:rowOff>88900</xdr:rowOff>
    </xdr:from>
    <xdr:to>
      <xdr:col>15</xdr:col>
      <xdr:colOff>12700</xdr:colOff>
      <xdr:row>46</xdr:row>
      <xdr:rowOff>50800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165100</xdr:colOff>
          <xdr:row>46</xdr:row>
          <xdr:rowOff>101600</xdr:rowOff>
        </xdr:from>
        <xdr:to>
          <xdr:col>0</xdr:col>
          <xdr:colOff>1689100</xdr:colOff>
          <xdr:row>48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 Sweep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80</xdr:row>
          <xdr:rowOff>152400</xdr:rowOff>
        </xdr:from>
        <xdr:to>
          <xdr:col>0</xdr:col>
          <xdr:colOff>1625600</xdr:colOff>
          <xdr:row>83</xdr:row>
          <xdr:rowOff>38100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Calculate Breakdown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533400</xdr:colOff>
      <xdr:row>77</xdr:row>
      <xdr:rowOff>0</xdr:rowOff>
    </xdr:from>
    <xdr:to>
      <xdr:col>11</xdr:col>
      <xdr:colOff>266700</xdr:colOff>
      <xdr:row>98</xdr:row>
      <xdr:rowOff>127000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266700</xdr:colOff>
      <xdr:row>48</xdr:row>
      <xdr:rowOff>12700</xdr:rowOff>
    </xdr:from>
    <xdr:to>
      <xdr:col>11</xdr:col>
      <xdr:colOff>0</xdr:colOff>
      <xdr:row>70</xdr:row>
      <xdr:rowOff>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482600</xdr:colOff>
          <xdr:row>108</xdr:row>
          <xdr:rowOff>152400</xdr:rowOff>
        </xdr:from>
        <xdr:to>
          <xdr:col>1</xdr:col>
          <xdr:colOff>723900</xdr:colOff>
          <xdr:row>111</xdr:row>
          <xdr:rowOff>38100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2D Sweep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730250</xdr:colOff>
      <xdr:row>171</xdr:row>
      <xdr:rowOff>76200</xdr:rowOff>
    </xdr:from>
    <xdr:to>
      <xdr:col>6</xdr:col>
      <xdr:colOff>717550</xdr:colOff>
      <xdr:row>199</xdr:row>
      <xdr:rowOff>25400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939800</xdr:colOff>
      <xdr:row>212</xdr:row>
      <xdr:rowOff>38100</xdr:rowOff>
    </xdr:from>
    <xdr:to>
      <xdr:col>6</xdr:col>
      <xdr:colOff>927100</xdr:colOff>
      <xdr:row>239</xdr:row>
      <xdr:rowOff>152400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787400</xdr:colOff>
      <xdr:row>3</xdr:row>
      <xdr:rowOff>127000</xdr:rowOff>
    </xdr:from>
    <xdr:to>
      <xdr:col>15</xdr:col>
      <xdr:colOff>406400</xdr:colOff>
      <xdr:row>29</xdr:row>
      <xdr:rowOff>54989</xdr:rowOff>
    </xdr:to>
    <xdr:pic>
      <xdr:nvPicPr>
        <xdr:cNvPr id="4" name="Content Placeholder 216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Grp="1"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818100" y="838200"/>
          <a:ext cx="10972800" cy="4461889"/>
        </a:xfrm>
        <a:prstGeom prst="rect">
          <a:avLst/>
        </a:prstGeom>
      </xdr:spPr>
    </xdr:pic>
    <xdr:clientData/>
  </xdr:twoCellAnchor>
  <xdr:twoCellAnchor>
    <xdr:from>
      <xdr:col>3</xdr:col>
      <xdr:colOff>996950</xdr:colOff>
      <xdr:row>133</xdr:row>
      <xdr:rowOff>127000</xdr:rowOff>
    </xdr:from>
    <xdr:to>
      <xdr:col>6</xdr:col>
      <xdr:colOff>577850</xdr:colOff>
      <xdr:row>158</xdr:row>
      <xdr:rowOff>114300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584200</xdr:colOff>
      <xdr:row>4</xdr:row>
      <xdr:rowOff>101600</xdr:rowOff>
    </xdr:from>
    <xdr:to>
      <xdr:col>26</xdr:col>
      <xdr:colOff>25400</xdr:colOff>
      <xdr:row>26</xdr:row>
      <xdr:rowOff>88900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596900</xdr:colOff>
      <xdr:row>27</xdr:row>
      <xdr:rowOff>76200</xdr:rowOff>
    </xdr:from>
    <xdr:to>
      <xdr:col>26</xdr:col>
      <xdr:colOff>38100</xdr:colOff>
      <xdr:row>49</xdr:row>
      <xdr:rowOff>101600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584200</xdr:colOff>
      <xdr:row>75</xdr:row>
      <xdr:rowOff>76200</xdr:rowOff>
    </xdr:from>
    <xdr:to>
      <xdr:col>26</xdr:col>
      <xdr:colOff>25400</xdr:colOff>
      <xdr:row>97</xdr:row>
      <xdr:rowOff>101600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596900</xdr:colOff>
      <xdr:row>51</xdr:row>
      <xdr:rowOff>101600</xdr:rowOff>
    </xdr:from>
    <xdr:to>
      <xdr:col>26</xdr:col>
      <xdr:colOff>38100</xdr:colOff>
      <xdr:row>73</xdr:row>
      <xdr:rowOff>127000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18</xdr:col>
      <xdr:colOff>622300</xdr:colOff>
      <xdr:row>99</xdr:row>
      <xdr:rowOff>63500</xdr:rowOff>
    </xdr:from>
    <xdr:to>
      <xdr:col>26</xdr:col>
      <xdr:colOff>63500</xdr:colOff>
      <xdr:row>121</xdr:row>
      <xdr:rowOff>88900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165100</xdr:colOff>
      <xdr:row>3</xdr:row>
      <xdr:rowOff>114300</xdr:rowOff>
    </xdr:from>
    <xdr:to>
      <xdr:col>5</xdr:col>
      <xdr:colOff>622300</xdr:colOff>
      <xdr:row>30</xdr:row>
      <xdr:rowOff>136259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5100" y="1003300"/>
          <a:ext cx="7772400" cy="4479659"/>
        </a:xfrm>
        <a:prstGeom prst="rect">
          <a:avLst/>
        </a:prstGeom>
      </xdr:spPr>
    </xdr:pic>
    <xdr:clientData/>
  </xdr:twoCellAnchor>
  <xdr:twoCellAnchor editAs="oneCell">
    <xdr:from>
      <xdr:col>13</xdr:col>
      <xdr:colOff>1125656</xdr:colOff>
      <xdr:row>66</xdr:row>
      <xdr:rowOff>152400</xdr:rowOff>
    </xdr:from>
    <xdr:to>
      <xdr:col>18</xdr:col>
      <xdr:colOff>888999</xdr:colOff>
      <xdr:row>95</xdr:row>
      <xdr:rowOff>88900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8702456" y="11925300"/>
          <a:ext cx="6176843" cy="5295900"/>
        </a:xfrm>
        <a:prstGeom prst="rect">
          <a:avLst/>
        </a:prstGeom>
      </xdr:spPr>
    </xdr:pic>
    <xdr:clientData/>
  </xdr:twoCellAnchor>
  <xdr:twoCellAnchor editAs="oneCell">
    <xdr:from>
      <xdr:col>19</xdr:col>
      <xdr:colOff>38100</xdr:colOff>
      <xdr:row>67</xdr:row>
      <xdr:rowOff>35936</xdr:rowOff>
    </xdr:from>
    <xdr:to>
      <xdr:col>24</xdr:col>
      <xdr:colOff>690590</xdr:colOff>
      <xdr:row>94</xdr:row>
      <xdr:rowOff>18382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5311100" y="11973936"/>
          <a:ext cx="6151590" cy="5011646"/>
        </a:xfrm>
        <a:prstGeom prst="rect">
          <a:avLst/>
        </a:prstGeom>
      </xdr:spPr>
    </xdr:pic>
    <xdr:clientData/>
  </xdr:twoCellAnchor>
  <xdr:twoCellAnchor editAs="oneCell">
    <xdr:from>
      <xdr:col>5</xdr:col>
      <xdr:colOff>914400</xdr:colOff>
      <xdr:row>3</xdr:row>
      <xdr:rowOff>98136</xdr:rowOff>
    </xdr:from>
    <xdr:to>
      <xdr:col>10</xdr:col>
      <xdr:colOff>927210</xdr:colOff>
      <xdr:row>31</xdr:row>
      <xdr:rowOff>12700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8229600" y="987136"/>
          <a:ext cx="6426310" cy="4537364"/>
        </a:xfrm>
        <a:prstGeom prst="rect">
          <a:avLst/>
        </a:prstGeom>
      </xdr:spPr>
    </xdr:pic>
    <xdr:clientData/>
  </xdr:twoCellAnchor>
  <xdr:twoCellAnchor editAs="oneCell">
    <xdr:from>
      <xdr:col>12</xdr:col>
      <xdr:colOff>965200</xdr:colOff>
      <xdr:row>98</xdr:row>
      <xdr:rowOff>149788</xdr:rowOff>
    </xdr:from>
    <xdr:to>
      <xdr:col>17</xdr:col>
      <xdr:colOff>0</xdr:colOff>
      <xdr:row>113</xdr:row>
      <xdr:rowOff>172814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7259300" y="17777388"/>
          <a:ext cx="5448300" cy="2613826"/>
        </a:xfrm>
        <a:prstGeom prst="rect">
          <a:avLst/>
        </a:prstGeom>
      </xdr:spPr>
    </xdr:pic>
    <xdr:clientData/>
  </xdr:twoCellAnchor>
  <xdr:twoCellAnchor editAs="oneCell">
    <xdr:from>
      <xdr:col>9</xdr:col>
      <xdr:colOff>660400</xdr:colOff>
      <xdr:row>71</xdr:row>
      <xdr:rowOff>101600</xdr:rowOff>
    </xdr:from>
    <xdr:to>
      <xdr:col>13</xdr:col>
      <xdr:colOff>419100</xdr:colOff>
      <xdr:row>85</xdr:row>
      <xdr:rowOff>139700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3106400" y="12700000"/>
          <a:ext cx="4889500" cy="2921000"/>
        </a:xfrm>
        <a:prstGeom prst="rect">
          <a:avLst/>
        </a:prstGeom>
      </xdr:spPr>
    </xdr:pic>
    <xdr:clientData/>
  </xdr:twoCellAnchor>
  <xdr:twoCellAnchor editAs="oneCell">
    <xdr:from>
      <xdr:col>8</xdr:col>
      <xdr:colOff>177800</xdr:colOff>
      <xdr:row>144</xdr:row>
      <xdr:rowOff>152400</xdr:rowOff>
    </xdr:from>
    <xdr:to>
      <xdr:col>14</xdr:col>
      <xdr:colOff>254000</xdr:colOff>
      <xdr:row>172</xdr:row>
      <xdr:rowOff>9259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341100" y="25628600"/>
          <a:ext cx="7772400" cy="4479659"/>
        </a:xfrm>
        <a:prstGeom prst="rect">
          <a:avLst/>
        </a:prstGeom>
      </xdr:spPr>
    </xdr:pic>
    <xdr:clientData/>
  </xdr:twoCellAnchor>
  <xdr:twoCellAnchor>
    <xdr:from>
      <xdr:col>9</xdr:col>
      <xdr:colOff>558800</xdr:colOff>
      <xdr:row>115</xdr:row>
      <xdr:rowOff>88900</xdr:rowOff>
    </xdr:from>
    <xdr:to>
      <xdr:col>14</xdr:col>
      <xdr:colOff>546100</xdr:colOff>
      <xdr:row>142</xdr:row>
      <xdr:rowOff>127000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corawent/Desktop/Caltech/ARPA-E/Working%20Spreadsheets/210805_Ocean%20CO2%20Captur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in"/>
      <sheetName val="Results"/>
      <sheetName val="Cash flow analysis"/>
      <sheetName val="Process and cost assumptions"/>
      <sheetName val="Equipment reference"/>
      <sheetName val="Carbonate acidity"/>
      <sheetName val="Eisaman"/>
    </sheetNames>
    <sheetDataSet>
      <sheetData sheetId="0"/>
      <sheetData sheetId="1"/>
      <sheetData sheetId="2"/>
      <sheetData sheetId="3"/>
      <sheetData sheetId="4">
        <row r="20">
          <cell r="B20">
            <v>429.15337302287008</v>
          </cell>
        </row>
      </sheetData>
      <sheetData sheetId="5"/>
      <sheetData sheetId="6">
        <row r="132">
          <cell r="B132" t="str">
            <v>ED CapEx &amp; Replacements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Custom 7">
      <a:dk1>
        <a:srgbClr val="000000"/>
      </a:dk1>
      <a:lt1>
        <a:srgbClr val="FFFFFF"/>
      </a:lt1>
      <a:dk2>
        <a:srgbClr val="515151"/>
      </a:dk2>
      <a:lt2>
        <a:srgbClr val="CACACA"/>
      </a:lt2>
      <a:accent1>
        <a:srgbClr val="419EA6"/>
      </a:accent1>
      <a:accent2>
        <a:srgbClr val="2E4756"/>
      </a:accent2>
      <a:accent3>
        <a:srgbClr val="957186"/>
      </a:accent3>
      <a:accent4>
        <a:srgbClr val="C5D86D"/>
      </a:accent4>
      <a:accent5>
        <a:srgbClr val="E18334"/>
      </a:accent5>
      <a:accent6>
        <a:srgbClr val="919191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Custom 7">
    <a:dk1>
      <a:srgbClr val="000000"/>
    </a:dk1>
    <a:lt1>
      <a:srgbClr val="FFFFFF"/>
    </a:lt1>
    <a:dk2>
      <a:srgbClr val="515151"/>
    </a:dk2>
    <a:lt2>
      <a:srgbClr val="CACACA"/>
    </a:lt2>
    <a:accent1>
      <a:srgbClr val="419EA6"/>
    </a:accent1>
    <a:accent2>
      <a:srgbClr val="2E4756"/>
    </a:accent2>
    <a:accent3>
      <a:srgbClr val="957186"/>
    </a:accent3>
    <a:accent4>
      <a:srgbClr val="C5D86D"/>
    </a:accent4>
    <a:accent5>
      <a:srgbClr val="E18334"/>
    </a:accent5>
    <a:accent6>
      <a:srgbClr val="919191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Custom 7">
    <a:dk1>
      <a:srgbClr val="000000"/>
    </a:dk1>
    <a:lt1>
      <a:srgbClr val="FFFFFF"/>
    </a:lt1>
    <a:dk2>
      <a:srgbClr val="515151"/>
    </a:dk2>
    <a:lt2>
      <a:srgbClr val="CACACA"/>
    </a:lt2>
    <a:accent1>
      <a:srgbClr val="419EA6"/>
    </a:accent1>
    <a:accent2>
      <a:srgbClr val="2E4756"/>
    </a:accent2>
    <a:accent3>
      <a:srgbClr val="957186"/>
    </a:accent3>
    <a:accent4>
      <a:srgbClr val="C5D86D"/>
    </a:accent4>
    <a:accent5>
      <a:srgbClr val="E18334"/>
    </a:accent5>
    <a:accent6>
      <a:srgbClr val="919191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823BCA-D328-48DD-B357-C74F4332BC1C}">
  <sheetPr codeName="Sheet1"/>
  <dimension ref="A1:AK1013"/>
  <sheetViews>
    <sheetView tabSelected="1" zoomScaleNormal="100" workbookViewId="0">
      <pane ySplit="1" topLeftCell="A2" activePane="bottomLeft" state="frozen"/>
      <selection pane="bottomLeft" activeCell="G41" sqref="G41"/>
    </sheetView>
  </sheetViews>
  <sheetFormatPr baseColWidth="10" defaultColWidth="24.83203125" defaultRowHeight="13" x14ac:dyDescent="0.15"/>
  <cols>
    <col min="1" max="1" width="52.33203125" style="187" customWidth="1"/>
    <col min="2" max="8" width="24.83203125" style="100"/>
    <col min="9" max="11" width="24.83203125" style="187"/>
    <col min="12" max="12" width="24.83203125" style="198"/>
    <col min="13" max="16384" width="24.83203125" style="187"/>
  </cols>
  <sheetData>
    <row r="1" spans="1:37" ht="27" x14ac:dyDescent="0.35">
      <c r="A1" s="383" t="s">
        <v>344</v>
      </c>
      <c r="B1" s="205">
        <f>H2_cost_infl*tons_to_kg</f>
        <v>138.15249440013105</v>
      </c>
      <c r="C1" s="204" t="s">
        <v>150</v>
      </c>
      <c r="D1" s="187"/>
      <c r="E1" s="187"/>
      <c r="F1" s="187"/>
      <c r="G1" s="187"/>
      <c r="H1" s="206"/>
      <c r="L1" s="187"/>
    </row>
    <row r="2" spans="1:37" x14ac:dyDescent="0.15">
      <c r="A2" s="3"/>
      <c r="B2" s="3"/>
      <c r="C2" s="3"/>
      <c r="D2" s="3"/>
      <c r="E2" s="3"/>
      <c r="F2" s="207"/>
      <c r="G2" s="207"/>
      <c r="H2" s="208"/>
      <c r="I2" s="209"/>
      <c r="J2" s="210"/>
      <c r="K2" s="90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</row>
    <row r="3" spans="1:37" ht="16" x14ac:dyDescent="0.15">
      <c r="A3" s="91" t="s">
        <v>0</v>
      </c>
      <c r="B3" s="670" t="s">
        <v>595</v>
      </c>
      <c r="C3" s="213" t="s">
        <v>607</v>
      </c>
      <c r="D3" s="588"/>
      <c r="E3" s="6"/>
      <c r="F3" s="208"/>
      <c r="G3" s="208"/>
      <c r="H3" s="208"/>
      <c r="L3" s="187"/>
    </row>
    <row r="4" spans="1:37" ht="16" x14ac:dyDescent="0.15">
      <c r="A4" s="91"/>
      <c r="B4" s="671" t="s">
        <v>631</v>
      </c>
      <c r="C4" s="388" t="s">
        <v>608</v>
      </c>
      <c r="D4" s="213"/>
      <c r="E4" s="6"/>
      <c r="F4" s="208"/>
      <c r="G4" s="208"/>
      <c r="H4" s="208"/>
      <c r="L4" s="187"/>
    </row>
    <row r="5" spans="1:37" s="390" customFormat="1" x14ac:dyDescent="0.15">
      <c r="A5" s="388"/>
      <c r="B5" s="388"/>
      <c r="C5" s="388"/>
      <c r="D5" s="388"/>
      <c r="E5" s="388"/>
      <c r="F5" s="389"/>
    </row>
    <row r="6" spans="1:37" ht="15" x14ac:dyDescent="0.2">
      <c r="A6" s="211" t="s">
        <v>107</v>
      </c>
      <c r="B6" s="212">
        <f>D6*tons_to_kg/365</f>
        <v>2739726.0273972601</v>
      </c>
      <c r="C6" s="211" t="s">
        <v>109</v>
      </c>
      <c r="D6" s="543" cm="1">
        <f t="array" ref="D6">_xlfn.IFS(when="future",1000000,when="current",10000)</f>
        <v>1000000</v>
      </c>
      <c r="E6" s="211" t="s">
        <v>128</v>
      </c>
      <c r="F6" s="208"/>
    </row>
    <row r="7" spans="1:37" ht="15" x14ac:dyDescent="0.2">
      <c r="A7" s="211" t="s">
        <v>108</v>
      </c>
      <c r="B7" s="212">
        <f>design_cap*cap_factor</f>
        <v>2465753.4246575343</v>
      </c>
      <c r="C7" s="211" t="s">
        <v>109</v>
      </c>
      <c r="D7" s="212">
        <f>D6*cap_factor</f>
        <v>900000</v>
      </c>
      <c r="E7" s="211" t="s">
        <v>128</v>
      </c>
      <c r="F7" s="208"/>
    </row>
    <row r="8" spans="1:37" x14ac:dyDescent="0.15">
      <c r="A8" s="211" t="s">
        <v>25</v>
      </c>
      <c r="B8" s="92">
        <v>0.9</v>
      </c>
      <c r="C8" s="213"/>
      <c r="D8" s="213"/>
      <c r="E8" s="213"/>
      <c r="F8" s="214"/>
    </row>
    <row r="9" spans="1:37" x14ac:dyDescent="0.15">
      <c r="A9" s="211"/>
      <c r="B9" s="92"/>
      <c r="C9" s="213"/>
      <c r="D9" s="213"/>
      <c r="E9" s="213"/>
      <c r="F9" s="214"/>
    </row>
    <row r="10" spans="1:37" x14ac:dyDescent="0.15">
      <c r="A10" s="224" t="s">
        <v>144</v>
      </c>
      <c r="B10" s="224">
        <v>4</v>
      </c>
      <c r="C10" s="213"/>
      <c r="D10" s="212"/>
      <c r="E10" s="213"/>
      <c r="F10" s="215"/>
    </row>
    <row r="11" spans="1:37" x14ac:dyDescent="0.15">
      <c r="A11" s="226" t="s">
        <v>374</v>
      </c>
      <c r="B11" s="421">
        <v>0.9</v>
      </c>
      <c r="C11" s="421"/>
      <c r="D11" s="213"/>
      <c r="E11" s="213"/>
      <c r="F11" s="215"/>
    </row>
    <row r="12" spans="1:37" x14ac:dyDescent="0.15">
      <c r="A12" s="213" t="s">
        <v>145</v>
      </c>
      <c r="B12" s="213">
        <v>0.4</v>
      </c>
      <c r="C12" s="213"/>
      <c r="D12" s="213"/>
      <c r="E12" s="213"/>
      <c r="F12" s="93"/>
    </row>
    <row r="13" spans="1:37" x14ac:dyDescent="0.15">
      <c r="A13" s="213" t="s">
        <v>448</v>
      </c>
      <c r="B13" s="216">
        <f>LOOKUP(acid_pH,'Carbonate acidity'!F6:F146,'Carbonate acidity'!L6:L146)</f>
        <v>0.40059157152645453</v>
      </c>
      <c r="C13" s="213"/>
      <c r="D13" s="213"/>
      <c r="E13" s="213"/>
      <c r="F13" s="93"/>
    </row>
    <row r="14" spans="1:37" x14ac:dyDescent="0.15">
      <c r="A14" s="213" t="s">
        <v>450</v>
      </c>
      <c r="B14" s="510">
        <f>LOOKUP(OW_pH,'Carbonate acidity'!F6:F146,'Carbonate acidity'!L6:L146)</f>
        <v>2.5544523230981377E-3</v>
      </c>
      <c r="C14" s="213"/>
      <c r="D14" s="213"/>
      <c r="E14" s="213"/>
      <c r="F14" s="93"/>
    </row>
    <row r="15" spans="1:37" ht="15" x14ac:dyDescent="0.2">
      <c r="A15" s="43" t="s">
        <v>449</v>
      </c>
      <c r="B15" s="510">
        <f>LOOKUP(OW_pH,'Carbonate acidity'!F6:F146,'Carbonate acidity'!A6:A146)*ctf</f>
        <v>2.1700446845025019E-3</v>
      </c>
      <c r="C15" s="213"/>
      <c r="D15" s="213"/>
      <c r="E15" s="213"/>
      <c r="F15" s="93"/>
    </row>
    <row r="16" spans="1:37" ht="15" x14ac:dyDescent="0.2">
      <c r="A16" s="213" t="s">
        <v>167</v>
      </c>
      <c r="B16" s="217">
        <f>LOOKUP(OW_pH,'Carbonate acidity'!F6:F146,'Carbonate acidity'!A6:A146)/DIC_concentration</f>
        <v>0.98638394750113711</v>
      </c>
      <c r="C16" s="213"/>
      <c r="D16" s="213"/>
      <c r="E16" s="213"/>
      <c r="F16" s="94"/>
      <c r="AI16" s="3"/>
      <c r="AJ16" s="3"/>
      <c r="AK16" s="3"/>
    </row>
    <row r="17" spans="1:37" s="221" customFormat="1" x14ac:dyDescent="0.15">
      <c r="A17" s="222" t="s">
        <v>528</v>
      </c>
      <c r="B17" s="223">
        <f>LOOKUP(B10,'Carbonate acidity'!F6:F146,'Carbonate acidity'!O6:O146)</f>
        <v>6.4164941303283393E-3</v>
      </c>
      <c r="C17" s="613" t="s">
        <v>529</v>
      </c>
      <c r="D17" s="614">
        <f>1/fraction_oceanwater</f>
        <v>155.84834641605585</v>
      </c>
      <c r="E17" s="220"/>
      <c r="F17" s="94"/>
      <c r="AI17" s="5"/>
      <c r="AJ17" s="5"/>
      <c r="AK17" s="5"/>
    </row>
    <row r="18" spans="1:37" s="221" customFormat="1" x14ac:dyDescent="0.15">
      <c r="A18" s="222" t="s">
        <v>174</v>
      </c>
      <c r="B18" s="223">
        <v>4</v>
      </c>
      <c r="C18" s="43" t="s">
        <v>175</v>
      </c>
      <c r="D18" s="220"/>
      <c r="E18" s="220"/>
      <c r="F18" s="94"/>
      <c r="AI18" s="5"/>
      <c r="AJ18" s="5"/>
      <c r="AK18" s="5"/>
    </row>
    <row r="19" spans="1:37" s="221" customFormat="1" x14ac:dyDescent="0.15">
      <c r="A19" s="222"/>
      <c r="B19" s="223"/>
      <c r="C19" s="43"/>
      <c r="D19" s="220"/>
      <c r="E19" s="220"/>
      <c r="F19" s="94"/>
      <c r="AI19" s="5"/>
      <c r="AJ19" s="5"/>
      <c r="AK19" s="5"/>
    </row>
    <row r="20" spans="1:37" s="221" customFormat="1" x14ac:dyDescent="0.15">
      <c r="A20" s="222"/>
      <c r="B20" s="675" t="s">
        <v>613</v>
      </c>
      <c r="C20" s="676"/>
      <c r="D20" s="678"/>
      <c r="E20" s="220"/>
      <c r="AI20" s="5"/>
      <c r="AJ20" s="5"/>
      <c r="AK20" s="5"/>
    </row>
    <row r="21" spans="1:37" s="221" customFormat="1" ht="15" x14ac:dyDescent="0.2">
      <c r="A21" s="222" t="s">
        <v>604</v>
      </c>
      <c r="B21" s="219">
        <v>10</v>
      </c>
      <c r="C21" s="43" t="s">
        <v>605</v>
      </c>
      <c r="D21" s="679"/>
      <c r="E21" s="220"/>
      <c r="AI21" s="5"/>
      <c r="AJ21" s="5"/>
      <c r="AK21" s="5"/>
    </row>
    <row r="22" spans="1:37" s="221" customFormat="1" x14ac:dyDescent="0.15">
      <c r="A22" s="222" t="s">
        <v>601</v>
      </c>
      <c r="B22" s="223">
        <v>60</v>
      </c>
      <c r="C22" s="43" t="s">
        <v>606</v>
      </c>
      <c r="D22" s="679"/>
      <c r="E22" s="222"/>
      <c r="AI22" s="5"/>
      <c r="AJ22" s="5"/>
      <c r="AK22" s="5"/>
    </row>
    <row r="23" spans="1:37" s="221" customFormat="1" x14ac:dyDescent="0.15">
      <c r="A23" s="222" t="s">
        <v>602</v>
      </c>
      <c r="B23" s="223">
        <v>60</v>
      </c>
      <c r="C23" s="43" t="s">
        <v>606</v>
      </c>
      <c r="D23" s="674"/>
      <c r="E23" s="89"/>
      <c r="AI23" s="5"/>
      <c r="AJ23" s="5"/>
      <c r="AK23" s="5"/>
    </row>
    <row r="24" spans="1:37" s="221" customFormat="1" x14ac:dyDescent="0.15">
      <c r="A24" s="222" t="s">
        <v>600</v>
      </c>
      <c r="B24" s="518">
        <v>0.8</v>
      </c>
      <c r="C24" s="43"/>
      <c r="D24" s="680"/>
      <c r="E24" s="220"/>
      <c r="AI24" s="5"/>
      <c r="AJ24" s="5"/>
      <c r="AK24" s="5"/>
    </row>
    <row r="25" spans="1:37" s="221" customFormat="1" x14ac:dyDescent="0.15">
      <c r="A25" s="222" t="s">
        <v>603</v>
      </c>
      <c r="B25" s="223">
        <f>B22/B23</f>
        <v>1</v>
      </c>
      <c r="C25" s="43"/>
      <c r="D25" s="680"/>
      <c r="E25" s="89"/>
      <c r="AI25" s="5"/>
      <c r="AJ25" s="5"/>
      <c r="AK25" s="5"/>
    </row>
    <row r="26" spans="1:37" s="221" customFormat="1" x14ac:dyDescent="0.15">
      <c r="A26" s="222"/>
      <c r="B26" s="223"/>
      <c r="C26" s="43"/>
      <c r="D26" s="220"/>
      <c r="E26" s="220"/>
      <c r="F26" s="94"/>
      <c r="AI26" s="5"/>
      <c r="AJ26" s="5"/>
      <c r="AK26" s="5"/>
    </row>
    <row r="27" spans="1:37" s="221" customFormat="1" x14ac:dyDescent="0.15">
      <c r="A27" s="420" t="s">
        <v>457</v>
      </c>
      <c r="B27" s="689" cm="1">
        <f t="array" ref="B27">_xlfn.IFS(how="equilibrium",MIN(mc_efficiency*co2_per_DIC*ctf,mc_efficiency),how="steady-state",B24)</f>
        <v>0.8</v>
      </c>
      <c r="C27" s="517">
        <f>MAX(mc_efficiency*co2_per_DIC*ctf,40%)</f>
        <v>0.8877455527510234</v>
      </c>
      <c r="D27" s="517" cm="1">
        <f t="array" ref="D27">_xlfn.IFS(how="equilibrium",MIN(mc_efficiency*co2_per_DIC*ctf,mc_efficiency),how="steady-state",B24)</f>
        <v>0.8</v>
      </c>
      <c r="E27" s="224"/>
      <c r="F27" s="94"/>
      <c r="AI27" s="5"/>
      <c r="AJ27" s="5"/>
      <c r="AK27" s="5"/>
    </row>
    <row r="28" spans="1:37" s="221" customFormat="1" x14ac:dyDescent="0.15">
      <c r="A28" s="509" t="s">
        <v>456</v>
      </c>
      <c r="B28" s="518">
        <f>MIN(mc_efficiency*co2_per_DIC*ctf,mc_efficiency)</f>
        <v>0.8877455527510234</v>
      </c>
      <c r="C28" s="517"/>
      <c r="D28" s="517"/>
      <c r="E28" s="224"/>
      <c r="F28" s="681"/>
      <c r="AI28" s="5"/>
      <c r="AJ28" s="5"/>
      <c r="AK28" s="5"/>
    </row>
    <row r="29" spans="1:37" s="221" customFormat="1" x14ac:dyDescent="0.15">
      <c r="A29" s="420" t="s">
        <v>451</v>
      </c>
      <c r="B29" s="515">
        <v>1</v>
      </c>
      <c r="C29" s="421"/>
      <c r="D29" s="421"/>
      <c r="E29" s="224"/>
      <c r="F29" s="94"/>
      <c r="AI29" s="5"/>
      <c r="AJ29" s="5"/>
      <c r="AK29" s="5"/>
    </row>
    <row r="30" spans="1:37" s="221" customFormat="1" x14ac:dyDescent="0.15">
      <c r="A30" s="509" t="s">
        <v>452</v>
      </c>
      <c r="B30" s="516">
        <f>extraction_efficiency/(mc_efficiency*co2_per_DIC)</f>
        <v>0.90115911875975074</v>
      </c>
      <c r="C30" s="220"/>
      <c r="D30" s="673"/>
      <c r="E30" s="224"/>
      <c r="F30" s="94"/>
      <c r="AI30" s="5"/>
      <c r="AJ30" s="5"/>
      <c r="AK30" s="5"/>
    </row>
    <row r="31" spans="1:37" s="221" customFormat="1" x14ac:dyDescent="0.15">
      <c r="A31" s="509" t="s">
        <v>455</v>
      </c>
      <c r="B31" s="511">
        <f>B15/B14/ctf</f>
        <v>0.8495146552082008</v>
      </c>
      <c r="C31" s="421"/>
      <c r="D31" s="672"/>
      <c r="E31" s="224"/>
      <c r="F31" s="94"/>
      <c r="AI31" s="5"/>
      <c r="AJ31" s="5"/>
      <c r="AK31" s="5"/>
    </row>
    <row r="32" spans="1:37" s="221" customFormat="1" x14ac:dyDescent="0.15">
      <c r="A32" s="509" t="s">
        <v>530</v>
      </c>
      <c r="B32" s="511">
        <f>ctf_calc*B31</f>
        <v>0.76554787806091573</v>
      </c>
      <c r="C32" s="220"/>
      <c r="D32" s="673"/>
      <c r="E32" s="224"/>
      <c r="F32" s="94"/>
      <c r="AI32" s="5"/>
      <c r="AJ32" s="5"/>
      <c r="AK32" s="5"/>
    </row>
    <row r="33" spans="1:37" s="221" customFormat="1" x14ac:dyDescent="0.15">
      <c r="A33" s="218"/>
      <c r="B33" s="219"/>
      <c r="C33" s="220"/>
      <c r="D33" s="220"/>
      <c r="E33" s="220"/>
      <c r="F33" s="94"/>
      <c r="AI33" s="5"/>
      <c r="AJ33" s="5"/>
      <c r="AK33" s="5"/>
    </row>
    <row r="34" spans="1:37" s="221" customFormat="1" ht="15" x14ac:dyDescent="0.15">
      <c r="A34" s="224" t="s">
        <v>129</v>
      </c>
      <c r="B34" s="224">
        <v>500</v>
      </c>
      <c r="C34" s="226" t="s">
        <v>373</v>
      </c>
      <c r="D34" s="224"/>
      <c r="E34" s="92"/>
      <c r="F34" s="94"/>
      <c r="AI34" s="5"/>
      <c r="AJ34" s="5"/>
      <c r="AK34" s="5"/>
    </row>
    <row r="35" spans="1:37" s="221" customFormat="1" x14ac:dyDescent="0.15">
      <c r="A35" s="226" t="s">
        <v>130</v>
      </c>
      <c r="B35" s="419">
        <v>2.5</v>
      </c>
      <c r="C35" s="226" t="s">
        <v>131</v>
      </c>
      <c r="D35" s="419"/>
      <c r="E35" s="6"/>
      <c r="F35" s="94"/>
      <c r="AI35" s="5"/>
      <c r="AJ35" s="5"/>
      <c r="AK35" s="5"/>
    </row>
    <row r="36" spans="1:37" s="221" customFormat="1" x14ac:dyDescent="0.15">
      <c r="A36" s="211"/>
      <c r="B36" s="281"/>
      <c r="C36" s="211"/>
      <c r="D36" s="213"/>
      <c r="E36" s="6"/>
      <c r="F36" s="225"/>
      <c r="AI36" s="5"/>
      <c r="AJ36" s="5"/>
      <c r="AK36" s="5"/>
    </row>
    <row r="37" spans="1:37" s="221" customFormat="1" ht="15" x14ac:dyDescent="0.2">
      <c r="A37" s="211" t="s">
        <v>136</v>
      </c>
      <c r="B37" s="212">
        <f>400000*m3OW_to_kgCO2</f>
        <v>30976.000000000004</v>
      </c>
      <c r="C37" s="211" t="s">
        <v>109</v>
      </c>
      <c r="D37" s="212">
        <f>400000*m3OW_to_kgCO2</f>
        <v>30976.000000000004</v>
      </c>
      <c r="E37" s="211"/>
      <c r="F37" s="93"/>
      <c r="AI37" s="5"/>
      <c r="AJ37" s="5"/>
      <c r="AK37" s="5"/>
    </row>
    <row r="38" spans="1:37" s="221" customFormat="1" ht="15" x14ac:dyDescent="0.2">
      <c r="A38" s="211" t="s">
        <v>178</v>
      </c>
      <c r="B38" s="212">
        <f>20000*24*molar_mass</f>
        <v>21120</v>
      </c>
      <c r="C38" s="211" t="s">
        <v>109</v>
      </c>
      <c r="D38" s="212" t="s">
        <v>180</v>
      </c>
      <c r="E38" s="211"/>
      <c r="F38" s="93"/>
      <c r="AI38" s="5"/>
      <c r="AJ38" s="5"/>
      <c r="AK38" s="5"/>
    </row>
    <row r="39" spans="1:37" s="221" customFormat="1" x14ac:dyDescent="0.15">
      <c r="A39" s="211" t="s">
        <v>106</v>
      </c>
      <c r="B39" s="217">
        <v>0.6</v>
      </c>
      <c r="C39" s="211"/>
      <c r="D39" s="537">
        <f>labor_baseline_cap*365/tons_to_kg</f>
        <v>7708.8</v>
      </c>
      <c r="E39" s="6" t="s">
        <v>467</v>
      </c>
      <c r="F39" s="93"/>
      <c r="AI39" s="5"/>
      <c r="AJ39" s="5"/>
      <c r="AK39" s="5"/>
    </row>
    <row r="40" spans="1:37" s="221" customFormat="1" x14ac:dyDescent="0.15">
      <c r="A40" s="211" t="s">
        <v>179</v>
      </c>
      <c r="B40" s="217">
        <f>design_cap/baseline_cap</f>
        <v>88.446733839012779</v>
      </c>
      <c r="C40" s="211"/>
      <c r="D40" s="213"/>
      <c r="E40" s="6"/>
      <c r="F40" s="93"/>
      <c r="AI40" s="5"/>
      <c r="AJ40" s="5"/>
      <c r="AK40" s="5"/>
    </row>
    <row r="41" spans="1:37" s="221" customFormat="1" x14ac:dyDescent="0.15">
      <c r="A41" s="211" t="s">
        <v>183</v>
      </c>
      <c r="B41" s="217">
        <f>design_cap/labor_baseline_cap</f>
        <v>129.72187629721876</v>
      </c>
      <c r="C41" s="211"/>
      <c r="D41" s="213"/>
      <c r="E41" s="6"/>
      <c r="F41" s="93"/>
      <c r="AI41" s="5"/>
      <c r="AJ41" s="5"/>
      <c r="AK41" s="5"/>
    </row>
    <row r="42" spans="1:37" s="221" customFormat="1" x14ac:dyDescent="0.15">
      <c r="A42" s="220"/>
      <c r="B42" s="220"/>
      <c r="C42" s="220"/>
      <c r="D42" s="220"/>
      <c r="E42" s="211"/>
      <c r="F42" s="93"/>
      <c r="AI42" s="5"/>
      <c r="AJ42" s="5"/>
      <c r="AK42" s="5"/>
    </row>
    <row r="43" spans="1:37" s="221" customFormat="1" x14ac:dyDescent="0.15">
      <c r="A43" s="388" t="s">
        <v>26</v>
      </c>
      <c r="B43" s="388">
        <f>_xlfn.IFS(when="future",0.02,when="current",0.04)</f>
        <v>0.02</v>
      </c>
      <c r="C43" s="211" t="s">
        <v>27</v>
      </c>
      <c r="D43" s="227"/>
      <c r="E43" s="96"/>
      <c r="F43" s="93"/>
      <c r="AI43" s="5"/>
      <c r="AJ43" s="5"/>
      <c r="AK43" s="5"/>
    </row>
    <row r="44" spans="1:37" s="221" customFormat="1" x14ac:dyDescent="0.15">
      <c r="A44" s="228"/>
      <c r="B44" s="229"/>
      <c r="C44" s="228"/>
      <c r="D44" s="230"/>
      <c r="E44" s="3"/>
      <c r="F44" s="3"/>
      <c r="AI44" s="5"/>
      <c r="AJ44" s="5"/>
      <c r="AK44" s="5"/>
    </row>
    <row r="45" spans="1:37" s="221" customFormat="1" x14ac:dyDescent="0.15">
      <c r="A45" s="228"/>
      <c r="B45" s="228"/>
      <c r="C45" s="231"/>
      <c r="D45" s="230"/>
      <c r="E45" s="3"/>
      <c r="F45" s="3"/>
      <c r="AI45" s="5"/>
      <c r="AJ45" s="5"/>
      <c r="AK45" s="5"/>
    </row>
    <row r="46" spans="1:37" s="221" customFormat="1" x14ac:dyDescent="0.15">
      <c r="A46" s="232" t="s">
        <v>153</v>
      </c>
      <c r="B46" s="233">
        <f>VLOOKUP(startup_year,table_costindex,2,FALSE)/VLOOKUP(basis_year,table_costindex,2,FALSE)</f>
        <v>1</v>
      </c>
      <c r="C46" s="234"/>
      <c r="D46" s="234"/>
      <c r="E46" s="93"/>
      <c r="F46" s="93"/>
      <c r="AI46" s="5"/>
      <c r="AJ46" s="5"/>
      <c r="AK46" s="5"/>
    </row>
    <row r="47" spans="1:37" s="221" customFormat="1" x14ac:dyDescent="0.15">
      <c r="A47" s="232" t="s">
        <v>155</v>
      </c>
      <c r="B47" s="233">
        <f>VLOOKUP(startup_year,table_costindex,3,FALSE)/VLOOKUP(basis_year,table_costindex,3,FALSE)</f>
        <v>1</v>
      </c>
      <c r="C47" s="234"/>
      <c r="D47" s="234"/>
      <c r="E47" s="93"/>
      <c r="F47" s="93"/>
      <c r="AI47" s="5"/>
      <c r="AJ47" s="5"/>
      <c r="AK47" s="5"/>
    </row>
    <row r="48" spans="1:37" s="221" customFormat="1" x14ac:dyDescent="0.15">
      <c r="A48" s="232" t="s">
        <v>185</v>
      </c>
      <c r="B48" s="233">
        <f>VLOOKUP(startup_year,table_costindex,4,FALSE)/VLOOKUP(2016,table_costindex,4,FALSE)</f>
        <v>1.1208819429158414</v>
      </c>
      <c r="C48" s="234"/>
      <c r="D48" s="234"/>
      <c r="E48" s="93"/>
      <c r="F48" s="93"/>
      <c r="AI48" s="5"/>
      <c r="AJ48" s="5"/>
      <c r="AK48" s="5"/>
    </row>
    <row r="49" spans="1:37" s="221" customFormat="1" x14ac:dyDescent="0.15">
      <c r="A49" s="232" t="s">
        <v>154</v>
      </c>
      <c r="B49" s="233">
        <f>VLOOKUP(startup_year,table_costindex,5,FALSE)/VLOOKUP(basis_year,table_costindex,5,FALSE)</f>
        <v>1</v>
      </c>
      <c r="C49" s="234"/>
      <c r="D49" s="234"/>
      <c r="E49" s="93"/>
      <c r="F49" s="93"/>
      <c r="AI49" s="5"/>
      <c r="AJ49" s="5"/>
      <c r="AK49" s="5"/>
    </row>
    <row r="50" spans="1:37" s="221" customFormat="1" x14ac:dyDescent="0.15">
      <c r="A50" s="235"/>
      <c r="B50" s="235"/>
      <c r="C50" s="230"/>
      <c r="D50" s="230"/>
      <c r="E50" s="3"/>
      <c r="F50" s="3"/>
      <c r="AI50" s="5"/>
      <c r="AJ50" s="5"/>
      <c r="AK50" s="5"/>
    </row>
    <row r="51" spans="1:37" s="221" customFormat="1" x14ac:dyDescent="0.15">
      <c r="A51" s="228"/>
      <c r="B51" s="228"/>
      <c r="C51" s="230"/>
      <c r="D51" s="230"/>
      <c r="E51" s="3"/>
      <c r="F51" s="3"/>
      <c r="AI51" s="5"/>
      <c r="AJ51" s="5"/>
      <c r="AK51" s="5"/>
    </row>
    <row r="52" spans="1:37" s="221" customFormat="1" ht="16" x14ac:dyDescent="0.2">
      <c r="A52" s="236" t="s">
        <v>28</v>
      </c>
      <c r="B52" s="236"/>
      <c r="C52" s="237"/>
      <c r="D52" s="238"/>
      <c r="E52" s="238"/>
      <c r="F52" s="93"/>
      <c r="AG52" s="5"/>
      <c r="AH52" s="5"/>
      <c r="AI52" s="5"/>
    </row>
    <row r="53" spans="1:37" s="246" customFormat="1" ht="28" x14ac:dyDescent="0.15">
      <c r="A53" s="316"/>
      <c r="B53" s="316"/>
      <c r="C53" s="101" t="s">
        <v>334</v>
      </c>
      <c r="D53" s="101" t="s">
        <v>176</v>
      </c>
      <c r="E53" s="101" t="s">
        <v>335</v>
      </c>
      <c r="F53" s="153"/>
      <c r="AG53" s="154"/>
      <c r="AH53" s="154"/>
      <c r="AI53" s="154"/>
    </row>
    <row r="54" spans="1:37" s="221" customFormat="1" x14ac:dyDescent="0.15">
      <c r="A54" s="240" t="s">
        <v>189</v>
      </c>
      <c r="B54" s="240"/>
      <c r="C54" s="241">
        <f>cap_intake</f>
        <v>3249551.2565396908</v>
      </c>
      <c r="D54" s="242">
        <f t="shared" ref="D54:D59" si="0">C54*CEPCI_inflator</f>
        <v>3249551.2565396908</v>
      </c>
      <c r="E54" s="98">
        <f>D54*scale_ratio^scaling_factor_exponent</f>
        <v>47844549.71554742</v>
      </c>
      <c r="F54" s="93"/>
      <c r="AG54" s="5"/>
      <c r="AH54" s="5"/>
      <c r="AI54" s="5"/>
    </row>
    <row r="55" spans="1:37" s="221" customFormat="1" x14ac:dyDescent="0.15">
      <c r="A55" s="243" t="s">
        <v>113</v>
      </c>
      <c r="B55" s="243"/>
      <c r="C55" s="244">
        <f>cap_screening</f>
        <v>4220777.5509378407</v>
      </c>
      <c r="D55" s="242">
        <f t="shared" si="0"/>
        <v>4220777.5509378407</v>
      </c>
      <c r="E55" s="98" cm="1">
        <f t="array" ref="E55">D55*scale_ratio^scaling_factor_exponent</f>
        <v>62144334.842451639</v>
      </c>
      <c r="F55" s="93"/>
      <c r="AG55" s="5"/>
      <c r="AH55" s="5"/>
      <c r="AI55" s="5"/>
    </row>
    <row r="56" spans="1:37" s="221" customFormat="1" x14ac:dyDescent="0.15">
      <c r="A56" s="243" t="s">
        <v>192</v>
      </c>
      <c r="B56" s="243"/>
      <c r="C56" s="244">
        <f>cap_micro</f>
        <v>2236588.0413373508</v>
      </c>
      <c r="D56" s="242">
        <f t="shared" si="0"/>
        <v>2236588.0413373508</v>
      </c>
      <c r="E56" s="98" cm="1">
        <f t="array" ref="E56">D56*scale_ratio^scaling_factor_exponent</f>
        <v>32930253.837852236</v>
      </c>
      <c r="F56" s="93"/>
      <c r="AG56" s="5"/>
      <c r="AH56" s="5"/>
      <c r="AI56" s="5"/>
    </row>
    <row r="57" spans="1:37" s="221" customFormat="1" x14ac:dyDescent="0.15">
      <c r="A57" s="58" t="s">
        <v>148</v>
      </c>
      <c r="B57" s="58"/>
      <c r="C57" s="241">
        <f>cap_nano</f>
        <v>467876.25618050236</v>
      </c>
      <c r="D57" s="242">
        <f t="shared" si="0"/>
        <v>467876.25618050236</v>
      </c>
      <c r="E57" s="98" cm="1">
        <f t="array" ref="E57">D57*scale_ratio^scaling_factor_exponent</f>
        <v>6888744.6395873846</v>
      </c>
      <c r="F57" s="93"/>
      <c r="AG57" s="5"/>
      <c r="AH57" s="5"/>
      <c r="AI57" s="5"/>
    </row>
    <row r="58" spans="1:37" s="221" customFormat="1" x14ac:dyDescent="0.15">
      <c r="A58" s="58" t="s">
        <v>112</v>
      </c>
      <c r="B58" s="58"/>
      <c r="C58" s="241">
        <f>cap_ed</f>
        <v>964464.60761826427</v>
      </c>
      <c r="D58" s="242">
        <f t="shared" si="0"/>
        <v>964464.60761826427</v>
      </c>
      <c r="E58" s="98" cm="1">
        <f t="array" ref="E58">D58*scale_ratio^scaling_factor_exponent</f>
        <v>14200229.885653555</v>
      </c>
      <c r="F58" s="93"/>
      <c r="AG58" s="5"/>
      <c r="AH58" s="5"/>
      <c r="AI58" s="5"/>
    </row>
    <row r="59" spans="1:37" s="221" customFormat="1" ht="15" x14ac:dyDescent="0.2">
      <c r="A59" s="58" t="s">
        <v>317</v>
      </c>
      <c r="B59" s="58"/>
      <c r="C59" s="241">
        <f>cap_co2</f>
        <v>8778621.4071207568</v>
      </c>
      <c r="D59" s="242">
        <f t="shared" si="0"/>
        <v>8778621.4071207568</v>
      </c>
      <c r="E59" s="98" cm="1">
        <f t="array" ref="E59">D59*scale_ratio^scaling_factor_exponent</f>
        <v>129251442.79589172</v>
      </c>
      <c r="F59" s="93"/>
      <c r="AG59" s="5"/>
      <c r="AH59" s="5"/>
      <c r="AI59" s="5"/>
    </row>
    <row r="60" spans="1:37" s="221" customFormat="1" x14ac:dyDescent="0.15">
      <c r="A60" s="58" t="s">
        <v>495</v>
      </c>
      <c r="B60" s="58"/>
      <c r="C60" s="241"/>
      <c r="D60" s="242"/>
      <c r="E60" s="98">
        <v>0</v>
      </c>
      <c r="F60" s="93"/>
      <c r="AG60" s="5"/>
      <c r="AH60" s="5"/>
      <c r="AI60" s="5"/>
    </row>
    <row r="61" spans="1:37" s="246" customFormat="1" x14ac:dyDescent="0.15">
      <c r="A61" s="245" t="s">
        <v>29</v>
      </c>
      <c r="B61" s="245"/>
      <c r="C61" s="152">
        <f>SUM(C54:C59)</f>
        <v>19917879.119734406</v>
      </c>
      <c r="D61" s="152">
        <f>SUM(D54:D59)</f>
        <v>19917879.119734406</v>
      </c>
      <c r="E61" s="152">
        <f>SUM(E54:E60)</f>
        <v>293259555.71698391</v>
      </c>
      <c r="F61" s="153"/>
      <c r="AG61" s="154"/>
      <c r="AH61" s="154"/>
    </row>
    <row r="62" spans="1:37" s="221" customFormat="1" x14ac:dyDescent="0.15">
      <c r="A62" s="487"/>
      <c r="B62" s="487"/>
      <c r="C62" s="247"/>
      <c r="D62" s="247"/>
      <c r="E62" s="99"/>
      <c r="F62" s="100"/>
      <c r="AI62" s="5"/>
      <c r="AJ62" s="5"/>
    </row>
    <row r="63" spans="1:37" s="221" customFormat="1" x14ac:dyDescent="0.15">
      <c r="A63" s="239" t="s">
        <v>177</v>
      </c>
      <c r="B63" s="534">
        <f>E61/D61</f>
        <v>14.723432849154392</v>
      </c>
      <c r="C63" s="247" t="s">
        <v>181</v>
      </c>
      <c r="D63" s="247"/>
      <c r="E63" s="99"/>
      <c r="F63" s="100"/>
      <c r="AI63" s="5"/>
      <c r="AJ63" s="5"/>
    </row>
    <row r="64" spans="1:37" s="221" customFormat="1" x14ac:dyDescent="0.15">
      <c r="F64" s="100"/>
      <c r="AI64" s="5"/>
      <c r="AJ64" s="5"/>
    </row>
    <row r="65" spans="1:37" s="221" customFormat="1" x14ac:dyDescent="0.15">
      <c r="A65" s="228"/>
      <c r="B65" s="228"/>
      <c r="C65" s="230"/>
      <c r="D65" s="230"/>
      <c r="E65" s="3"/>
      <c r="F65" s="100"/>
      <c r="AI65" s="5"/>
      <c r="AJ65" s="5"/>
      <c r="AK65" s="5"/>
    </row>
    <row r="66" spans="1:37" s="221" customFormat="1" ht="16" x14ac:dyDescent="0.2">
      <c r="A66" s="68" t="s">
        <v>30</v>
      </c>
      <c r="B66" s="248"/>
      <c r="C66" s="249"/>
      <c r="D66" s="206"/>
      <c r="E66" s="206"/>
      <c r="F66" s="100"/>
      <c r="AI66" s="5"/>
      <c r="AJ66" s="5"/>
      <c r="AK66" s="5"/>
    </row>
    <row r="67" spans="1:37" x14ac:dyDescent="0.15">
      <c r="A67" s="248" t="s">
        <v>31</v>
      </c>
      <c r="B67" s="248">
        <v>1</v>
      </c>
      <c r="C67" s="249"/>
      <c r="D67" s="206"/>
      <c r="E67" s="206"/>
      <c r="AI67" s="3"/>
      <c r="AJ67" s="3"/>
      <c r="AK67" s="3"/>
    </row>
    <row r="68" spans="1:37" ht="14" x14ac:dyDescent="0.15">
      <c r="A68" s="102" t="s">
        <v>152</v>
      </c>
      <c r="B68" s="4">
        <v>2019</v>
      </c>
      <c r="C68" s="93"/>
      <c r="AI68" s="3"/>
      <c r="AJ68" s="3"/>
      <c r="AK68" s="3"/>
    </row>
    <row r="69" spans="1:37" ht="14" x14ac:dyDescent="0.15">
      <c r="A69" s="104" t="s">
        <v>151</v>
      </c>
      <c r="B69" s="1">
        <v>2019</v>
      </c>
      <c r="C69" s="93"/>
      <c r="AI69" s="3"/>
      <c r="AJ69" s="3"/>
      <c r="AK69" s="3"/>
    </row>
    <row r="70" spans="1:37" ht="14" x14ac:dyDescent="0.15">
      <c r="A70" s="104" t="s">
        <v>105</v>
      </c>
      <c r="B70" s="1">
        <v>2020</v>
      </c>
      <c r="C70" s="93"/>
    </row>
    <row r="71" spans="1:37" ht="14" x14ac:dyDescent="0.15">
      <c r="A71" s="104" t="s">
        <v>32</v>
      </c>
      <c r="B71" s="2">
        <v>1</v>
      </c>
      <c r="C71" s="93"/>
    </row>
    <row r="72" spans="1:37" ht="14" x14ac:dyDescent="0.15">
      <c r="A72" s="104" t="s">
        <v>33</v>
      </c>
      <c r="B72" s="2">
        <v>0</v>
      </c>
      <c r="C72" s="93"/>
    </row>
    <row r="73" spans="1:37" ht="14" x14ac:dyDescent="0.15">
      <c r="A73" s="105" t="s">
        <v>34</v>
      </c>
      <c r="B73" s="2">
        <v>0</v>
      </c>
      <c r="C73" s="93"/>
    </row>
    <row r="74" spans="1:37" ht="14" x14ac:dyDescent="0.15">
      <c r="A74" s="105" t="s">
        <v>35</v>
      </c>
      <c r="B74" s="2">
        <v>0</v>
      </c>
      <c r="C74" s="93"/>
    </row>
    <row r="75" spans="1:37" ht="14" x14ac:dyDescent="0.15">
      <c r="A75" s="104" t="s">
        <v>36</v>
      </c>
      <c r="B75" s="104">
        <v>1</v>
      </c>
      <c r="C75" s="93"/>
    </row>
    <row r="76" spans="1:37" ht="14" x14ac:dyDescent="0.15">
      <c r="A76" s="102" t="s">
        <v>37</v>
      </c>
      <c r="B76" s="102">
        <v>40</v>
      </c>
      <c r="C76" s="93"/>
    </row>
    <row r="77" spans="1:37" ht="14" x14ac:dyDescent="0.15">
      <c r="A77" s="104" t="s">
        <v>38</v>
      </c>
      <c r="B77" s="104">
        <f>plant_life</f>
        <v>40</v>
      </c>
      <c r="C77" s="93"/>
    </row>
    <row r="78" spans="1:37" ht="14" x14ac:dyDescent="0.15">
      <c r="A78" s="104" t="s">
        <v>39</v>
      </c>
      <c r="B78" s="104">
        <f>plant_life/2</f>
        <v>20</v>
      </c>
      <c r="C78" s="93"/>
    </row>
    <row r="79" spans="1:37" ht="14" x14ac:dyDescent="0.15">
      <c r="A79" s="102" t="s">
        <v>40</v>
      </c>
      <c r="B79" s="102" t="s">
        <v>101</v>
      </c>
      <c r="C79" s="93"/>
    </row>
    <row r="80" spans="1:37" ht="14" x14ac:dyDescent="0.15">
      <c r="A80" s="104" t="s">
        <v>41</v>
      </c>
      <c r="B80" s="107">
        <v>0.6</v>
      </c>
      <c r="C80" s="93"/>
    </row>
    <row r="81" spans="1:3" ht="14" x14ac:dyDescent="0.15">
      <c r="A81" s="104" t="s">
        <v>42</v>
      </c>
      <c r="B81" s="107">
        <v>0.4</v>
      </c>
      <c r="C81" s="93"/>
    </row>
    <row r="82" spans="1:3" ht="14" x14ac:dyDescent="0.15">
      <c r="A82" s="104" t="s">
        <v>43</v>
      </c>
      <c r="B82" s="108">
        <v>3.6999999999999998E-2</v>
      </c>
      <c r="C82" s="93"/>
    </row>
    <row r="83" spans="1:3" ht="14" x14ac:dyDescent="0.15">
      <c r="A83" s="104" t="s">
        <v>44</v>
      </c>
      <c r="B83" s="109">
        <v>0</v>
      </c>
      <c r="C83" s="93"/>
    </row>
    <row r="84" spans="1:3" ht="14" x14ac:dyDescent="0.15">
      <c r="A84" s="104" t="s">
        <v>45</v>
      </c>
      <c r="B84" s="2">
        <v>0.75</v>
      </c>
      <c r="C84" s="93"/>
    </row>
    <row r="85" spans="1:3" ht="14" x14ac:dyDescent="0.15">
      <c r="A85" s="104" t="s">
        <v>46</v>
      </c>
      <c r="B85" s="2">
        <v>0.5</v>
      </c>
      <c r="C85" s="93"/>
    </row>
    <row r="86" spans="1:3" ht="14" x14ac:dyDescent="0.15">
      <c r="A86" s="104" t="s">
        <v>47</v>
      </c>
      <c r="B86" s="2">
        <v>0.75</v>
      </c>
      <c r="C86" s="93"/>
    </row>
    <row r="87" spans="1:3" ht="14" x14ac:dyDescent="0.15">
      <c r="A87" s="104" t="s">
        <v>48</v>
      </c>
      <c r="B87" s="2">
        <v>0.1</v>
      </c>
      <c r="C87" s="93"/>
    </row>
    <row r="88" spans="1:3" ht="14" x14ac:dyDescent="0.15">
      <c r="A88" s="104" t="s">
        <v>49</v>
      </c>
      <c r="B88" s="2">
        <v>0.1</v>
      </c>
      <c r="C88" s="93"/>
    </row>
    <row r="89" spans="1:3" ht="14" x14ac:dyDescent="0.15">
      <c r="A89" s="104" t="s">
        <v>50</v>
      </c>
      <c r="B89" s="110">
        <v>1.9E-2</v>
      </c>
      <c r="C89" s="93"/>
    </row>
    <row r="90" spans="1:3" ht="14" x14ac:dyDescent="0.15">
      <c r="A90" s="104" t="s">
        <v>51</v>
      </c>
      <c r="B90" s="110">
        <v>0.06</v>
      </c>
      <c r="C90" s="93"/>
    </row>
    <row r="91" spans="1:3" ht="14" x14ac:dyDescent="0.15">
      <c r="A91" s="104" t="s">
        <v>52</v>
      </c>
      <c r="B91" s="110">
        <v>0.21</v>
      </c>
      <c r="C91" s="93"/>
    </row>
    <row r="92" spans="1:3" ht="14" x14ac:dyDescent="0.15">
      <c r="A92" s="104" t="s">
        <v>53</v>
      </c>
      <c r="B92" s="111">
        <f>B91+B90*(1-B91)</f>
        <v>0.25739999999999996</v>
      </c>
      <c r="C92" s="93"/>
    </row>
    <row r="93" spans="1:3" ht="14" x14ac:dyDescent="0.15">
      <c r="A93" s="104" t="s">
        <v>54</v>
      </c>
      <c r="B93" s="2">
        <v>0.15</v>
      </c>
      <c r="C93" s="93"/>
    </row>
    <row r="94" spans="1:3" x14ac:dyDescent="0.15">
      <c r="A94" s="103" t="s">
        <v>55</v>
      </c>
      <c r="B94" s="112">
        <v>0.06</v>
      </c>
      <c r="C94" s="93"/>
    </row>
    <row r="95" spans="1:3" x14ac:dyDescent="0.15">
      <c r="A95" s="103" t="s">
        <v>56</v>
      </c>
      <c r="B95" s="113">
        <f>((1+B94)*(1+inflation_rate))-1</f>
        <v>8.0139999999999878E-2</v>
      </c>
      <c r="C95" s="93"/>
    </row>
    <row r="96" spans="1:3" x14ac:dyDescent="0.15">
      <c r="A96" s="250" t="s">
        <v>156</v>
      </c>
      <c r="B96" s="114">
        <f>(1+inflation_rate)^(startup_year-basis_year)</f>
        <v>1</v>
      </c>
      <c r="C96" s="93"/>
    </row>
    <row r="97" spans="1:12" x14ac:dyDescent="0.15">
      <c r="A97" s="3"/>
      <c r="B97" s="3"/>
      <c r="C97" s="3"/>
      <c r="D97" s="3"/>
      <c r="E97" s="3"/>
      <c r="F97" s="3"/>
      <c r="G97" s="3"/>
    </row>
    <row r="98" spans="1:12" x14ac:dyDescent="0.15">
      <c r="A98" s="3"/>
      <c r="B98" s="3"/>
      <c r="C98" s="3"/>
      <c r="D98" s="3"/>
      <c r="E98" s="3"/>
      <c r="F98" s="3"/>
      <c r="G98" s="3"/>
    </row>
    <row r="99" spans="1:12" ht="16" x14ac:dyDescent="0.15">
      <c r="A99" s="38" t="s">
        <v>57</v>
      </c>
      <c r="B99" s="115"/>
      <c r="C99" s="115"/>
      <c r="D99" s="115"/>
      <c r="E99" s="115"/>
      <c r="G99" s="187"/>
      <c r="H99" s="187"/>
      <c r="J99" s="198"/>
      <c r="L99" s="187"/>
    </row>
    <row r="100" spans="1:12" s="403" customFormat="1" ht="42" x14ac:dyDescent="0.15">
      <c r="A100" s="38"/>
      <c r="B100" s="38"/>
      <c r="C100" s="407" t="s">
        <v>182</v>
      </c>
      <c r="D100" s="407" t="s">
        <v>336</v>
      </c>
      <c r="E100" s="407" t="s">
        <v>93</v>
      </c>
      <c r="F100" s="153"/>
      <c r="J100" s="404"/>
    </row>
    <row r="101" spans="1:12" ht="16" x14ac:dyDescent="0.15">
      <c r="A101" s="116" t="s">
        <v>59</v>
      </c>
      <c r="B101" s="38"/>
      <c r="C101" s="251"/>
      <c r="D101" s="251"/>
      <c r="E101" s="117"/>
      <c r="F101" s="93"/>
      <c r="G101" s="187"/>
      <c r="H101" s="187"/>
      <c r="J101" s="198"/>
      <c r="L101" s="187"/>
    </row>
    <row r="102" spans="1:12" x14ac:dyDescent="0.15">
      <c r="A102" s="115" t="s">
        <v>60</v>
      </c>
      <c r="B102" s="115"/>
      <c r="C102" s="118">
        <f>E61</f>
        <v>293259555.71698391</v>
      </c>
      <c r="D102" s="115">
        <v>1</v>
      </c>
      <c r="E102" s="118">
        <f t="shared" ref="E102:E107" si="1">C102*D102</f>
        <v>293259555.71698391</v>
      </c>
      <c r="F102" s="93"/>
      <c r="G102" s="187"/>
      <c r="H102" s="187"/>
      <c r="J102" s="198"/>
      <c r="L102" s="187"/>
    </row>
    <row r="103" spans="1:12" x14ac:dyDescent="0.15">
      <c r="A103" s="115" t="s">
        <v>61</v>
      </c>
      <c r="B103" s="115"/>
      <c r="C103" s="118"/>
      <c r="D103" s="115"/>
      <c r="E103" s="118">
        <f t="shared" si="1"/>
        <v>0</v>
      </c>
      <c r="F103" s="129"/>
      <c r="G103" s="187"/>
      <c r="H103" s="187"/>
      <c r="J103" s="198"/>
      <c r="L103" s="187"/>
    </row>
    <row r="104" spans="1:12" x14ac:dyDescent="0.15">
      <c r="A104" s="402" t="s">
        <v>62</v>
      </c>
      <c r="B104" s="119">
        <v>0.02</v>
      </c>
      <c r="C104" s="118">
        <f>B104*$C$102</f>
        <v>5865191.1143396785</v>
      </c>
      <c r="D104" s="115">
        <v>1</v>
      </c>
      <c r="E104" s="118">
        <f t="shared" si="1"/>
        <v>5865191.1143396785</v>
      </c>
      <c r="F104" s="95"/>
      <c r="G104" s="187"/>
      <c r="H104" s="187"/>
      <c r="J104" s="198"/>
      <c r="L104" s="187"/>
    </row>
    <row r="105" spans="1:12" x14ac:dyDescent="0.15">
      <c r="A105" s="402" t="s">
        <v>63</v>
      </c>
      <c r="B105" s="119">
        <v>0.1</v>
      </c>
      <c r="C105" s="118">
        <f>B105*$C$102</f>
        <v>29325955.571698394</v>
      </c>
      <c r="D105" s="115">
        <v>1</v>
      </c>
      <c r="E105" s="118">
        <f t="shared" si="1"/>
        <v>29325955.571698394</v>
      </c>
      <c r="F105" s="120"/>
      <c r="G105" s="187"/>
      <c r="H105" s="187"/>
      <c r="J105" s="198"/>
      <c r="L105" s="187"/>
    </row>
    <row r="106" spans="1:12" x14ac:dyDescent="0.15">
      <c r="A106" s="402" t="s">
        <v>64</v>
      </c>
      <c r="B106" s="119">
        <v>0.15</v>
      </c>
      <c r="C106" s="118">
        <f>B106*$C$102</f>
        <v>43988933.357547589</v>
      </c>
      <c r="D106" s="115">
        <v>1</v>
      </c>
      <c r="E106" s="118">
        <f t="shared" si="1"/>
        <v>43988933.357547589</v>
      </c>
      <c r="F106" s="120"/>
      <c r="G106" s="187"/>
      <c r="H106" s="187"/>
      <c r="J106" s="198"/>
      <c r="L106" s="187"/>
    </row>
    <row r="107" spans="1:12" x14ac:dyDescent="0.15">
      <c r="A107" s="402" t="s">
        <v>149</v>
      </c>
      <c r="B107" s="121">
        <v>7.4999999999999997E-2</v>
      </c>
      <c r="C107" s="118">
        <f>B107*$C$102</f>
        <v>21994466.678773794</v>
      </c>
      <c r="D107" s="115">
        <v>1</v>
      </c>
      <c r="E107" s="118">
        <f t="shared" si="1"/>
        <v>21994466.678773794</v>
      </c>
      <c r="F107" s="120"/>
      <c r="G107" s="187"/>
      <c r="H107" s="187"/>
      <c r="J107" s="198"/>
      <c r="L107" s="187"/>
    </row>
    <row r="108" spans="1:12" x14ac:dyDescent="0.15">
      <c r="A108" s="116" t="s">
        <v>65</v>
      </c>
      <c r="B108" s="119"/>
      <c r="C108" s="118"/>
      <c r="D108" s="115"/>
      <c r="E108" s="122">
        <f>SUM(E102:E107)</f>
        <v>394434102.43934333</v>
      </c>
      <c r="F108" s="120"/>
      <c r="G108" s="187"/>
      <c r="H108" s="187"/>
      <c r="J108" s="198"/>
      <c r="L108" s="187"/>
    </row>
    <row r="109" spans="1:12" x14ac:dyDescent="0.15">
      <c r="A109" s="116"/>
      <c r="B109" s="119"/>
      <c r="C109" s="118"/>
      <c r="D109" s="115"/>
      <c r="E109" s="115"/>
      <c r="F109" s="120"/>
      <c r="G109" s="187"/>
      <c r="H109" s="187"/>
      <c r="J109" s="198"/>
      <c r="L109" s="187"/>
    </row>
    <row r="110" spans="1:12" x14ac:dyDescent="0.15">
      <c r="A110" s="116" t="s">
        <v>66</v>
      </c>
      <c r="B110" s="119"/>
      <c r="C110" s="118"/>
      <c r="D110" s="115"/>
      <c r="E110" s="115"/>
      <c r="F110" s="120"/>
      <c r="G110" s="187"/>
      <c r="H110" s="187"/>
      <c r="J110" s="198"/>
      <c r="L110" s="187"/>
    </row>
    <row r="111" spans="1:12" x14ac:dyDescent="0.15">
      <c r="A111" s="115" t="s">
        <v>67</v>
      </c>
      <c r="B111" s="115">
        <v>0</v>
      </c>
      <c r="C111" s="118">
        <v>0</v>
      </c>
      <c r="D111" s="123">
        <f>CPI_inflator*scale_factor</f>
        <v>14.723432849154392</v>
      </c>
      <c r="E111" s="117">
        <f>C111*D111</f>
        <v>0</v>
      </c>
      <c r="F111" s="124"/>
      <c r="G111" s="187"/>
      <c r="H111" s="187"/>
      <c r="J111" s="198"/>
      <c r="L111" s="187"/>
    </row>
    <row r="112" spans="1:12" x14ac:dyDescent="0.15">
      <c r="A112" s="116" t="s">
        <v>68</v>
      </c>
      <c r="B112" s="115"/>
      <c r="C112" s="118"/>
      <c r="D112" s="115"/>
      <c r="E112" s="122">
        <f>SUM(E108:E111)</f>
        <v>394434102.43934333</v>
      </c>
      <c r="F112" s="93"/>
      <c r="G112" s="187"/>
      <c r="H112" s="187"/>
      <c r="J112" s="198"/>
      <c r="L112" s="187"/>
    </row>
    <row r="113" spans="1:33" x14ac:dyDescent="0.15">
      <c r="A113" s="3"/>
      <c r="B113" s="3"/>
      <c r="C113" s="3"/>
      <c r="D113" s="3"/>
      <c r="E113" s="3"/>
      <c r="F113" s="3"/>
      <c r="G113" s="3"/>
      <c r="H113" s="93"/>
    </row>
    <row r="114" spans="1:33" x14ac:dyDescent="0.15">
      <c r="A114" s="3"/>
      <c r="B114" s="3"/>
      <c r="C114" s="90"/>
      <c r="D114" s="3"/>
      <c r="E114" s="90"/>
      <c r="F114" s="3"/>
      <c r="G114" s="3"/>
      <c r="H114" s="95"/>
    </row>
    <row r="115" spans="1:33" ht="16" x14ac:dyDescent="0.15">
      <c r="A115" s="37" t="s">
        <v>14</v>
      </c>
      <c r="B115" s="125"/>
      <c r="C115" s="125"/>
      <c r="D115" s="125"/>
      <c r="E115" s="125"/>
      <c r="F115" s="124"/>
      <c r="G115" s="187"/>
      <c r="H115" s="187"/>
      <c r="J115" s="198"/>
      <c r="L115" s="187"/>
    </row>
    <row r="116" spans="1:33" s="403" customFormat="1" ht="28" x14ac:dyDescent="0.15">
      <c r="A116" s="37"/>
      <c r="B116" s="37"/>
      <c r="C116" s="406" t="s">
        <v>184</v>
      </c>
      <c r="D116" s="406" t="s">
        <v>336</v>
      </c>
      <c r="E116" s="406" t="s">
        <v>93</v>
      </c>
      <c r="F116" s="153"/>
      <c r="J116" s="404"/>
    </row>
    <row r="117" spans="1:33" x14ac:dyDescent="0.15">
      <c r="A117" s="125" t="s">
        <v>186</v>
      </c>
      <c r="B117" s="126">
        <v>10.5</v>
      </c>
      <c r="C117" s="127">
        <f>9*35000+1*60000+0.5*80000</f>
        <v>415000</v>
      </c>
      <c r="D117" s="126" cm="1">
        <f t="array" ref="D117">labor_scale_ratio^0.25*labor_inflator</f>
        <v>3.7827982398272137</v>
      </c>
      <c r="E117" s="127">
        <f>C117*D117</f>
        <v>1569861.2695282937</v>
      </c>
      <c r="F117" s="93"/>
      <c r="G117" s="187"/>
      <c r="H117" s="187"/>
      <c r="J117" s="198"/>
      <c r="L117" s="187"/>
    </row>
    <row r="118" spans="1:33" x14ac:dyDescent="0.15">
      <c r="A118" s="125" t="s">
        <v>69</v>
      </c>
      <c r="B118" s="128">
        <v>0.2</v>
      </c>
      <c r="C118" s="127">
        <f>B118*C117</f>
        <v>83000</v>
      </c>
      <c r="D118" s="126" cm="1">
        <f t="array" ref="D118">labor_scale_ratio^0.25*labor_inflator</f>
        <v>3.7827982398272137</v>
      </c>
      <c r="E118" s="127">
        <f>C118*D118</f>
        <v>313972.25390565873</v>
      </c>
      <c r="F118" s="93"/>
      <c r="G118" s="187"/>
      <c r="H118" s="187"/>
      <c r="J118" s="198"/>
      <c r="L118" s="187"/>
    </row>
    <row r="119" spans="1:33" x14ac:dyDescent="0.15">
      <c r="A119" s="125" t="s">
        <v>70</v>
      </c>
      <c r="B119" s="128">
        <v>0.02</v>
      </c>
      <c r="C119" s="127"/>
      <c r="D119" s="126"/>
      <c r="E119" s="127">
        <f>B119*total_capital</f>
        <v>7888682.0487868665</v>
      </c>
      <c r="F119" s="129"/>
      <c r="G119" s="187"/>
      <c r="H119" s="187"/>
      <c r="J119" s="198"/>
      <c r="L119" s="187"/>
    </row>
    <row r="120" spans="1:33" x14ac:dyDescent="0.15">
      <c r="A120" s="125" t="s">
        <v>71</v>
      </c>
      <c r="B120" s="128">
        <v>0.03</v>
      </c>
      <c r="C120" s="127"/>
      <c r="D120" s="126">
        <v>1</v>
      </c>
      <c r="E120" s="127">
        <f>B120*direct_cap*D120</f>
        <v>8797786.6715095174</v>
      </c>
      <c r="F120" s="120"/>
      <c r="G120" s="187"/>
      <c r="H120" s="187"/>
      <c r="J120" s="198"/>
      <c r="L120" s="187"/>
      <c r="AG120" s="198"/>
    </row>
    <row r="121" spans="1:33" x14ac:dyDescent="0.15">
      <c r="A121" s="130" t="s">
        <v>72</v>
      </c>
      <c r="B121" s="128"/>
      <c r="C121" s="127"/>
      <c r="D121" s="125"/>
      <c r="E121" s="131">
        <f>SUM(E117:E120)</f>
        <v>18570302.243730336</v>
      </c>
      <c r="F121" s="120"/>
      <c r="G121" s="187"/>
      <c r="H121" s="187"/>
      <c r="J121" s="198"/>
      <c r="L121" s="187"/>
    </row>
    <row r="122" spans="1:33" x14ac:dyDescent="0.15">
      <c r="A122" s="3"/>
      <c r="B122" s="3"/>
      <c r="C122" s="3"/>
      <c r="D122" s="3"/>
      <c r="E122" s="3"/>
      <c r="F122" s="3"/>
      <c r="G122" s="3"/>
      <c r="H122" s="120"/>
    </row>
    <row r="123" spans="1:33" x14ac:dyDescent="0.15">
      <c r="A123" s="3"/>
      <c r="B123" s="3"/>
      <c r="C123" s="90"/>
      <c r="D123" s="3"/>
      <c r="E123" s="90"/>
      <c r="F123" s="3"/>
      <c r="G123" s="3"/>
      <c r="H123" s="120"/>
    </row>
    <row r="124" spans="1:33" ht="16" x14ac:dyDescent="0.15">
      <c r="A124" s="132" t="s">
        <v>15</v>
      </c>
      <c r="B124" s="133"/>
      <c r="C124" s="133"/>
      <c r="D124" s="133"/>
      <c r="E124" s="133"/>
      <c r="F124" s="187"/>
      <c r="G124" s="187"/>
      <c r="H124" s="187"/>
      <c r="I124" s="198"/>
      <c r="L124" s="187"/>
    </row>
    <row r="125" spans="1:33" s="403" customFormat="1" ht="28" x14ac:dyDescent="0.15">
      <c r="A125" s="132"/>
      <c r="B125" s="132"/>
      <c r="C125" s="405" t="s">
        <v>93</v>
      </c>
      <c r="D125" s="405" t="s">
        <v>336</v>
      </c>
      <c r="E125" s="405" t="s">
        <v>93</v>
      </c>
      <c r="I125" s="404"/>
    </row>
    <row r="126" spans="1:33" x14ac:dyDescent="0.15">
      <c r="A126" s="133" t="s">
        <v>73</v>
      </c>
      <c r="B126" s="133"/>
      <c r="C126" s="148"/>
      <c r="D126" s="149"/>
      <c r="E126" s="148"/>
      <c r="F126" s="187"/>
      <c r="G126" s="187"/>
      <c r="H126" s="187"/>
      <c r="I126" s="198"/>
      <c r="L126" s="187"/>
    </row>
    <row r="127" spans="1:33" x14ac:dyDescent="0.15">
      <c r="A127" s="252" t="s">
        <v>328</v>
      </c>
      <c r="B127" s="391">
        <f>energy_intake</f>
        <v>0.56116480826410053</v>
      </c>
      <c r="C127" s="150">
        <f>energy_intake*avg_prod*elec_cost*365</f>
        <v>10100966.548753811</v>
      </c>
      <c r="D127" s="151">
        <v>1</v>
      </c>
      <c r="E127" s="148">
        <f>C127*D127</f>
        <v>10100966.548753811</v>
      </c>
      <c r="F127" s="187"/>
      <c r="G127" s="187"/>
      <c r="H127" s="187"/>
      <c r="I127" s="198"/>
      <c r="L127" s="187"/>
    </row>
    <row r="128" spans="1:33" x14ac:dyDescent="0.15">
      <c r="A128" s="253" t="s">
        <v>329</v>
      </c>
      <c r="B128" s="391">
        <v>0</v>
      </c>
      <c r="C128" s="150">
        <f>energy_screening*avg_prod*elec_cost*365</f>
        <v>0</v>
      </c>
      <c r="D128" s="151">
        <v>1</v>
      </c>
      <c r="E128" s="148">
        <f t="shared" ref="E128:E133" si="2">C128*D128</f>
        <v>0</v>
      </c>
      <c r="F128" s="187"/>
      <c r="G128" s="187"/>
      <c r="H128" s="187"/>
      <c r="I128" s="198"/>
      <c r="L128" s="187"/>
    </row>
    <row r="129" spans="1:12" x14ac:dyDescent="0.15">
      <c r="A129" s="253" t="s">
        <v>330</v>
      </c>
      <c r="B129" s="391">
        <f>energy_micro</f>
        <v>2.2696791380919523E-2</v>
      </c>
      <c r="C129" s="150">
        <f>energy_micro*avg_prod*elec_cost*365</f>
        <v>408542.24485655141</v>
      </c>
      <c r="D129" s="151">
        <v>1</v>
      </c>
      <c r="E129" s="148">
        <f t="shared" si="2"/>
        <v>408542.24485655141</v>
      </c>
      <c r="F129" s="187"/>
      <c r="G129" s="187"/>
      <c r="H129" s="187"/>
      <c r="I129" s="198"/>
      <c r="L129" s="187"/>
    </row>
    <row r="130" spans="1:12" x14ac:dyDescent="0.15">
      <c r="A130" s="22" t="s">
        <v>331</v>
      </c>
      <c r="B130" s="391">
        <f>energy_nano</f>
        <v>1.9809764573611915E-2</v>
      </c>
      <c r="C130" s="150">
        <f>energy_nano*avg_prod*elec_cost*365</f>
        <v>356575.76232501445</v>
      </c>
      <c r="D130" s="151">
        <v>1</v>
      </c>
      <c r="E130" s="148">
        <f t="shared" si="2"/>
        <v>356575.76232501445</v>
      </c>
      <c r="F130" s="187"/>
      <c r="G130" s="187"/>
      <c r="H130" s="187"/>
      <c r="I130" s="198"/>
      <c r="L130" s="187"/>
    </row>
    <row r="131" spans="1:12" x14ac:dyDescent="0.15">
      <c r="A131" s="22" t="s">
        <v>332</v>
      </c>
      <c r="B131" s="391">
        <f>energy_ed</f>
        <v>2.2239904802295425</v>
      </c>
      <c r="C131" s="150">
        <f>energy_ed*avg_prod*elec_cost*365</f>
        <v>40031828.644131772</v>
      </c>
      <c r="D131" s="151">
        <v>1</v>
      </c>
      <c r="E131" s="148">
        <f t="shared" si="2"/>
        <v>40031828.644131772</v>
      </c>
      <c r="F131" s="187"/>
      <c r="G131" s="187"/>
      <c r="H131" s="187"/>
      <c r="I131" s="198"/>
      <c r="L131" s="187"/>
    </row>
    <row r="132" spans="1:12" ht="15" x14ac:dyDescent="0.2">
      <c r="A132" s="22" t="s">
        <v>333</v>
      </c>
      <c r="B132" s="391">
        <f>energy_co2</f>
        <v>0.3714188626928599</v>
      </c>
      <c r="C132" s="150">
        <f>energy_co2*avg_prod*elec_cost*365</f>
        <v>6685539.5284714792</v>
      </c>
      <c r="D132" s="151">
        <v>1</v>
      </c>
      <c r="E132" s="148">
        <f t="shared" si="2"/>
        <v>6685539.5284714792</v>
      </c>
      <c r="F132" s="187"/>
      <c r="G132" s="187"/>
      <c r="H132" s="187"/>
      <c r="I132" s="198"/>
      <c r="L132" s="187"/>
    </row>
    <row r="133" spans="1:12" x14ac:dyDescent="0.15">
      <c r="A133" s="133" t="s">
        <v>74</v>
      </c>
      <c r="B133" s="135"/>
      <c r="C133" s="148">
        <v>0</v>
      </c>
      <c r="D133" s="149">
        <v>1</v>
      </c>
      <c r="E133" s="148">
        <f t="shared" si="2"/>
        <v>0</v>
      </c>
      <c r="F133" s="187"/>
      <c r="G133" s="187"/>
      <c r="H133" s="187"/>
      <c r="I133" s="198"/>
      <c r="L133" s="187"/>
    </row>
    <row r="134" spans="1:12" x14ac:dyDescent="0.15">
      <c r="A134" s="136" t="s">
        <v>75</v>
      </c>
      <c r="B134" s="392">
        <f>SUM(B126:B133)</f>
        <v>3.1990807071410345</v>
      </c>
      <c r="C134" s="134">
        <f>SUM(C126:C133)</f>
        <v>57583452.728538625</v>
      </c>
      <c r="D134" s="134"/>
      <c r="E134" s="134">
        <f>SUM(E126:E133)</f>
        <v>57583452.728538625</v>
      </c>
      <c r="F134" s="187"/>
      <c r="G134" s="187"/>
      <c r="H134" s="187"/>
      <c r="I134" s="198"/>
      <c r="L134" s="187"/>
    </row>
    <row r="135" spans="1:12" x14ac:dyDescent="0.15">
      <c r="A135" s="3"/>
      <c r="B135" s="3"/>
      <c r="C135" s="3"/>
      <c r="D135" s="3"/>
      <c r="E135" s="3"/>
      <c r="F135" s="93"/>
      <c r="G135" s="187"/>
      <c r="H135" s="187"/>
      <c r="J135" s="198"/>
      <c r="L135" s="187"/>
    </row>
    <row r="136" spans="1:12" x14ac:dyDescent="0.15">
      <c r="A136" s="3"/>
      <c r="B136" s="3"/>
      <c r="C136" s="3"/>
      <c r="D136" s="3"/>
      <c r="E136" s="3"/>
      <c r="F136" s="93"/>
      <c r="G136" s="187"/>
      <c r="H136" s="187"/>
      <c r="J136" s="198"/>
      <c r="L136" s="187"/>
    </row>
    <row r="137" spans="1:12" ht="16" x14ac:dyDescent="0.15">
      <c r="A137" s="525" t="s">
        <v>76</v>
      </c>
      <c r="B137" s="526"/>
      <c r="C137" s="526"/>
      <c r="D137" s="526"/>
      <c r="E137" s="526"/>
      <c r="F137" s="93"/>
      <c r="G137" s="187"/>
      <c r="H137" s="187"/>
      <c r="J137" s="198"/>
      <c r="L137" s="187"/>
    </row>
    <row r="138" spans="1:12" s="403" customFormat="1" ht="14" x14ac:dyDescent="0.15">
      <c r="A138" s="527"/>
      <c r="B138" s="527"/>
      <c r="C138" s="528" t="s">
        <v>363</v>
      </c>
      <c r="D138" s="527" t="s">
        <v>77</v>
      </c>
      <c r="E138" s="528" t="s">
        <v>58</v>
      </c>
      <c r="F138" s="153"/>
      <c r="J138" s="404"/>
    </row>
    <row r="139" spans="1:12" x14ac:dyDescent="0.15">
      <c r="A139" s="526" t="s">
        <v>78</v>
      </c>
      <c r="B139" s="529">
        <v>5.0000000000000001E-3</v>
      </c>
      <c r="C139" s="530">
        <v>1</v>
      </c>
      <c r="D139" s="531">
        <f>direct_cap</f>
        <v>293259555.71698391</v>
      </c>
      <c r="E139" s="531">
        <f>B139*D139</f>
        <v>1466297.7785849196</v>
      </c>
      <c r="F139" s="93"/>
      <c r="G139" s="187"/>
      <c r="H139" s="187"/>
      <c r="J139" s="198"/>
      <c r="L139" s="187"/>
    </row>
    <row r="140" spans="1:12" x14ac:dyDescent="0.15">
      <c r="A140" s="532" t="s">
        <v>434</v>
      </c>
      <c r="B140" s="533">
        <v>0.15</v>
      </c>
      <c r="C140" s="530">
        <v>5</v>
      </c>
      <c r="D140" s="531">
        <f>depr_cap_infl-SUM(D141:D143)</f>
        <v>211163431.28035843</v>
      </c>
      <c r="E140" s="531">
        <f>B140*D140</f>
        <v>31674514.692053765</v>
      </c>
      <c r="F140" s="93"/>
      <c r="G140" s="187"/>
      <c r="H140" s="187"/>
      <c r="J140" s="198"/>
      <c r="L140" s="187"/>
    </row>
    <row r="141" spans="1:12" x14ac:dyDescent="0.15">
      <c r="A141" s="526" t="s">
        <v>133</v>
      </c>
      <c r="B141" s="533">
        <v>1</v>
      </c>
      <c r="C141" s="530">
        <v>5</v>
      </c>
      <c r="D141" s="531">
        <f>E58</f>
        <v>14200229.885653555</v>
      </c>
      <c r="E141" s="531">
        <f>B141*D141</f>
        <v>14200229.885653555</v>
      </c>
      <c r="F141" s="93"/>
      <c r="G141" s="187"/>
      <c r="H141" s="187"/>
      <c r="J141" s="198"/>
      <c r="L141" s="187"/>
    </row>
    <row r="142" spans="1:12" x14ac:dyDescent="0.15">
      <c r="A142" s="526" t="s">
        <v>134</v>
      </c>
      <c r="B142" s="533">
        <v>0.6</v>
      </c>
      <c r="C142" s="530">
        <v>5</v>
      </c>
      <c r="D142" s="531">
        <f>(E56+E57)</f>
        <v>39818998.47743962</v>
      </c>
      <c r="E142" s="531">
        <f>B142*D142</f>
        <v>23891399.086463772</v>
      </c>
      <c r="G142" s="187"/>
      <c r="H142" s="187"/>
      <c r="J142" s="198"/>
      <c r="L142" s="187"/>
    </row>
    <row r="143" spans="1:12" x14ac:dyDescent="0.15">
      <c r="A143" s="526" t="s">
        <v>135</v>
      </c>
      <c r="B143" s="533">
        <v>1</v>
      </c>
      <c r="C143" s="530">
        <v>10</v>
      </c>
      <c r="D143" s="531">
        <f>E59</f>
        <v>129251442.79589172</v>
      </c>
      <c r="E143" s="531">
        <f>B143*D143</f>
        <v>129251442.79589172</v>
      </c>
      <c r="G143" s="187"/>
      <c r="H143" s="187"/>
      <c r="J143" s="198"/>
      <c r="L143" s="187"/>
    </row>
    <row r="144" spans="1:12" x14ac:dyDescent="0.15">
      <c r="A144" s="3"/>
      <c r="B144" s="3"/>
      <c r="C144" s="3"/>
      <c r="D144" s="3"/>
      <c r="E144" s="3"/>
      <c r="G144" s="187"/>
      <c r="H144" s="187"/>
      <c r="J144" s="198"/>
      <c r="L144" s="187"/>
    </row>
    <row r="145" spans="1:12" x14ac:dyDescent="0.15">
      <c r="A145" s="3"/>
      <c r="G145" s="187"/>
      <c r="H145" s="187"/>
      <c r="J145" s="198"/>
      <c r="L145" s="187"/>
    </row>
    <row r="146" spans="1:12" ht="16" x14ac:dyDescent="0.2">
      <c r="A146" s="224" t="s">
        <v>3</v>
      </c>
      <c r="B146" s="224" t="s">
        <v>94</v>
      </c>
      <c r="C146" s="254" t="s">
        <v>95</v>
      </c>
      <c r="D146" s="255" t="s">
        <v>103</v>
      </c>
      <c r="E146" s="256" t="s">
        <v>102</v>
      </c>
      <c r="G146" s="187"/>
      <c r="H146" s="187"/>
      <c r="J146" s="198"/>
      <c r="L146" s="187"/>
    </row>
    <row r="147" spans="1:12" x14ac:dyDescent="0.15">
      <c r="A147" s="213">
        <v>1992</v>
      </c>
      <c r="B147" s="213">
        <v>358.2</v>
      </c>
      <c r="C147" s="257">
        <v>67.932000000000002</v>
      </c>
      <c r="D147" s="217">
        <v>13.7</v>
      </c>
      <c r="E147" s="137">
        <v>109.75833333333334</v>
      </c>
      <c r="G147" s="187"/>
      <c r="H147" s="187"/>
      <c r="J147" s="198"/>
      <c r="L147" s="187"/>
    </row>
    <row r="148" spans="1:12" x14ac:dyDescent="0.15">
      <c r="A148" s="213">
        <v>1993</v>
      </c>
      <c r="B148" s="213">
        <v>359.2</v>
      </c>
      <c r="C148" s="257">
        <v>69.504999999999995</v>
      </c>
      <c r="D148" s="138">
        <v>13.97</v>
      </c>
      <c r="E148" s="137">
        <v>108.84166666666668</v>
      </c>
      <c r="G148" s="187"/>
      <c r="H148" s="187"/>
      <c r="J148" s="198"/>
      <c r="L148" s="187"/>
    </row>
    <row r="149" spans="1:12" x14ac:dyDescent="0.15">
      <c r="A149" s="213">
        <v>1994</v>
      </c>
      <c r="B149" s="213">
        <v>368.1</v>
      </c>
      <c r="C149" s="257">
        <v>70.959999999999994</v>
      </c>
      <c r="D149" s="138">
        <v>14.33</v>
      </c>
      <c r="E149" s="137">
        <v>110.425</v>
      </c>
      <c r="G149" s="187"/>
      <c r="H149" s="187"/>
      <c r="J149" s="198"/>
      <c r="L149" s="187"/>
    </row>
    <row r="150" spans="1:12" x14ac:dyDescent="0.15">
      <c r="A150" s="213">
        <v>1995</v>
      </c>
      <c r="B150" s="213">
        <v>381.1</v>
      </c>
      <c r="C150" s="257">
        <v>72.387</v>
      </c>
      <c r="D150" s="138">
        <v>14.86</v>
      </c>
      <c r="E150" s="137">
        <v>117.18333333333332</v>
      </c>
      <c r="G150" s="187"/>
      <c r="H150" s="187"/>
      <c r="J150" s="198"/>
      <c r="L150" s="187"/>
    </row>
    <row r="151" spans="1:12" x14ac:dyDescent="0.15">
      <c r="A151" s="213">
        <v>1996</v>
      </c>
      <c r="B151" s="213">
        <v>381.7</v>
      </c>
      <c r="C151" s="257">
        <v>73.668000000000006</v>
      </c>
      <c r="D151" s="138">
        <v>15.37</v>
      </c>
      <c r="E151" s="137">
        <v>119.33333333333333</v>
      </c>
      <c r="G151" s="187"/>
      <c r="H151" s="187"/>
      <c r="J151" s="198"/>
      <c r="L151" s="187"/>
    </row>
    <row r="152" spans="1:12" x14ac:dyDescent="0.15">
      <c r="A152" s="213">
        <v>1997</v>
      </c>
      <c r="B152" s="213">
        <v>386.5</v>
      </c>
      <c r="C152" s="257">
        <v>74.823999999999998</v>
      </c>
      <c r="D152" s="138">
        <v>15.78</v>
      </c>
      <c r="E152" s="137">
        <v>116.825</v>
      </c>
      <c r="G152" s="187"/>
      <c r="H152" s="187"/>
      <c r="J152" s="198"/>
      <c r="L152" s="187"/>
    </row>
    <row r="153" spans="1:12" x14ac:dyDescent="0.15">
      <c r="A153" s="213">
        <v>1998</v>
      </c>
      <c r="B153" s="213">
        <v>389.5</v>
      </c>
      <c r="C153" s="257">
        <v>75.641000000000005</v>
      </c>
      <c r="D153" s="138">
        <v>16.23</v>
      </c>
      <c r="E153" s="137">
        <v>117.86666666666667</v>
      </c>
      <c r="G153" s="187"/>
      <c r="H153" s="187"/>
      <c r="J153" s="198"/>
      <c r="L153" s="187"/>
    </row>
    <row r="154" spans="1:12" x14ac:dyDescent="0.15">
      <c r="A154" s="213">
        <v>1999</v>
      </c>
      <c r="B154" s="213">
        <v>390.6</v>
      </c>
      <c r="C154" s="257">
        <v>76.873000000000005</v>
      </c>
      <c r="D154" s="138">
        <v>16.399999999999999</v>
      </c>
      <c r="E154" s="137">
        <v>108.91666666666667</v>
      </c>
      <c r="G154" s="187"/>
      <c r="H154" s="187"/>
      <c r="J154" s="198"/>
      <c r="L154" s="187"/>
    </row>
    <row r="155" spans="1:12" x14ac:dyDescent="0.15">
      <c r="A155" s="213">
        <v>2000</v>
      </c>
      <c r="B155" s="213">
        <v>394.1</v>
      </c>
      <c r="C155" s="257">
        <v>78.722999999999999</v>
      </c>
      <c r="D155" s="138">
        <v>17.09</v>
      </c>
      <c r="E155" s="137">
        <v>108.90833333333332</v>
      </c>
      <c r="G155" s="187"/>
      <c r="H155" s="187"/>
      <c r="J155" s="198"/>
      <c r="L155" s="187"/>
    </row>
    <row r="156" spans="1:12" x14ac:dyDescent="0.15">
      <c r="A156" s="213">
        <v>2001</v>
      </c>
      <c r="B156" s="213">
        <v>394.3</v>
      </c>
      <c r="C156" s="257">
        <v>80.268000000000001</v>
      </c>
      <c r="D156" s="138">
        <v>17.57</v>
      </c>
      <c r="E156" s="137">
        <v>118.48333333333333</v>
      </c>
      <c r="G156" s="187"/>
      <c r="H156" s="187"/>
      <c r="J156" s="198"/>
      <c r="L156" s="187"/>
    </row>
    <row r="157" spans="1:12" x14ac:dyDescent="0.15">
      <c r="A157" s="213">
        <v>2002</v>
      </c>
      <c r="B157" s="213">
        <v>395.6</v>
      </c>
      <c r="C157" s="257">
        <v>81.653999999999996</v>
      </c>
      <c r="D157" s="138">
        <v>17.97</v>
      </c>
      <c r="E157" s="137">
        <v>115.89166666666665</v>
      </c>
      <c r="G157" s="187"/>
      <c r="H157" s="187"/>
      <c r="J157" s="198"/>
      <c r="L157" s="187"/>
    </row>
    <row r="158" spans="1:12" x14ac:dyDescent="0.15">
      <c r="A158" s="213">
        <v>2003</v>
      </c>
      <c r="B158" s="213">
        <v>402</v>
      </c>
      <c r="C158" s="257">
        <v>83.200999999999993</v>
      </c>
      <c r="D158" s="138">
        <v>18.5</v>
      </c>
      <c r="E158" s="137">
        <v>121.14166666666667</v>
      </c>
      <c r="G158" s="187"/>
      <c r="H158" s="187"/>
      <c r="J158" s="198"/>
      <c r="L158" s="187"/>
    </row>
    <row r="159" spans="1:12" x14ac:dyDescent="0.15">
      <c r="A159" s="213">
        <v>2004</v>
      </c>
      <c r="B159" s="213">
        <v>444.2</v>
      </c>
      <c r="C159" s="257">
        <v>85.712000000000003</v>
      </c>
      <c r="D159" s="138">
        <v>19.170000000000002</v>
      </c>
      <c r="E159" s="137">
        <v>125.47499999999998</v>
      </c>
      <c r="G159" s="187"/>
      <c r="H159" s="187"/>
      <c r="J159" s="198"/>
      <c r="L159" s="187"/>
    </row>
    <row r="160" spans="1:12" x14ac:dyDescent="0.15">
      <c r="A160" s="213">
        <v>2005</v>
      </c>
      <c r="B160" s="213">
        <v>468.2</v>
      </c>
      <c r="C160" s="257">
        <v>88.489000000000004</v>
      </c>
      <c r="D160" s="138">
        <v>19.670000000000002</v>
      </c>
      <c r="E160" s="137">
        <v>141.43333333333331</v>
      </c>
      <c r="G160" s="187"/>
      <c r="H160" s="187"/>
      <c r="J160" s="198"/>
      <c r="L160" s="187"/>
    </row>
    <row r="161" spans="1:12" x14ac:dyDescent="0.15">
      <c r="A161" s="213">
        <v>2006</v>
      </c>
      <c r="B161" s="213">
        <v>499.6</v>
      </c>
      <c r="C161" s="257">
        <v>90.814999999999998</v>
      </c>
      <c r="D161" s="138">
        <v>19.600000000000001</v>
      </c>
      <c r="E161" s="137">
        <v>173.79999999999998</v>
      </c>
      <c r="G161" s="187"/>
      <c r="H161" s="187"/>
      <c r="J161" s="198"/>
      <c r="L161" s="187"/>
    </row>
    <row r="162" spans="1:12" x14ac:dyDescent="0.15">
      <c r="A162" s="213">
        <v>2007</v>
      </c>
      <c r="B162" s="213">
        <v>525.4</v>
      </c>
      <c r="C162" s="257">
        <v>93.144999999999996</v>
      </c>
      <c r="D162" s="138">
        <v>19.55</v>
      </c>
      <c r="E162" s="137">
        <v>185.99166666666667</v>
      </c>
      <c r="G162" s="187"/>
      <c r="H162" s="187"/>
      <c r="J162" s="198"/>
      <c r="L162" s="187"/>
    </row>
    <row r="163" spans="1:12" x14ac:dyDescent="0.15">
      <c r="A163" s="213">
        <v>2008</v>
      </c>
      <c r="B163" s="213">
        <v>575.4</v>
      </c>
      <c r="C163" s="257">
        <v>94.986000000000004</v>
      </c>
      <c r="D163" s="138">
        <v>19.5</v>
      </c>
      <c r="E163" s="137">
        <v>261.39166666666671</v>
      </c>
      <c r="G163" s="187"/>
      <c r="H163" s="187"/>
      <c r="J163" s="198"/>
      <c r="L163" s="187"/>
    </row>
    <row r="164" spans="1:12" x14ac:dyDescent="0.15">
      <c r="A164" s="213">
        <v>2009</v>
      </c>
      <c r="B164" s="213">
        <v>521.9</v>
      </c>
      <c r="C164" s="257">
        <v>95.259</v>
      </c>
      <c r="D164" s="138">
        <v>20.3</v>
      </c>
      <c r="E164" s="137">
        <v>271.85833333333335</v>
      </c>
      <c r="G164" s="187"/>
      <c r="H164" s="187"/>
      <c r="J164" s="198"/>
      <c r="L164" s="187"/>
    </row>
    <row r="165" spans="1:12" x14ac:dyDescent="0.15">
      <c r="A165" s="213">
        <v>2010</v>
      </c>
      <c r="B165" s="213">
        <v>550.79999999999995</v>
      </c>
      <c r="C165" s="257">
        <v>96.763000000000005</v>
      </c>
      <c r="D165" s="138">
        <v>21.07</v>
      </c>
      <c r="E165" s="137">
        <v>253.17499999999998</v>
      </c>
      <c r="G165" s="187"/>
      <c r="H165" s="187"/>
      <c r="J165" s="198"/>
      <c r="L165" s="187"/>
    </row>
    <row r="166" spans="1:12" x14ac:dyDescent="0.15">
      <c r="A166" s="213">
        <v>2011</v>
      </c>
      <c r="B166" s="213">
        <v>585.70000000000005</v>
      </c>
      <c r="C166" s="257">
        <v>98.703000000000003</v>
      </c>
      <c r="D166" s="138">
        <v>21.45</v>
      </c>
      <c r="E166" s="137">
        <v>300.9083333333333</v>
      </c>
      <c r="G166" s="187"/>
      <c r="H166" s="187"/>
      <c r="J166" s="198"/>
      <c r="L166" s="187"/>
    </row>
    <row r="167" spans="1:12" x14ac:dyDescent="0.15">
      <c r="A167" s="213">
        <v>2012</v>
      </c>
      <c r="B167" s="213">
        <v>584.6</v>
      </c>
      <c r="C167" s="257">
        <v>100.73699999999999</v>
      </c>
      <c r="D167" s="138">
        <v>21.45</v>
      </c>
      <c r="E167" s="137">
        <v>298.19166666666666</v>
      </c>
      <c r="G167" s="187"/>
      <c r="H167" s="187"/>
      <c r="J167" s="198"/>
      <c r="L167" s="187"/>
    </row>
    <row r="168" spans="1:12" x14ac:dyDescent="0.15">
      <c r="A168" s="213">
        <v>2013</v>
      </c>
      <c r="B168" s="213">
        <v>567.29999999999995</v>
      </c>
      <c r="C168" s="257">
        <v>102.517</v>
      </c>
      <c r="D168" s="138">
        <v>21.4</v>
      </c>
      <c r="E168" s="137">
        <v>281.0916666666667</v>
      </c>
      <c r="G168" s="187"/>
      <c r="H168" s="187"/>
      <c r="J168" s="198"/>
      <c r="L168" s="187"/>
    </row>
    <row r="169" spans="1:12" x14ac:dyDescent="0.15">
      <c r="A169" s="213">
        <v>2014</v>
      </c>
      <c r="B169" s="213">
        <v>576.1</v>
      </c>
      <c r="C169" s="257">
        <v>104.123</v>
      </c>
      <c r="D169" s="138">
        <v>21.488333333333333</v>
      </c>
      <c r="E169" s="137">
        <v>270.30833333333334</v>
      </c>
      <c r="G169" s="187"/>
      <c r="H169" s="187"/>
      <c r="J169" s="198"/>
      <c r="L169" s="187"/>
    </row>
    <row r="170" spans="1:12" x14ac:dyDescent="0.15">
      <c r="A170" s="213">
        <v>2015</v>
      </c>
      <c r="B170" s="213">
        <v>556.79999999999995</v>
      </c>
      <c r="C170" s="257">
        <v>104.937</v>
      </c>
      <c r="D170" s="138">
        <v>21.754999999999999</v>
      </c>
      <c r="E170" s="137">
        <v>270.00833333333327</v>
      </c>
      <c r="G170" s="187"/>
      <c r="H170" s="187"/>
      <c r="J170" s="198"/>
      <c r="L170" s="187"/>
    </row>
    <row r="171" spans="1:12" x14ac:dyDescent="0.15">
      <c r="A171" s="213">
        <v>2016</v>
      </c>
      <c r="B171" s="213">
        <v>541.70000000000005</v>
      </c>
      <c r="C171" s="257">
        <v>106.46899999999999</v>
      </c>
      <c r="D171" s="138">
        <v>22.714999999999993</v>
      </c>
      <c r="E171" s="137">
        <v>252.12500000000003</v>
      </c>
      <c r="G171" s="187"/>
      <c r="H171" s="187"/>
      <c r="J171" s="198"/>
      <c r="L171" s="187"/>
    </row>
    <row r="172" spans="1:12" x14ac:dyDescent="0.15">
      <c r="A172" s="213">
        <v>2017</v>
      </c>
      <c r="B172" s="213">
        <v>567.5</v>
      </c>
      <c r="C172" s="257">
        <v>108.598</v>
      </c>
      <c r="D172" s="138">
        <v>24.275833333333328</v>
      </c>
      <c r="E172" s="137">
        <v>256.79166666666663</v>
      </c>
      <c r="G172" s="187"/>
      <c r="H172" s="187"/>
      <c r="J172" s="198"/>
      <c r="L172" s="187"/>
    </row>
    <row r="173" spans="1:12" x14ac:dyDescent="0.15">
      <c r="A173" s="213">
        <v>2018</v>
      </c>
      <c r="B173" s="213">
        <v>603.1</v>
      </c>
      <c r="C173" s="6">
        <v>111.14</v>
      </c>
      <c r="D173" s="138">
        <v>25.462500000000002</v>
      </c>
      <c r="E173" s="137">
        <v>276.89999999999998</v>
      </c>
      <c r="G173" s="187"/>
      <c r="H173" s="187"/>
      <c r="J173" s="198"/>
      <c r="L173" s="187"/>
    </row>
    <row r="174" spans="1:12" x14ac:dyDescent="0.15">
      <c r="A174" s="213">
        <v>2019</v>
      </c>
      <c r="B174" s="213">
        <v>607.5</v>
      </c>
      <c r="C174" s="6">
        <v>112.95</v>
      </c>
      <c r="D174" s="138">
        <v>25.46083333333333</v>
      </c>
      <c r="E174" s="137">
        <v>279.59166666666664</v>
      </c>
      <c r="G174" s="187"/>
      <c r="H174" s="187"/>
      <c r="J174" s="198"/>
      <c r="L174" s="187"/>
    </row>
    <row r="175" spans="1:12" x14ac:dyDescent="0.15">
      <c r="A175" s="3"/>
      <c r="G175" s="187"/>
      <c r="H175" s="187"/>
      <c r="J175" s="198"/>
      <c r="L175" s="187"/>
    </row>
    <row r="176" spans="1:12" x14ac:dyDescent="0.15">
      <c r="A176" s="3"/>
      <c r="G176" s="187"/>
      <c r="H176" s="187"/>
      <c r="J176" s="198"/>
      <c r="L176" s="187"/>
    </row>
    <row r="177" spans="1:12" x14ac:dyDescent="0.15">
      <c r="A177" s="3"/>
      <c r="G177" s="187"/>
      <c r="H177" s="187"/>
      <c r="J177" s="198"/>
      <c r="L177" s="187"/>
    </row>
    <row r="178" spans="1:12" x14ac:dyDescent="0.15">
      <c r="A178" s="3"/>
      <c r="G178" s="187"/>
      <c r="H178" s="187"/>
      <c r="J178" s="198"/>
      <c r="L178" s="187"/>
    </row>
    <row r="179" spans="1:12" x14ac:dyDescent="0.15">
      <c r="A179" s="3"/>
    </row>
    <row r="180" spans="1:12" x14ac:dyDescent="0.15">
      <c r="A180" s="3"/>
    </row>
    <row r="181" spans="1:12" x14ac:dyDescent="0.15">
      <c r="A181" s="3"/>
    </row>
    <row r="182" spans="1:12" x14ac:dyDescent="0.15">
      <c r="A182" s="3"/>
    </row>
    <row r="183" spans="1:12" x14ac:dyDescent="0.15">
      <c r="A183" s="3"/>
    </row>
    <row r="184" spans="1:12" x14ac:dyDescent="0.15">
      <c r="A184" s="3"/>
    </row>
    <row r="185" spans="1:12" x14ac:dyDescent="0.15">
      <c r="A185" s="3"/>
    </row>
    <row r="186" spans="1:12" x14ac:dyDescent="0.15">
      <c r="A186" s="3"/>
    </row>
    <row r="187" spans="1:12" x14ac:dyDescent="0.15">
      <c r="A187" s="3"/>
    </row>
    <row r="188" spans="1:12" x14ac:dyDescent="0.15">
      <c r="A188" s="3"/>
    </row>
    <row r="189" spans="1:12" x14ac:dyDescent="0.15">
      <c r="A189" s="3"/>
    </row>
    <row r="190" spans="1:12" x14ac:dyDescent="0.15">
      <c r="A190" s="3"/>
    </row>
    <row r="191" spans="1:12" x14ac:dyDescent="0.15">
      <c r="A191" s="3"/>
    </row>
    <row r="192" spans="1:12" x14ac:dyDescent="0.15">
      <c r="A192" s="3"/>
    </row>
    <row r="193" spans="1:1" x14ac:dyDescent="0.15">
      <c r="A193" s="3"/>
    </row>
    <row r="194" spans="1:1" x14ac:dyDescent="0.15">
      <c r="A194" s="3"/>
    </row>
    <row r="195" spans="1:1" x14ac:dyDescent="0.15">
      <c r="A195" s="3"/>
    </row>
    <row r="196" spans="1:1" x14ac:dyDescent="0.15">
      <c r="A196" s="3"/>
    </row>
    <row r="197" spans="1:1" x14ac:dyDescent="0.15">
      <c r="A197" s="3"/>
    </row>
    <row r="198" spans="1:1" x14ac:dyDescent="0.15">
      <c r="A198" s="3"/>
    </row>
    <row r="199" spans="1:1" x14ac:dyDescent="0.15">
      <c r="A199" s="3"/>
    </row>
    <row r="200" spans="1:1" x14ac:dyDescent="0.15">
      <c r="A200" s="3"/>
    </row>
    <row r="201" spans="1:1" x14ac:dyDescent="0.15">
      <c r="A201" s="3"/>
    </row>
    <row r="202" spans="1:1" x14ac:dyDescent="0.15">
      <c r="A202" s="3"/>
    </row>
    <row r="203" spans="1:1" x14ac:dyDescent="0.15">
      <c r="A203" s="3"/>
    </row>
    <row r="204" spans="1:1" x14ac:dyDescent="0.15">
      <c r="A204" s="3"/>
    </row>
    <row r="205" spans="1:1" x14ac:dyDescent="0.15">
      <c r="A205" s="3"/>
    </row>
    <row r="206" spans="1:1" x14ac:dyDescent="0.15">
      <c r="A206" s="3"/>
    </row>
    <row r="207" spans="1:1" x14ac:dyDescent="0.15">
      <c r="A207" s="3"/>
    </row>
    <row r="208" spans="1:1" x14ac:dyDescent="0.15">
      <c r="A208" s="3"/>
    </row>
    <row r="209" spans="1:1" x14ac:dyDescent="0.15">
      <c r="A209" s="3"/>
    </row>
    <row r="210" spans="1:1" x14ac:dyDescent="0.15">
      <c r="A210" s="3"/>
    </row>
    <row r="211" spans="1:1" x14ac:dyDescent="0.15">
      <c r="A211" s="3"/>
    </row>
    <row r="212" spans="1:1" x14ac:dyDescent="0.15">
      <c r="A212" s="3"/>
    </row>
    <row r="213" spans="1:1" x14ac:dyDescent="0.15">
      <c r="A213" s="3"/>
    </row>
    <row r="214" spans="1:1" x14ac:dyDescent="0.15">
      <c r="A214" s="3"/>
    </row>
    <row r="215" spans="1:1" x14ac:dyDescent="0.15">
      <c r="A215" s="3"/>
    </row>
    <row r="216" spans="1:1" x14ac:dyDescent="0.15">
      <c r="A216" s="3"/>
    </row>
    <row r="217" spans="1:1" x14ac:dyDescent="0.15">
      <c r="A217" s="3"/>
    </row>
    <row r="218" spans="1:1" x14ac:dyDescent="0.15">
      <c r="A218" s="3"/>
    </row>
    <row r="219" spans="1:1" x14ac:dyDescent="0.15">
      <c r="A219" s="3"/>
    </row>
    <row r="220" spans="1:1" x14ac:dyDescent="0.15">
      <c r="A220" s="3"/>
    </row>
    <row r="221" spans="1:1" x14ac:dyDescent="0.15">
      <c r="A221" s="3"/>
    </row>
    <row r="222" spans="1:1" x14ac:dyDescent="0.15">
      <c r="A222" s="3"/>
    </row>
    <row r="223" spans="1:1" x14ac:dyDescent="0.15">
      <c r="A223" s="3"/>
    </row>
    <row r="224" spans="1:1" x14ac:dyDescent="0.15">
      <c r="A224" s="3"/>
    </row>
    <row r="225" spans="1:32" x14ac:dyDescent="0.15">
      <c r="A225" s="3"/>
    </row>
    <row r="226" spans="1:32" x14ac:dyDescent="0.15">
      <c r="A226" s="3"/>
      <c r="I226" s="3"/>
      <c r="J226" s="3"/>
      <c r="K226" s="3"/>
      <c r="L226" s="139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</row>
    <row r="227" spans="1:32" x14ac:dyDescent="0.15">
      <c r="A227" s="3"/>
      <c r="I227" s="3"/>
      <c r="J227" s="3"/>
      <c r="K227" s="3"/>
      <c r="L227" s="139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</row>
    <row r="228" spans="1:32" x14ac:dyDescent="0.15">
      <c r="A228" s="3"/>
      <c r="I228" s="3"/>
      <c r="J228" s="3"/>
      <c r="K228" s="3"/>
      <c r="L228" s="139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</row>
    <row r="229" spans="1:32" x14ac:dyDescent="0.15">
      <c r="A229" s="3"/>
      <c r="I229" s="3"/>
      <c r="J229" s="3"/>
      <c r="K229" s="3"/>
      <c r="L229" s="139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</row>
    <row r="230" spans="1:32" x14ac:dyDescent="0.15">
      <c r="A230" s="3"/>
      <c r="I230" s="3"/>
      <c r="J230" s="3"/>
      <c r="K230" s="3"/>
      <c r="L230" s="139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</row>
    <row r="231" spans="1:32" x14ac:dyDescent="0.15">
      <c r="A231" s="3"/>
      <c r="I231" s="3"/>
      <c r="J231" s="3"/>
      <c r="K231" s="3"/>
      <c r="L231" s="139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</row>
    <row r="232" spans="1:32" x14ac:dyDescent="0.15">
      <c r="A232" s="3"/>
      <c r="I232" s="3"/>
      <c r="J232" s="3"/>
      <c r="K232" s="3"/>
      <c r="L232" s="139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</row>
    <row r="233" spans="1:32" x14ac:dyDescent="0.15">
      <c r="A233" s="3"/>
      <c r="I233" s="3"/>
      <c r="J233" s="3"/>
      <c r="K233" s="3"/>
      <c r="L233" s="139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</row>
    <row r="234" spans="1:32" x14ac:dyDescent="0.15">
      <c r="A234" s="3"/>
      <c r="I234" s="3"/>
      <c r="J234" s="3"/>
      <c r="K234" s="3"/>
      <c r="L234" s="139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</row>
    <row r="235" spans="1:32" x14ac:dyDescent="0.15">
      <c r="A235" s="3"/>
      <c r="I235" s="3"/>
      <c r="J235" s="3"/>
      <c r="K235" s="3"/>
      <c r="L235" s="139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</row>
    <row r="236" spans="1:32" x14ac:dyDescent="0.15">
      <c r="A236" s="3"/>
      <c r="I236" s="3"/>
      <c r="J236" s="3"/>
      <c r="K236" s="3"/>
      <c r="L236" s="139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</row>
    <row r="237" spans="1:32" x14ac:dyDescent="0.15">
      <c r="A237" s="3"/>
      <c r="I237" s="3"/>
      <c r="J237" s="3"/>
      <c r="K237" s="3"/>
      <c r="L237" s="139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</row>
    <row r="238" spans="1:32" x14ac:dyDescent="0.15">
      <c r="A238" s="3"/>
      <c r="I238" s="3"/>
      <c r="J238" s="3"/>
      <c r="K238" s="3"/>
      <c r="L238" s="139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</row>
    <row r="239" spans="1:32" x14ac:dyDescent="0.15">
      <c r="A239" s="3"/>
      <c r="I239" s="3"/>
      <c r="J239" s="3"/>
      <c r="K239" s="3"/>
      <c r="L239" s="139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</row>
    <row r="240" spans="1:32" x14ac:dyDescent="0.15">
      <c r="A240" s="3"/>
      <c r="I240" s="3"/>
      <c r="J240" s="3"/>
      <c r="K240" s="3"/>
      <c r="L240" s="139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</row>
    <row r="241" spans="1:32" x14ac:dyDescent="0.15">
      <c r="A241" s="3"/>
      <c r="I241" s="3"/>
      <c r="J241" s="3"/>
      <c r="K241" s="3"/>
      <c r="L241" s="139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</row>
    <row r="242" spans="1:32" x14ac:dyDescent="0.15">
      <c r="A242" s="3"/>
      <c r="I242" s="3"/>
      <c r="J242" s="3"/>
      <c r="K242" s="3"/>
      <c r="L242" s="139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</row>
    <row r="243" spans="1:32" x14ac:dyDescent="0.15">
      <c r="A243" s="3"/>
      <c r="I243" s="3"/>
      <c r="J243" s="3"/>
      <c r="K243" s="3"/>
      <c r="L243" s="139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</row>
    <row r="244" spans="1:32" x14ac:dyDescent="0.15">
      <c r="A244" s="3"/>
      <c r="I244" s="3"/>
      <c r="J244" s="3"/>
      <c r="K244" s="3"/>
      <c r="L244" s="139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</row>
    <row r="245" spans="1:32" x14ac:dyDescent="0.15">
      <c r="A245" s="3"/>
      <c r="I245" s="3"/>
      <c r="J245" s="3"/>
      <c r="K245" s="3"/>
      <c r="L245" s="139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</row>
    <row r="246" spans="1:32" x14ac:dyDescent="0.15">
      <c r="A246" s="3"/>
      <c r="I246" s="3"/>
      <c r="J246" s="3"/>
      <c r="K246" s="3"/>
      <c r="L246" s="139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</row>
    <row r="247" spans="1:32" x14ac:dyDescent="0.15">
      <c r="A247" s="3"/>
      <c r="I247" s="3"/>
      <c r="J247" s="3"/>
      <c r="K247" s="3"/>
      <c r="L247" s="139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</row>
    <row r="248" spans="1:32" x14ac:dyDescent="0.15">
      <c r="A248" s="3"/>
      <c r="I248" s="3"/>
      <c r="J248" s="3"/>
      <c r="K248" s="3"/>
      <c r="L248" s="139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</row>
    <row r="249" spans="1:32" x14ac:dyDescent="0.15">
      <c r="A249" s="3"/>
      <c r="I249" s="3"/>
      <c r="J249" s="3"/>
      <c r="K249" s="3"/>
      <c r="L249" s="139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</row>
    <row r="250" spans="1:32" x14ac:dyDescent="0.15">
      <c r="A250" s="3"/>
      <c r="I250" s="3"/>
      <c r="J250" s="3"/>
      <c r="K250" s="3"/>
      <c r="L250" s="139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</row>
    <row r="251" spans="1:32" x14ac:dyDescent="0.15">
      <c r="A251" s="3"/>
      <c r="I251" s="3"/>
      <c r="J251" s="3"/>
      <c r="K251" s="3"/>
      <c r="L251" s="139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</row>
    <row r="252" spans="1:32" x14ac:dyDescent="0.15">
      <c r="A252" s="3"/>
      <c r="I252" s="3"/>
      <c r="J252" s="3"/>
      <c r="K252" s="3"/>
      <c r="L252" s="139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</row>
    <row r="253" spans="1:32" x14ac:dyDescent="0.15">
      <c r="A253" s="3"/>
      <c r="I253" s="3"/>
      <c r="J253" s="3"/>
      <c r="K253" s="3"/>
      <c r="L253" s="139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</row>
    <row r="254" spans="1:32" x14ac:dyDescent="0.15">
      <c r="A254" s="3"/>
      <c r="I254" s="3"/>
      <c r="J254" s="3"/>
      <c r="K254" s="3"/>
      <c r="L254" s="139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</row>
    <row r="255" spans="1:32" x14ac:dyDescent="0.15">
      <c r="A255" s="3"/>
      <c r="I255" s="3"/>
      <c r="J255" s="3"/>
      <c r="K255" s="3"/>
      <c r="L255" s="139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</row>
    <row r="256" spans="1:32" x14ac:dyDescent="0.15">
      <c r="A256" s="3"/>
      <c r="I256" s="3"/>
      <c r="J256" s="3"/>
      <c r="K256" s="3"/>
      <c r="L256" s="139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</row>
    <row r="257" spans="1:32" x14ac:dyDescent="0.15">
      <c r="A257" s="3"/>
      <c r="I257" s="3"/>
      <c r="J257" s="3"/>
      <c r="K257" s="3"/>
      <c r="L257" s="139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</row>
    <row r="258" spans="1:32" x14ac:dyDescent="0.15">
      <c r="A258" s="3"/>
      <c r="I258" s="3"/>
      <c r="J258" s="3"/>
      <c r="K258" s="3"/>
      <c r="L258" s="139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</row>
    <row r="259" spans="1:32" x14ac:dyDescent="0.15">
      <c r="A259" s="3"/>
      <c r="I259" s="3"/>
      <c r="J259" s="3"/>
      <c r="K259" s="3"/>
      <c r="L259" s="139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</row>
    <row r="260" spans="1:32" x14ac:dyDescent="0.15">
      <c r="A260" s="3"/>
      <c r="I260" s="3"/>
      <c r="J260" s="3"/>
      <c r="K260" s="3"/>
      <c r="L260" s="139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</row>
    <row r="261" spans="1:32" x14ac:dyDescent="0.15">
      <c r="A261" s="3"/>
      <c r="I261" s="3"/>
      <c r="J261" s="3"/>
      <c r="K261" s="3"/>
      <c r="L261" s="139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</row>
    <row r="262" spans="1:32" x14ac:dyDescent="0.15">
      <c r="A262" s="3"/>
      <c r="I262" s="3"/>
      <c r="J262" s="3"/>
      <c r="K262" s="3"/>
      <c r="L262" s="139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</row>
    <row r="263" spans="1:32" x14ac:dyDescent="0.15">
      <c r="A263" s="3"/>
      <c r="I263" s="3"/>
      <c r="J263" s="3"/>
      <c r="K263" s="3"/>
      <c r="L263" s="139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</row>
    <row r="264" spans="1:32" x14ac:dyDescent="0.15">
      <c r="A264" s="3"/>
      <c r="I264" s="3"/>
      <c r="J264" s="3"/>
      <c r="K264" s="3"/>
      <c r="L264" s="139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</row>
    <row r="265" spans="1:32" x14ac:dyDescent="0.15">
      <c r="A265" s="3"/>
      <c r="I265" s="3"/>
      <c r="J265" s="3"/>
      <c r="K265" s="3"/>
      <c r="L265" s="139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</row>
    <row r="266" spans="1:32" x14ac:dyDescent="0.15">
      <c r="A266" s="3"/>
      <c r="I266" s="3"/>
      <c r="J266" s="3"/>
      <c r="K266" s="3"/>
      <c r="L266" s="139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</row>
    <row r="267" spans="1:32" x14ac:dyDescent="0.15">
      <c r="A267" s="3"/>
      <c r="I267" s="3"/>
      <c r="J267" s="3"/>
      <c r="K267" s="3"/>
      <c r="L267" s="139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</row>
    <row r="268" spans="1:32" x14ac:dyDescent="0.15">
      <c r="A268" s="3"/>
      <c r="I268" s="3"/>
      <c r="J268" s="3"/>
      <c r="K268" s="3"/>
      <c r="L268" s="139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</row>
    <row r="269" spans="1:32" x14ac:dyDescent="0.15">
      <c r="A269" s="3"/>
      <c r="I269" s="3"/>
      <c r="J269" s="3"/>
      <c r="K269" s="3"/>
      <c r="L269" s="139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</row>
    <row r="270" spans="1:32" x14ac:dyDescent="0.15">
      <c r="A270" s="3"/>
      <c r="I270" s="3"/>
      <c r="J270" s="3"/>
      <c r="K270" s="3"/>
      <c r="L270" s="139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</row>
    <row r="271" spans="1:32" x14ac:dyDescent="0.15">
      <c r="A271" s="3"/>
      <c r="I271" s="3"/>
      <c r="J271" s="3"/>
      <c r="K271" s="3"/>
      <c r="L271" s="139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</row>
    <row r="272" spans="1:32" x14ac:dyDescent="0.15">
      <c r="A272" s="3"/>
      <c r="I272" s="3"/>
      <c r="J272" s="3"/>
      <c r="K272" s="3"/>
      <c r="L272" s="139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</row>
    <row r="273" spans="1:32" x14ac:dyDescent="0.15">
      <c r="A273" s="3"/>
      <c r="I273" s="3"/>
      <c r="J273" s="3"/>
      <c r="K273" s="3"/>
      <c r="L273" s="139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</row>
    <row r="274" spans="1:32" x14ac:dyDescent="0.15">
      <c r="A274" s="3"/>
      <c r="I274" s="3"/>
      <c r="J274" s="3"/>
      <c r="K274" s="3"/>
      <c r="L274" s="139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</row>
    <row r="275" spans="1:32" x14ac:dyDescent="0.15">
      <c r="A275" s="3"/>
      <c r="I275" s="3"/>
      <c r="J275" s="3"/>
      <c r="K275" s="3"/>
      <c r="L275" s="139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</row>
    <row r="276" spans="1:32" x14ac:dyDescent="0.15">
      <c r="A276" s="3"/>
      <c r="I276" s="3"/>
      <c r="J276" s="3"/>
      <c r="K276" s="3"/>
      <c r="L276" s="139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</row>
    <row r="277" spans="1:32" x14ac:dyDescent="0.15">
      <c r="A277" s="3"/>
      <c r="I277" s="3"/>
      <c r="J277" s="3"/>
      <c r="K277" s="3"/>
      <c r="L277" s="139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</row>
    <row r="278" spans="1:32" x14ac:dyDescent="0.15">
      <c r="A278" s="3"/>
      <c r="I278" s="3"/>
      <c r="J278" s="3"/>
      <c r="K278" s="3"/>
      <c r="L278" s="139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</row>
    <row r="279" spans="1:32" x14ac:dyDescent="0.15">
      <c r="A279" s="3"/>
      <c r="I279" s="3"/>
      <c r="J279" s="3"/>
      <c r="K279" s="3"/>
      <c r="L279" s="139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</row>
    <row r="280" spans="1:32" x14ac:dyDescent="0.15">
      <c r="A280" s="3"/>
      <c r="I280" s="3"/>
      <c r="J280" s="3"/>
      <c r="K280" s="3"/>
      <c r="L280" s="139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</row>
    <row r="281" spans="1:32" x14ac:dyDescent="0.15">
      <c r="A281" s="3"/>
      <c r="I281" s="3"/>
      <c r="J281" s="3"/>
      <c r="K281" s="3"/>
      <c r="L281" s="139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</row>
    <row r="282" spans="1:32" x14ac:dyDescent="0.15">
      <c r="A282" s="3"/>
      <c r="I282" s="3"/>
      <c r="J282" s="3"/>
      <c r="K282" s="3"/>
      <c r="L282" s="139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</row>
    <row r="283" spans="1:32" x14ac:dyDescent="0.15">
      <c r="A283" s="3"/>
      <c r="I283" s="3"/>
      <c r="J283" s="3"/>
      <c r="K283" s="3"/>
      <c r="L283" s="139"/>
      <c r="M283" s="3"/>
      <c r="N283" s="3"/>
      <c r="O283" s="3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</row>
    <row r="284" spans="1:32" x14ac:dyDescent="0.15">
      <c r="A284" s="3"/>
      <c r="I284" s="3"/>
      <c r="J284" s="3"/>
      <c r="K284" s="3"/>
      <c r="L284" s="139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</row>
    <row r="285" spans="1:32" x14ac:dyDescent="0.15">
      <c r="A285" s="3"/>
      <c r="I285" s="3"/>
      <c r="J285" s="3"/>
      <c r="K285" s="3"/>
      <c r="L285" s="139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</row>
    <row r="286" spans="1:32" x14ac:dyDescent="0.15">
      <c r="A286" s="3"/>
      <c r="I286" s="3"/>
      <c r="J286" s="3"/>
      <c r="K286" s="3"/>
      <c r="L286" s="139"/>
      <c r="M286" s="3"/>
      <c r="N286" s="3"/>
      <c r="O286" s="3"/>
      <c r="P286" s="3"/>
      <c r="Q286" s="3"/>
      <c r="R286" s="3"/>
      <c r="S286" s="3"/>
      <c r="T286" s="3"/>
      <c r="U286" s="3"/>
      <c r="V286" s="3"/>
      <c r="W286" s="3"/>
      <c r="X286" s="3"/>
      <c r="Y286" s="3"/>
      <c r="Z286" s="3"/>
      <c r="AA286" s="3"/>
      <c r="AB286" s="3"/>
      <c r="AC286" s="3"/>
      <c r="AD286" s="3"/>
      <c r="AE286" s="3"/>
      <c r="AF286" s="3"/>
    </row>
    <row r="287" spans="1:32" x14ac:dyDescent="0.15">
      <c r="A287" s="3"/>
      <c r="I287" s="3"/>
      <c r="J287" s="3"/>
      <c r="K287" s="3"/>
      <c r="L287" s="139"/>
      <c r="M287" s="3"/>
      <c r="N287" s="3"/>
      <c r="O287" s="3"/>
      <c r="P287" s="3"/>
      <c r="Q287" s="3"/>
      <c r="R287" s="3"/>
      <c r="S287" s="3"/>
      <c r="T287" s="3"/>
      <c r="U287" s="3"/>
      <c r="V287" s="3"/>
      <c r="W287" s="3"/>
      <c r="X287" s="3"/>
      <c r="Y287" s="3"/>
      <c r="Z287" s="3"/>
      <c r="AA287" s="3"/>
      <c r="AB287" s="3"/>
      <c r="AC287" s="3"/>
      <c r="AD287" s="3"/>
      <c r="AE287" s="3"/>
      <c r="AF287" s="3"/>
    </row>
    <row r="288" spans="1:32" x14ac:dyDescent="0.15">
      <c r="A288" s="3"/>
      <c r="I288" s="3"/>
      <c r="J288" s="3"/>
      <c r="K288" s="3"/>
      <c r="L288" s="139"/>
      <c r="M288" s="3"/>
      <c r="N288" s="3"/>
      <c r="O288" s="3"/>
      <c r="P288" s="3"/>
      <c r="Q288" s="3"/>
      <c r="R288" s="3"/>
      <c r="S288" s="3"/>
      <c r="T288" s="3"/>
      <c r="U288" s="3"/>
      <c r="V288" s="3"/>
      <c r="W288" s="3"/>
      <c r="X288" s="3"/>
      <c r="Y288" s="3"/>
      <c r="Z288" s="3"/>
      <c r="AA288" s="3"/>
      <c r="AB288" s="3"/>
      <c r="AC288" s="3"/>
      <c r="AD288" s="3"/>
      <c r="AE288" s="3"/>
      <c r="AF288" s="3"/>
    </row>
    <row r="289" spans="1:32" x14ac:dyDescent="0.15">
      <c r="A289" s="3"/>
      <c r="I289" s="3"/>
      <c r="J289" s="3"/>
      <c r="K289" s="3"/>
      <c r="L289" s="139"/>
      <c r="M289" s="3"/>
      <c r="N289" s="3"/>
      <c r="O289" s="3"/>
      <c r="P289" s="3"/>
      <c r="Q289" s="3"/>
      <c r="R289" s="3"/>
      <c r="S289" s="3"/>
      <c r="T289" s="3"/>
      <c r="U289" s="3"/>
      <c r="V289" s="3"/>
      <c r="W289" s="3"/>
      <c r="X289" s="3"/>
      <c r="Y289" s="3"/>
      <c r="Z289" s="3"/>
      <c r="AA289" s="3"/>
      <c r="AB289" s="3"/>
      <c r="AC289" s="3"/>
      <c r="AD289" s="3"/>
      <c r="AE289" s="3"/>
      <c r="AF289" s="3"/>
    </row>
    <row r="290" spans="1:32" x14ac:dyDescent="0.15">
      <c r="A290" s="3"/>
      <c r="I290" s="3"/>
      <c r="J290" s="3"/>
      <c r="K290" s="3"/>
      <c r="L290" s="139"/>
      <c r="M290" s="3"/>
      <c r="N290" s="3"/>
      <c r="O290" s="3"/>
      <c r="P290" s="3"/>
      <c r="Q290" s="3"/>
      <c r="R290" s="3"/>
      <c r="S290" s="3"/>
      <c r="T290" s="3"/>
      <c r="U290" s="3"/>
      <c r="V290" s="3"/>
      <c r="W290" s="3"/>
      <c r="X290" s="3"/>
      <c r="Y290" s="3"/>
      <c r="Z290" s="3"/>
      <c r="AA290" s="3"/>
      <c r="AB290" s="3"/>
      <c r="AC290" s="3"/>
      <c r="AD290" s="3"/>
      <c r="AE290" s="3"/>
      <c r="AF290" s="3"/>
    </row>
    <row r="291" spans="1:32" x14ac:dyDescent="0.15">
      <c r="A291" s="3"/>
      <c r="I291" s="3"/>
      <c r="J291" s="3"/>
      <c r="K291" s="3"/>
      <c r="L291" s="139"/>
      <c r="M291" s="3"/>
      <c r="N291" s="3"/>
      <c r="O291" s="3"/>
      <c r="P291" s="3"/>
      <c r="Q291" s="3"/>
      <c r="R291" s="3"/>
      <c r="S291" s="3"/>
      <c r="T291" s="3"/>
      <c r="U291" s="3"/>
      <c r="V291" s="3"/>
      <c r="W291" s="3"/>
      <c r="X291" s="3"/>
      <c r="Y291" s="3"/>
      <c r="Z291" s="3"/>
      <c r="AA291" s="3"/>
      <c r="AB291" s="3"/>
      <c r="AC291" s="3"/>
      <c r="AD291" s="3"/>
      <c r="AE291" s="3"/>
      <c r="AF291" s="3"/>
    </row>
    <row r="292" spans="1:32" x14ac:dyDescent="0.15">
      <c r="A292" s="3"/>
      <c r="I292" s="3"/>
      <c r="J292" s="3"/>
      <c r="K292" s="3"/>
      <c r="L292" s="139"/>
      <c r="M292" s="3"/>
      <c r="N292" s="3"/>
      <c r="O292" s="3"/>
      <c r="P292" s="3"/>
      <c r="Q292" s="3"/>
      <c r="R292" s="3"/>
      <c r="S292" s="3"/>
      <c r="T292" s="3"/>
      <c r="U292" s="3"/>
      <c r="V292" s="3"/>
      <c r="W292" s="3"/>
      <c r="X292" s="3"/>
      <c r="Y292" s="3"/>
      <c r="Z292" s="3"/>
      <c r="AA292" s="3"/>
      <c r="AB292" s="3"/>
      <c r="AC292" s="3"/>
      <c r="AD292" s="3"/>
      <c r="AE292" s="3"/>
      <c r="AF292" s="3"/>
    </row>
    <row r="293" spans="1:32" x14ac:dyDescent="0.15">
      <c r="A293" s="3"/>
      <c r="I293" s="3"/>
      <c r="J293" s="3"/>
      <c r="K293" s="3"/>
      <c r="L293" s="139"/>
      <c r="M293" s="3"/>
      <c r="N293" s="3"/>
      <c r="O293" s="3"/>
      <c r="P293" s="3"/>
      <c r="Q293" s="3"/>
      <c r="R293" s="3"/>
      <c r="S293" s="3"/>
      <c r="T293" s="3"/>
      <c r="U293" s="3"/>
      <c r="V293" s="3"/>
      <c r="W293" s="3"/>
      <c r="X293" s="3"/>
      <c r="Y293" s="3"/>
      <c r="Z293" s="3"/>
      <c r="AA293" s="3"/>
      <c r="AB293" s="3"/>
      <c r="AC293" s="3"/>
      <c r="AD293" s="3"/>
      <c r="AE293" s="3"/>
      <c r="AF293" s="3"/>
    </row>
    <row r="294" spans="1:32" x14ac:dyDescent="0.15">
      <c r="A294" s="3"/>
      <c r="I294" s="3"/>
      <c r="J294" s="3"/>
      <c r="K294" s="3"/>
      <c r="L294" s="139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</row>
    <row r="295" spans="1:32" x14ac:dyDescent="0.15">
      <c r="A295" s="3"/>
      <c r="I295" s="3"/>
      <c r="J295" s="3"/>
      <c r="K295" s="3"/>
      <c r="L295" s="139"/>
      <c r="M295" s="3"/>
      <c r="N295" s="3"/>
      <c r="O295" s="3"/>
      <c r="P295" s="3"/>
      <c r="Q295" s="3"/>
      <c r="R295" s="3"/>
      <c r="S295" s="3"/>
      <c r="T295" s="3"/>
      <c r="U295" s="3"/>
      <c r="V295" s="3"/>
      <c r="W295" s="3"/>
      <c r="X295" s="3"/>
      <c r="Y295" s="3"/>
      <c r="Z295" s="3"/>
      <c r="AA295" s="3"/>
      <c r="AB295" s="3"/>
      <c r="AC295" s="3"/>
      <c r="AD295" s="3"/>
      <c r="AE295" s="3"/>
      <c r="AF295" s="3"/>
    </row>
    <row r="296" spans="1:32" x14ac:dyDescent="0.15">
      <c r="A296" s="3"/>
      <c r="I296" s="3"/>
      <c r="J296" s="3"/>
      <c r="K296" s="3"/>
      <c r="L296" s="139"/>
      <c r="M296" s="3"/>
      <c r="N296" s="3"/>
      <c r="O296" s="3"/>
      <c r="P296" s="3"/>
      <c r="Q296" s="3"/>
      <c r="R296" s="3"/>
      <c r="S296" s="3"/>
      <c r="T296" s="3"/>
      <c r="U296" s="3"/>
      <c r="V296" s="3"/>
      <c r="W296" s="3"/>
      <c r="X296" s="3"/>
      <c r="Y296" s="3"/>
      <c r="Z296" s="3"/>
      <c r="AA296" s="3"/>
      <c r="AB296" s="3"/>
      <c r="AC296" s="3"/>
      <c r="AD296" s="3"/>
      <c r="AE296" s="3"/>
      <c r="AF296" s="3"/>
    </row>
    <row r="297" spans="1:32" x14ac:dyDescent="0.15">
      <c r="A297" s="3"/>
      <c r="I297" s="3"/>
      <c r="J297" s="3"/>
      <c r="K297" s="3"/>
      <c r="L297" s="139"/>
      <c r="M297" s="3"/>
      <c r="N297" s="3"/>
      <c r="O297" s="3"/>
      <c r="P297" s="3"/>
      <c r="Q297" s="3"/>
      <c r="R297" s="3"/>
      <c r="S297" s="3"/>
      <c r="T297" s="3"/>
      <c r="U297" s="3"/>
      <c r="V297" s="3"/>
      <c r="W297" s="3"/>
      <c r="X297" s="3"/>
      <c r="Y297" s="3"/>
      <c r="Z297" s="3"/>
      <c r="AA297" s="3"/>
      <c r="AB297" s="3"/>
      <c r="AC297" s="3"/>
      <c r="AD297" s="3"/>
      <c r="AE297" s="3"/>
      <c r="AF297" s="3"/>
    </row>
    <row r="298" spans="1:32" x14ac:dyDescent="0.15">
      <c r="A298" s="3"/>
      <c r="I298" s="3"/>
      <c r="J298" s="3"/>
      <c r="K298" s="3"/>
      <c r="L298" s="139"/>
      <c r="M298" s="3"/>
      <c r="N298" s="3"/>
      <c r="O298" s="3"/>
      <c r="P298" s="3"/>
      <c r="Q298" s="3"/>
      <c r="R298" s="3"/>
      <c r="S298" s="3"/>
      <c r="T298" s="3"/>
      <c r="U298" s="3"/>
      <c r="V298" s="3"/>
      <c r="W298" s="3"/>
      <c r="X298" s="3"/>
      <c r="Y298" s="3"/>
      <c r="Z298" s="3"/>
      <c r="AA298" s="3"/>
      <c r="AB298" s="3"/>
      <c r="AC298" s="3"/>
      <c r="AD298" s="3"/>
      <c r="AE298" s="3"/>
      <c r="AF298" s="3"/>
    </row>
    <row r="299" spans="1:32" x14ac:dyDescent="0.15">
      <c r="A299" s="3"/>
      <c r="I299" s="3"/>
      <c r="J299" s="3"/>
      <c r="K299" s="3"/>
      <c r="L299" s="139"/>
      <c r="M299" s="3"/>
      <c r="N299" s="3"/>
      <c r="O299" s="3"/>
      <c r="P299" s="3"/>
      <c r="Q299" s="3"/>
      <c r="R299" s="3"/>
      <c r="S299" s="3"/>
      <c r="T299" s="3"/>
      <c r="U299" s="3"/>
      <c r="V299" s="3"/>
      <c r="W299" s="3"/>
      <c r="X299" s="3"/>
      <c r="Y299" s="3"/>
      <c r="Z299" s="3"/>
      <c r="AA299" s="3"/>
      <c r="AB299" s="3"/>
      <c r="AC299" s="3"/>
      <c r="AD299" s="3"/>
      <c r="AE299" s="3"/>
      <c r="AF299" s="3"/>
    </row>
    <row r="300" spans="1:32" x14ac:dyDescent="0.15">
      <c r="A300" s="3"/>
      <c r="I300" s="3"/>
      <c r="J300" s="3"/>
      <c r="K300" s="3"/>
      <c r="L300" s="139"/>
      <c r="M300" s="3"/>
      <c r="N300" s="3"/>
      <c r="O300" s="3"/>
      <c r="P300" s="3"/>
      <c r="Q300" s="3"/>
      <c r="R300" s="3"/>
      <c r="S300" s="3"/>
      <c r="T300" s="3"/>
      <c r="U300" s="3"/>
      <c r="V300" s="3"/>
      <c r="W300" s="3"/>
      <c r="X300" s="3"/>
      <c r="Y300" s="3"/>
      <c r="Z300" s="3"/>
      <c r="AA300" s="3"/>
      <c r="AB300" s="3"/>
      <c r="AC300" s="3"/>
      <c r="AD300" s="3"/>
      <c r="AE300" s="3"/>
      <c r="AF300" s="3"/>
    </row>
    <row r="301" spans="1:32" x14ac:dyDescent="0.15">
      <c r="A301" s="3"/>
      <c r="I301" s="3"/>
      <c r="J301" s="3"/>
      <c r="K301" s="3"/>
      <c r="L301" s="139"/>
      <c r="M301" s="3"/>
      <c r="N301" s="3"/>
      <c r="O301" s="3"/>
      <c r="P301" s="3"/>
      <c r="Q301" s="3"/>
      <c r="R301" s="3"/>
      <c r="S301" s="3"/>
      <c r="T301" s="3"/>
      <c r="U301" s="3"/>
      <c r="V301" s="3"/>
      <c r="W301" s="3"/>
      <c r="X301" s="3"/>
      <c r="Y301" s="3"/>
      <c r="Z301" s="3"/>
      <c r="AA301" s="3"/>
      <c r="AB301" s="3"/>
      <c r="AC301" s="3"/>
      <c r="AD301" s="3"/>
      <c r="AE301" s="3"/>
      <c r="AF301" s="3"/>
    </row>
    <row r="302" spans="1:32" x14ac:dyDescent="0.15">
      <c r="A302" s="3"/>
      <c r="I302" s="3"/>
      <c r="J302" s="3"/>
      <c r="K302" s="3"/>
      <c r="L302" s="139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</row>
    <row r="303" spans="1:32" x14ac:dyDescent="0.15">
      <c r="A303" s="3"/>
      <c r="I303" s="3"/>
      <c r="J303" s="3"/>
      <c r="K303" s="3"/>
      <c r="L303" s="139"/>
      <c r="M303" s="3"/>
      <c r="N303" s="3"/>
      <c r="O303" s="3"/>
      <c r="P303" s="3"/>
      <c r="Q303" s="3"/>
      <c r="R303" s="3"/>
      <c r="S303" s="3"/>
      <c r="T303" s="3"/>
      <c r="U303" s="3"/>
      <c r="V303" s="3"/>
      <c r="W303" s="3"/>
      <c r="X303" s="3"/>
      <c r="Y303" s="3"/>
      <c r="Z303" s="3"/>
      <c r="AA303" s="3"/>
      <c r="AB303" s="3"/>
      <c r="AC303" s="3"/>
      <c r="AD303" s="3"/>
      <c r="AE303" s="3"/>
      <c r="AF303" s="3"/>
    </row>
    <row r="304" spans="1:32" x14ac:dyDescent="0.15">
      <c r="A304" s="3"/>
      <c r="I304" s="3"/>
      <c r="J304" s="3"/>
      <c r="K304" s="3"/>
      <c r="L304" s="139"/>
      <c r="M304" s="3"/>
      <c r="N304" s="3"/>
      <c r="O304" s="3"/>
      <c r="P304" s="3"/>
      <c r="Q304" s="3"/>
      <c r="R304" s="3"/>
      <c r="S304" s="3"/>
      <c r="T304" s="3"/>
      <c r="U304" s="3"/>
      <c r="V304" s="3"/>
      <c r="W304" s="3"/>
      <c r="X304" s="3"/>
      <c r="Y304" s="3"/>
      <c r="Z304" s="3"/>
      <c r="AA304" s="3"/>
      <c r="AB304" s="3"/>
      <c r="AC304" s="3"/>
      <c r="AD304" s="3"/>
      <c r="AE304" s="3"/>
      <c r="AF304" s="3"/>
    </row>
    <row r="305" spans="1:32" x14ac:dyDescent="0.15">
      <c r="A305" s="3"/>
      <c r="I305" s="3"/>
      <c r="J305" s="3"/>
      <c r="K305" s="3"/>
      <c r="L305" s="139"/>
      <c r="M305" s="3"/>
      <c r="N305" s="3"/>
      <c r="O305" s="3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  <c r="AA305" s="3"/>
      <c r="AB305" s="3"/>
      <c r="AC305" s="3"/>
      <c r="AD305" s="3"/>
      <c r="AE305" s="3"/>
      <c r="AF305" s="3"/>
    </row>
    <row r="306" spans="1:32" x14ac:dyDescent="0.15">
      <c r="A306" s="3"/>
      <c r="I306" s="3"/>
      <c r="J306" s="3"/>
      <c r="K306" s="3"/>
      <c r="L306" s="139"/>
      <c r="M306" s="3"/>
      <c r="N306" s="3"/>
      <c r="O306" s="3"/>
      <c r="P306" s="3"/>
      <c r="Q306" s="3"/>
      <c r="R306" s="3"/>
      <c r="S306" s="3"/>
      <c r="T306" s="3"/>
      <c r="U306" s="3"/>
      <c r="V306" s="3"/>
      <c r="W306" s="3"/>
      <c r="X306" s="3"/>
      <c r="Y306" s="3"/>
      <c r="Z306" s="3"/>
      <c r="AA306" s="3"/>
      <c r="AB306" s="3"/>
      <c r="AC306" s="3"/>
      <c r="AD306" s="3"/>
      <c r="AE306" s="3"/>
      <c r="AF306" s="3"/>
    </row>
    <row r="307" spans="1:32" x14ac:dyDescent="0.15">
      <c r="A307" s="3"/>
      <c r="I307" s="3"/>
      <c r="J307" s="3"/>
      <c r="K307" s="3"/>
      <c r="L307" s="139"/>
      <c r="M307" s="3"/>
      <c r="N307" s="3"/>
      <c r="O307" s="3"/>
      <c r="P307" s="3"/>
      <c r="Q307" s="3"/>
      <c r="R307" s="3"/>
      <c r="S307" s="3"/>
      <c r="T307" s="3"/>
      <c r="U307" s="3"/>
      <c r="V307" s="3"/>
      <c r="W307" s="3"/>
      <c r="X307" s="3"/>
      <c r="Y307" s="3"/>
      <c r="Z307" s="3"/>
      <c r="AA307" s="3"/>
      <c r="AB307" s="3"/>
      <c r="AC307" s="3"/>
      <c r="AD307" s="3"/>
      <c r="AE307" s="3"/>
      <c r="AF307" s="3"/>
    </row>
    <row r="308" spans="1:32" x14ac:dyDescent="0.15">
      <c r="A308" s="3"/>
      <c r="I308" s="3"/>
      <c r="J308" s="3"/>
      <c r="K308" s="3"/>
      <c r="L308" s="139"/>
      <c r="M308" s="3"/>
      <c r="N308" s="3"/>
      <c r="O308" s="3"/>
      <c r="P308" s="3"/>
      <c r="Q308" s="3"/>
      <c r="R308" s="3"/>
      <c r="S308" s="3"/>
      <c r="T308" s="3"/>
      <c r="U308" s="3"/>
      <c r="V308" s="3"/>
      <c r="W308" s="3"/>
      <c r="X308" s="3"/>
      <c r="Y308" s="3"/>
      <c r="Z308" s="3"/>
      <c r="AA308" s="3"/>
      <c r="AB308" s="3"/>
      <c r="AC308" s="3"/>
      <c r="AD308" s="3"/>
      <c r="AE308" s="3"/>
      <c r="AF308" s="3"/>
    </row>
    <row r="309" spans="1:32" x14ac:dyDescent="0.15">
      <c r="A309" s="3"/>
      <c r="I309" s="3"/>
      <c r="J309" s="3"/>
      <c r="K309" s="3"/>
      <c r="L309" s="139"/>
      <c r="M309" s="3"/>
      <c r="N309" s="3"/>
      <c r="O309" s="3"/>
      <c r="P309" s="3"/>
      <c r="Q309" s="3"/>
      <c r="R309" s="3"/>
      <c r="S309" s="3"/>
      <c r="T309" s="3"/>
      <c r="U309" s="3"/>
      <c r="V309" s="3"/>
      <c r="W309" s="3"/>
      <c r="X309" s="3"/>
      <c r="Y309" s="3"/>
      <c r="Z309" s="3"/>
      <c r="AA309" s="3"/>
      <c r="AB309" s="3"/>
      <c r="AC309" s="3"/>
      <c r="AD309" s="3"/>
      <c r="AE309" s="3"/>
      <c r="AF309" s="3"/>
    </row>
    <row r="310" spans="1:32" x14ac:dyDescent="0.15">
      <c r="A310" s="3"/>
      <c r="I310" s="3"/>
      <c r="J310" s="3"/>
      <c r="K310" s="3"/>
      <c r="L310" s="139"/>
      <c r="M310" s="3"/>
      <c r="N310" s="3"/>
      <c r="O310" s="3"/>
      <c r="P310" s="3"/>
      <c r="Q310" s="3"/>
      <c r="R310" s="3"/>
      <c r="S310" s="3"/>
      <c r="T310" s="3"/>
      <c r="U310" s="3"/>
      <c r="V310" s="3"/>
      <c r="W310" s="3"/>
      <c r="X310" s="3"/>
      <c r="Y310" s="3"/>
      <c r="Z310" s="3"/>
      <c r="AA310" s="3"/>
      <c r="AB310" s="3"/>
      <c r="AC310" s="3"/>
      <c r="AD310" s="3"/>
      <c r="AE310" s="3"/>
      <c r="AF310" s="3"/>
    </row>
    <row r="311" spans="1:32" x14ac:dyDescent="0.15">
      <c r="A311" s="3"/>
      <c r="I311" s="3"/>
      <c r="J311" s="3"/>
      <c r="K311" s="3"/>
      <c r="L311" s="139"/>
      <c r="M311" s="3"/>
      <c r="N311" s="3"/>
      <c r="O311" s="3"/>
      <c r="P311" s="3"/>
      <c r="Q311" s="3"/>
      <c r="R311" s="3"/>
      <c r="S311" s="3"/>
      <c r="T311" s="3"/>
      <c r="U311" s="3"/>
      <c r="V311" s="3"/>
      <c r="W311" s="3"/>
      <c r="X311" s="3"/>
      <c r="Y311" s="3"/>
      <c r="Z311" s="3"/>
      <c r="AA311" s="3"/>
      <c r="AB311" s="3"/>
      <c r="AC311" s="3"/>
      <c r="AD311" s="3"/>
      <c r="AE311" s="3"/>
      <c r="AF311" s="3"/>
    </row>
    <row r="312" spans="1:32" x14ac:dyDescent="0.15">
      <c r="A312" s="3"/>
      <c r="I312" s="3"/>
      <c r="J312" s="3"/>
      <c r="K312" s="3"/>
      <c r="L312" s="139"/>
      <c r="M312" s="3"/>
      <c r="N312" s="3"/>
      <c r="O312" s="3"/>
      <c r="P312" s="3"/>
      <c r="Q312" s="3"/>
      <c r="R312" s="3"/>
      <c r="S312" s="3"/>
      <c r="T312" s="3"/>
      <c r="U312" s="3"/>
      <c r="V312" s="3"/>
      <c r="W312" s="3"/>
      <c r="X312" s="3"/>
      <c r="Y312" s="3"/>
      <c r="Z312" s="3"/>
      <c r="AA312" s="3"/>
      <c r="AB312" s="3"/>
      <c r="AC312" s="3"/>
      <c r="AD312" s="3"/>
      <c r="AE312" s="3"/>
      <c r="AF312" s="3"/>
    </row>
    <row r="313" spans="1:32" x14ac:dyDescent="0.15">
      <c r="A313" s="3"/>
      <c r="I313" s="3"/>
      <c r="J313" s="3"/>
      <c r="K313" s="3"/>
      <c r="L313" s="139"/>
      <c r="M313" s="3"/>
      <c r="N313" s="3"/>
      <c r="O313" s="3"/>
      <c r="P313" s="3"/>
      <c r="Q313" s="3"/>
      <c r="R313" s="3"/>
      <c r="S313" s="3"/>
      <c r="T313" s="3"/>
      <c r="U313" s="3"/>
      <c r="V313" s="3"/>
      <c r="W313" s="3"/>
      <c r="X313" s="3"/>
      <c r="Y313" s="3"/>
      <c r="Z313" s="3"/>
      <c r="AA313" s="3"/>
      <c r="AB313" s="3"/>
      <c r="AC313" s="3"/>
      <c r="AD313" s="3"/>
      <c r="AE313" s="3"/>
      <c r="AF313" s="3"/>
    </row>
    <row r="314" spans="1:32" x14ac:dyDescent="0.15">
      <c r="A314" s="3"/>
      <c r="I314" s="3"/>
      <c r="J314" s="3"/>
      <c r="K314" s="3"/>
      <c r="L314" s="139"/>
      <c r="M314" s="3"/>
      <c r="N314" s="3"/>
      <c r="O314" s="3"/>
      <c r="P314" s="3"/>
      <c r="Q314" s="3"/>
      <c r="R314" s="3"/>
      <c r="S314" s="3"/>
      <c r="T314" s="3"/>
      <c r="U314" s="3"/>
      <c r="V314" s="3"/>
      <c r="W314" s="3"/>
      <c r="X314" s="3"/>
      <c r="Y314" s="3"/>
      <c r="Z314" s="3"/>
      <c r="AA314" s="3"/>
      <c r="AB314" s="3"/>
      <c r="AC314" s="3"/>
      <c r="AD314" s="3"/>
      <c r="AE314" s="3"/>
      <c r="AF314" s="3"/>
    </row>
    <row r="315" spans="1:32" x14ac:dyDescent="0.15">
      <c r="A315" s="3"/>
      <c r="I315" s="3"/>
      <c r="J315" s="3"/>
      <c r="K315" s="3"/>
      <c r="L315" s="139"/>
      <c r="M315" s="3"/>
      <c r="N315" s="3"/>
      <c r="O315" s="3"/>
      <c r="P315" s="3"/>
      <c r="Q315" s="3"/>
      <c r="R315" s="3"/>
      <c r="S315" s="3"/>
      <c r="T315" s="3"/>
      <c r="U315" s="3"/>
      <c r="V315" s="3"/>
      <c r="W315" s="3"/>
      <c r="X315" s="3"/>
      <c r="Y315" s="3"/>
      <c r="Z315" s="3"/>
      <c r="AA315" s="3"/>
      <c r="AB315" s="3"/>
      <c r="AC315" s="3"/>
      <c r="AD315" s="3"/>
      <c r="AE315" s="3"/>
      <c r="AF315" s="3"/>
    </row>
    <row r="316" spans="1:32" x14ac:dyDescent="0.15">
      <c r="A316" s="3"/>
      <c r="I316" s="3"/>
      <c r="J316" s="3"/>
      <c r="K316" s="3"/>
      <c r="L316" s="139"/>
      <c r="M316" s="3"/>
      <c r="N316" s="3"/>
      <c r="O316" s="3"/>
      <c r="P316" s="3"/>
      <c r="Q316" s="3"/>
      <c r="R316" s="3"/>
      <c r="S316" s="3"/>
      <c r="T316" s="3"/>
      <c r="U316" s="3"/>
      <c r="V316" s="3"/>
      <c r="W316" s="3"/>
      <c r="X316" s="3"/>
      <c r="Y316" s="3"/>
      <c r="Z316" s="3"/>
      <c r="AA316" s="3"/>
      <c r="AB316" s="3"/>
      <c r="AC316" s="3"/>
      <c r="AD316" s="3"/>
      <c r="AE316" s="3"/>
      <c r="AF316" s="3"/>
    </row>
    <row r="317" spans="1:32" x14ac:dyDescent="0.15">
      <c r="A317" s="3"/>
      <c r="I317" s="3"/>
      <c r="J317" s="3"/>
      <c r="K317" s="3"/>
      <c r="L317" s="139"/>
      <c r="M317" s="3"/>
      <c r="N317" s="3"/>
      <c r="O317" s="3"/>
      <c r="P317" s="3"/>
      <c r="Q317" s="3"/>
      <c r="R317" s="3"/>
      <c r="S317" s="3"/>
      <c r="T317" s="3"/>
      <c r="U317" s="3"/>
      <c r="V317" s="3"/>
      <c r="W317" s="3"/>
      <c r="X317" s="3"/>
      <c r="Y317" s="3"/>
      <c r="Z317" s="3"/>
      <c r="AA317" s="3"/>
      <c r="AB317" s="3"/>
      <c r="AC317" s="3"/>
      <c r="AD317" s="3"/>
      <c r="AE317" s="3"/>
      <c r="AF317" s="3"/>
    </row>
    <row r="318" spans="1:32" x14ac:dyDescent="0.15">
      <c r="A318" s="3"/>
      <c r="I318" s="3"/>
      <c r="J318" s="3"/>
      <c r="K318" s="3"/>
      <c r="L318" s="139"/>
      <c r="M318" s="3"/>
      <c r="N318" s="3"/>
      <c r="O318" s="3"/>
      <c r="P318" s="3"/>
      <c r="Q318" s="3"/>
      <c r="R318" s="3"/>
      <c r="S318" s="3"/>
      <c r="T318" s="3"/>
      <c r="U318" s="3"/>
      <c r="V318" s="3"/>
      <c r="W318" s="3"/>
      <c r="X318" s="3"/>
      <c r="Y318" s="3"/>
      <c r="Z318" s="3"/>
      <c r="AA318" s="3"/>
      <c r="AB318" s="3"/>
      <c r="AC318" s="3"/>
      <c r="AD318" s="3"/>
      <c r="AE318" s="3"/>
      <c r="AF318" s="3"/>
    </row>
    <row r="319" spans="1:32" x14ac:dyDescent="0.15">
      <c r="A319" s="3"/>
      <c r="I319" s="3"/>
      <c r="J319" s="3"/>
      <c r="K319" s="3"/>
      <c r="L319" s="139"/>
      <c r="M319" s="3"/>
      <c r="N319" s="3"/>
      <c r="O319" s="3"/>
      <c r="P319" s="3"/>
      <c r="Q319" s="3"/>
      <c r="R319" s="3"/>
      <c r="S319" s="3"/>
      <c r="T319" s="3"/>
      <c r="U319" s="3"/>
      <c r="V319" s="3"/>
      <c r="W319" s="3"/>
      <c r="X319" s="3"/>
      <c r="Y319" s="3"/>
      <c r="Z319" s="3"/>
      <c r="AA319" s="3"/>
      <c r="AB319" s="3"/>
      <c r="AC319" s="3"/>
      <c r="AD319" s="3"/>
      <c r="AE319" s="3"/>
      <c r="AF319" s="3"/>
    </row>
    <row r="320" spans="1:32" x14ac:dyDescent="0.15">
      <c r="A320" s="3"/>
      <c r="I320" s="3"/>
      <c r="J320" s="3"/>
      <c r="K320" s="3"/>
      <c r="L320" s="139"/>
      <c r="M320" s="3"/>
      <c r="N320" s="3"/>
      <c r="O320" s="3"/>
      <c r="P320" s="3"/>
      <c r="Q320" s="3"/>
      <c r="R320" s="3"/>
      <c r="S320" s="3"/>
      <c r="T320" s="3"/>
      <c r="U320" s="3"/>
      <c r="V320" s="3"/>
      <c r="W320" s="3"/>
      <c r="X320" s="3"/>
      <c r="Y320" s="3"/>
      <c r="Z320" s="3"/>
      <c r="AA320" s="3"/>
      <c r="AB320" s="3"/>
      <c r="AC320" s="3"/>
      <c r="AD320" s="3"/>
      <c r="AE320" s="3"/>
      <c r="AF320" s="3"/>
    </row>
    <row r="321" spans="1:32" x14ac:dyDescent="0.15">
      <c r="A321" s="3"/>
      <c r="I321" s="3"/>
      <c r="J321" s="3"/>
      <c r="K321" s="3"/>
      <c r="L321" s="139"/>
      <c r="M321" s="3"/>
      <c r="N321" s="3"/>
      <c r="O321" s="3"/>
      <c r="P321" s="3"/>
      <c r="Q321" s="3"/>
      <c r="R321" s="3"/>
      <c r="S321" s="3"/>
      <c r="T321" s="3"/>
      <c r="U321" s="3"/>
      <c r="V321" s="3"/>
      <c r="W321" s="3"/>
      <c r="X321" s="3"/>
      <c r="Y321" s="3"/>
      <c r="Z321" s="3"/>
      <c r="AA321" s="3"/>
      <c r="AB321" s="3"/>
      <c r="AC321" s="3"/>
      <c r="AD321" s="3"/>
      <c r="AE321" s="3"/>
      <c r="AF321" s="3"/>
    </row>
    <row r="322" spans="1:32" x14ac:dyDescent="0.15">
      <c r="A322" s="3"/>
      <c r="I322" s="3"/>
      <c r="J322" s="3"/>
      <c r="K322" s="3"/>
      <c r="L322" s="139"/>
      <c r="M322" s="3"/>
      <c r="N322" s="3"/>
      <c r="O322" s="3"/>
      <c r="P322" s="3"/>
      <c r="Q322" s="3"/>
      <c r="R322" s="3"/>
      <c r="S322" s="3"/>
      <c r="T322" s="3"/>
      <c r="U322" s="3"/>
      <c r="V322" s="3"/>
      <c r="W322" s="3"/>
      <c r="X322" s="3"/>
      <c r="Y322" s="3"/>
      <c r="Z322" s="3"/>
      <c r="AA322" s="3"/>
      <c r="AB322" s="3"/>
      <c r="AC322" s="3"/>
      <c r="AD322" s="3"/>
      <c r="AE322" s="3"/>
      <c r="AF322" s="3"/>
    </row>
    <row r="323" spans="1:32" x14ac:dyDescent="0.15">
      <c r="A323" s="3"/>
      <c r="I323" s="3"/>
      <c r="J323" s="3"/>
      <c r="K323" s="3"/>
      <c r="L323" s="139"/>
      <c r="M323" s="3"/>
      <c r="N323" s="3"/>
      <c r="O323" s="3"/>
      <c r="P323" s="3"/>
      <c r="Q323" s="3"/>
      <c r="R323" s="3"/>
      <c r="S323" s="3"/>
      <c r="T323" s="3"/>
      <c r="U323" s="3"/>
      <c r="V323" s="3"/>
      <c r="W323" s="3"/>
      <c r="X323" s="3"/>
      <c r="Y323" s="3"/>
      <c r="Z323" s="3"/>
      <c r="AA323" s="3"/>
      <c r="AB323" s="3"/>
      <c r="AC323" s="3"/>
      <c r="AD323" s="3"/>
      <c r="AE323" s="3"/>
      <c r="AF323" s="3"/>
    </row>
    <row r="324" spans="1:32" x14ac:dyDescent="0.15">
      <c r="A324" s="3"/>
      <c r="I324" s="3"/>
      <c r="J324" s="3"/>
      <c r="K324" s="3"/>
      <c r="L324" s="139"/>
      <c r="M324" s="3"/>
      <c r="N324" s="3"/>
      <c r="O324" s="3"/>
      <c r="P324" s="3"/>
      <c r="Q324" s="3"/>
      <c r="R324" s="3"/>
      <c r="S324" s="3"/>
      <c r="T324" s="3"/>
      <c r="U324" s="3"/>
      <c r="V324" s="3"/>
      <c r="W324" s="3"/>
      <c r="X324" s="3"/>
      <c r="Y324" s="3"/>
      <c r="Z324" s="3"/>
      <c r="AA324" s="3"/>
      <c r="AB324" s="3"/>
      <c r="AC324" s="3"/>
      <c r="AD324" s="3"/>
      <c r="AE324" s="3"/>
      <c r="AF324" s="3"/>
    </row>
    <row r="325" spans="1:32" x14ac:dyDescent="0.15">
      <c r="A325" s="3"/>
      <c r="I325" s="3"/>
      <c r="J325" s="3"/>
      <c r="K325" s="3"/>
      <c r="L325" s="139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</row>
    <row r="326" spans="1:32" x14ac:dyDescent="0.15">
      <c r="A326" s="3"/>
      <c r="I326" s="3"/>
      <c r="J326" s="3"/>
      <c r="K326" s="3"/>
      <c r="L326" s="139"/>
      <c r="M326" s="3"/>
      <c r="N326" s="3"/>
      <c r="O326" s="3"/>
      <c r="P326" s="3"/>
      <c r="Q326" s="3"/>
      <c r="R326" s="3"/>
      <c r="S326" s="3"/>
      <c r="T326" s="3"/>
      <c r="U326" s="3"/>
      <c r="V326" s="3"/>
      <c r="W326" s="3"/>
      <c r="X326" s="3"/>
      <c r="Y326" s="3"/>
      <c r="Z326" s="3"/>
      <c r="AA326" s="3"/>
      <c r="AB326" s="3"/>
      <c r="AC326" s="3"/>
      <c r="AD326" s="3"/>
      <c r="AE326" s="3"/>
      <c r="AF326" s="3"/>
    </row>
    <row r="327" spans="1:32" x14ac:dyDescent="0.15">
      <c r="A327" s="3"/>
      <c r="I327" s="3"/>
      <c r="J327" s="3"/>
      <c r="K327" s="3"/>
      <c r="L327" s="139"/>
      <c r="M327" s="3"/>
      <c r="N327" s="3"/>
      <c r="O327" s="3"/>
      <c r="P327" s="3"/>
      <c r="Q327" s="3"/>
      <c r="R327" s="3"/>
      <c r="S327" s="3"/>
      <c r="T327" s="3"/>
      <c r="U327" s="3"/>
      <c r="V327" s="3"/>
      <c r="W327" s="3"/>
      <c r="X327" s="3"/>
      <c r="Y327" s="3"/>
      <c r="Z327" s="3"/>
      <c r="AA327" s="3"/>
      <c r="AB327" s="3"/>
      <c r="AC327" s="3"/>
      <c r="AD327" s="3"/>
      <c r="AE327" s="3"/>
      <c r="AF327" s="3"/>
    </row>
    <row r="328" spans="1:32" x14ac:dyDescent="0.15">
      <c r="A328" s="3"/>
      <c r="I328" s="3"/>
      <c r="J328" s="3"/>
      <c r="K328" s="3"/>
      <c r="L328" s="139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  <c r="AA328" s="3"/>
      <c r="AB328" s="3"/>
      <c r="AC328" s="3"/>
      <c r="AD328" s="3"/>
      <c r="AE328" s="3"/>
      <c r="AF328" s="3"/>
    </row>
    <row r="329" spans="1:32" x14ac:dyDescent="0.15">
      <c r="A329" s="3"/>
      <c r="I329" s="3"/>
      <c r="J329" s="3"/>
      <c r="K329" s="3"/>
      <c r="L329" s="139"/>
      <c r="M329" s="3"/>
      <c r="N329" s="3"/>
      <c r="O329" s="3"/>
      <c r="P329" s="3"/>
      <c r="Q329" s="3"/>
      <c r="R329" s="3"/>
      <c r="S329" s="3"/>
      <c r="T329" s="3"/>
      <c r="U329" s="3"/>
      <c r="V329" s="3"/>
      <c r="W329" s="3"/>
      <c r="X329" s="3"/>
      <c r="Y329" s="3"/>
      <c r="Z329" s="3"/>
      <c r="AA329" s="3"/>
      <c r="AB329" s="3"/>
      <c r="AC329" s="3"/>
      <c r="AD329" s="3"/>
      <c r="AE329" s="3"/>
      <c r="AF329" s="3"/>
    </row>
    <row r="330" spans="1:32" x14ac:dyDescent="0.15">
      <c r="A330" s="3"/>
      <c r="I330" s="3"/>
      <c r="J330" s="3"/>
      <c r="K330" s="3"/>
      <c r="L330" s="139"/>
      <c r="M330" s="3"/>
      <c r="N330" s="3"/>
      <c r="O330" s="3"/>
      <c r="P330" s="3"/>
      <c r="Q330" s="3"/>
      <c r="R330" s="3"/>
      <c r="S330" s="3"/>
      <c r="T330" s="3"/>
      <c r="U330" s="3"/>
      <c r="V330" s="3"/>
      <c r="W330" s="3"/>
      <c r="X330" s="3"/>
      <c r="Y330" s="3"/>
      <c r="Z330" s="3"/>
      <c r="AA330" s="3"/>
      <c r="AB330" s="3"/>
      <c r="AC330" s="3"/>
      <c r="AD330" s="3"/>
      <c r="AE330" s="3"/>
      <c r="AF330" s="3"/>
    </row>
    <row r="331" spans="1:32" x14ac:dyDescent="0.15">
      <c r="A331" s="3"/>
      <c r="I331" s="3"/>
      <c r="J331" s="3"/>
      <c r="K331" s="3"/>
      <c r="L331" s="139"/>
      <c r="M331" s="3"/>
      <c r="N331" s="3"/>
      <c r="O331" s="3"/>
      <c r="P331" s="3"/>
      <c r="Q331" s="3"/>
      <c r="R331" s="3"/>
      <c r="S331" s="3"/>
      <c r="T331" s="3"/>
      <c r="U331" s="3"/>
      <c r="V331" s="3"/>
      <c r="W331" s="3"/>
      <c r="X331" s="3"/>
      <c r="Y331" s="3"/>
      <c r="Z331" s="3"/>
      <c r="AA331" s="3"/>
      <c r="AB331" s="3"/>
      <c r="AC331" s="3"/>
      <c r="AD331" s="3"/>
      <c r="AE331" s="3"/>
      <c r="AF331" s="3"/>
    </row>
    <row r="332" spans="1:32" x14ac:dyDescent="0.15">
      <c r="A332" s="3"/>
      <c r="I332" s="3"/>
      <c r="J332" s="3"/>
      <c r="K332" s="3"/>
      <c r="L332" s="139"/>
      <c r="M332" s="3"/>
      <c r="N332" s="3"/>
      <c r="O332" s="3"/>
      <c r="P332" s="3"/>
      <c r="Q332" s="3"/>
      <c r="R332" s="3"/>
      <c r="S332" s="3"/>
      <c r="T332" s="3"/>
      <c r="U332" s="3"/>
      <c r="V332" s="3"/>
      <c r="W332" s="3"/>
      <c r="X332" s="3"/>
      <c r="Y332" s="3"/>
      <c r="Z332" s="3"/>
      <c r="AA332" s="3"/>
      <c r="AB332" s="3"/>
      <c r="AC332" s="3"/>
      <c r="AD332" s="3"/>
      <c r="AE332" s="3"/>
      <c r="AF332" s="3"/>
    </row>
    <row r="333" spans="1:32" x14ac:dyDescent="0.15">
      <c r="A333" s="3"/>
      <c r="I333" s="3"/>
      <c r="J333" s="3"/>
      <c r="K333" s="3"/>
      <c r="L333" s="139"/>
      <c r="M333" s="3"/>
      <c r="N333" s="3"/>
      <c r="O333" s="3"/>
      <c r="P333" s="3"/>
      <c r="Q333" s="3"/>
      <c r="R333" s="3"/>
      <c r="S333" s="3"/>
      <c r="T333" s="3"/>
      <c r="U333" s="3"/>
      <c r="V333" s="3"/>
      <c r="W333" s="3"/>
      <c r="X333" s="3"/>
      <c r="Y333" s="3"/>
      <c r="Z333" s="3"/>
      <c r="AA333" s="3"/>
      <c r="AB333" s="3"/>
      <c r="AC333" s="3"/>
      <c r="AD333" s="3"/>
      <c r="AE333" s="3"/>
      <c r="AF333" s="3"/>
    </row>
    <row r="334" spans="1:32" x14ac:dyDescent="0.15">
      <c r="A334" s="3"/>
      <c r="I334" s="3"/>
      <c r="J334" s="3"/>
      <c r="K334" s="3"/>
      <c r="L334" s="139"/>
      <c r="M334" s="3"/>
      <c r="N334" s="3"/>
      <c r="O334" s="3"/>
      <c r="P334" s="3"/>
      <c r="Q334" s="3"/>
      <c r="R334" s="3"/>
      <c r="S334" s="3"/>
      <c r="T334" s="3"/>
      <c r="U334" s="3"/>
      <c r="V334" s="3"/>
      <c r="W334" s="3"/>
      <c r="X334" s="3"/>
      <c r="Y334" s="3"/>
      <c r="Z334" s="3"/>
      <c r="AA334" s="3"/>
      <c r="AB334" s="3"/>
      <c r="AC334" s="3"/>
      <c r="AD334" s="3"/>
      <c r="AE334" s="3"/>
      <c r="AF334" s="3"/>
    </row>
    <row r="335" spans="1:32" x14ac:dyDescent="0.15">
      <c r="A335" s="3"/>
      <c r="I335" s="3"/>
      <c r="J335" s="3"/>
      <c r="K335" s="3"/>
      <c r="L335" s="139"/>
      <c r="M335" s="3"/>
      <c r="N335" s="3"/>
      <c r="O335" s="3"/>
      <c r="P335" s="3"/>
      <c r="Q335" s="3"/>
      <c r="R335" s="3"/>
      <c r="S335" s="3"/>
      <c r="T335" s="3"/>
      <c r="U335" s="3"/>
      <c r="V335" s="3"/>
      <c r="W335" s="3"/>
      <c r="X335" s="3"/>
      <c r="Y335" s="3"/>
      <c r="Z335" s="3"/>
      <c r="AA335" s="3"/>
      <c r="AB335" s="3"/>
      <c r="AC335" s="3"/>
      <c r="AD335" s="3"/>
      <c r="AE335" s="3"/>
      <c r="AF335" s="3"/>
    </row>
    <row r="336" spans="1:32" x14ac:dyDescent="0.15">
      <c r="A336" s="3"/>
      <c r="I336" s="3"/>
      <c r="J336" s="3"/>
      <c r="K336" s="3"/>
      <c r="L336" s="139"/>
      <c r="M336" s="3"/>
      <c r="N336" s="3"/>
      <c r="O336" s="3"/>
      <c r="P336" s="3"/>
      <c r="Q336" s="3"/>
      <c r="R336" s="3"/>
      <c r="S336" s="3"/>
      <c r="T336" s="3"/>
      <c r="U336" s="3"/>
      <c r="V336" s="3"/>
      <c r="W336" s="3"/>
      <c r="X336" s="3"/>
      <c r="Y336" s="3"/>
      <c r="Z336" s="3"/>
      <c r="AA336" s="3"/>
      <c r="AB336" s="3"/>
      <c r="AC336" s="3"/>
      <c r="AD336" s="3"/>
      <c r="AE336" s="3"/>
      <c r="AF336" s="3"/>
    </row>
    <row r="337" spans="1:32" x14ac:dyDescent="0.15">
      <c r="A337" s="3"/>
      <c r="I337" s="3"/>
      <c r="J337" s="3"/>
      <c r="K337" s="3"/>
      <c r="L337" s="139"/>
      <c r="M337" s="3"/>
      <c r="N337" s="3"/>
      <c r="O337" s="3"/>
      <c r="P337" s="3"/>
      <c r="Q337" s="3"/>
      <c r="R337" s="3"/>
      <c r="S337" s="3"/>
      <c r="T337" s="3"/>
      <c r="U337" s="3"/>
      <c r="V337" s="3"/>
      <c r="W337" s="3"/>
      <c r="X337" s="3"/>
      <c r="Y337" s="3"/>
      <c r="Z337" s="3"/>
      <c r="AA337" s="3"/>
      <c r="AB337" s="3"/>
      <c r="AC337" s="3"/>
      <c r="AD337" s="3"/>
      <c r="AE337" s="3"/>
      <c r="AF337" s="3"/>
    </row>
    <row r="338" spans="1:32" x14ac:dyDescent="0.15">
      <c r="A338" s="3"/>
      <c r="I338" s="3"/>
      <c r="J338" s="3"/>
      <c r="K338" s="3"/>
      <c r="L338" s="139"/>
      <c r="M338" s="3"/>
      <c r="N338" s="3"/>
      <c r="O338" s="3"/>
      <c r="P338" s="3"/>
      <c r="Q338" s="3"/>
      <c r="R338" s="3"/>
      <c r="S338" s="3"/>
      <c r="T338" s="3"/>
      <c r="U338" s="3"/>
      <c r="V338" s="3"/>
      <c r="W338" s="3"/>
      <c r="X338" s="3"/>
      <c r="Y338" s="3"/>
      <c r="Z338" s="3"/>
      <c r="AA338" s="3"/>
      <c r="AB338" s="3"/>
      <c r="AC338" s="3"/>
      <c r="AD338" s="3"/>
      <c r="AE338" s="3"/>
      <c r="AF338" s="3"/>
    </row>
    <row r="339" spans="1:32" x14ac:dyDescent="0.15">
      <c r="A339" s="3"/>
      <c r="I339" s="3"/>
      <c r="J339" s="3"/>
      <c r="K339" s="3"/>
      <c r="L339" s="139"/>
      <c r="M339" s="3"/>
      <c r="N339" s="3"/>
      <c r="O339" s="3"/>
      <c r="P339" s="3"/>
      <c r="Q339" s="3"/>
      <c r="R339" s="3"/>
      <c r="S339" s="3"/>
      <c r="T339" s="3"/>
      <c r="U339" s="3"/>
      <c r="V339" s="3"/>
      <c r="W339" s="3"/>
      <c r="X339" s="3"/>
      <c r="Y339" s="3"/>
      <c r="Z339" s="3"/>
      <c r="AA339" s="3"/>
      <c r="AB339" s="3"/>
      <c r="AC339" s="3"/>
      <c r="AD339" s="3"/>
      <c r="AE339" s="3"/>
      <c r="AF339" s="3"/>
    </row>
    <row r="340" spans="1:32" x14ac:dyDescent="0.15">
      <c r="A340" s="3"/>
      <c r="I340" s="3"/>
      <c r="J340" s="3"/>
      <c r="K340" s="3"/>
      <c r="L340" s="139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</row>
    <row r="341" spans="1:32" x14ac:dyDescent="0.15">
      <c r="A341" s="3"/>
      <c r="I341" s="3"/>
      <c r="J341" s="3"/>
      <c r="K341" s="3"/>
      <c r="L341" s="139"/>
      <c r="M341" s="3"/>
      <c r="N341" s="3"/>
      <c r="O341" s="3"/>
      <c r="P341" s="3"/>
      <c r="Q341" s="3"/>
      <c r="R341" s="3"/>
      <c r="S341" s="3"/>
      <c r="T341" s="3"/>
      <c r="U341" s="3"/>
      <c r="V341" s="3"/>
      <c r="W341" s="3"/>
      <c r="X341" s="3"/>
      <c r="Y341" s="3"/>
      <c r="Z341" s="3"/>
      <c r="AA341" s="3"/>
      <c r="AB341" s="3"/>
      <c r="AC341" s="3"/>
      <c r="AD341" s="3"/>
      <c r="AE341" s="3"/>
      <c r="AF341" s="3"/>
    </row>
    <row r="342" spans="1:32" x14ac:dyDescent="0.15">
      <c r="A342" s="3"/>
      <c r="I342" s="3"/>
      <c r="J342" s="3"/>
      <c r="K342" s="3"/>
      <c r="L342" s="139"/>
      <c r="M342" s="3"/>
      <c r="N342" s="3"/>
      <c r="O342" s="3"/>
      <c r="P342" s="3"/>
      <c r="Q342" s="3"/>
      <c r="R342" s="3"/>
      <c r="S342" s="3"/>
      <c r="T342" s="3"/>
      <c r="U342" s="3"/>
      <c r="V342" s="3"/>
      <c r="W342" s="3"/>
      <c r="X342" s="3"/>
      <c r="Y342" s="3"/>
      <c r="Z342" s="3"/>
      <c r="AA342" s="3"/>
      <c r="AB342" s="3"/>
      <c r="AC342" s="3"/>
      <c r="AD342" s="3"/>
      <c r="AE342" s="3"/>
      <c r="AF342" s="3"/>
    </row>
    <row r="343" spans="1:32" x14ac:dyDescent="0.15">
      <c r="A343" s="3"/>
      <c r="I343" s="3"/>
      <c r="J343" s="3"/>
      <c r="K343" s="3"/>
      <c r="L343" s="139"/>
      <c r="M343" s="3"/>
      <c r="N343" s="3"/>
      <c r="O343" s="3"/>
      <c r="P343" s="3"/>
      <c r="Q343" s="3"/>
      <c r="R343" s="3"/>
      <c r="S343" s="3"/>
      <c r="T343" s="3"/>
      <c r="U343" s="3"/>
      <c r="V343" s="3"/>
      <c r="W343" s="3"/>
      <c r="X343" s="3"/>
      <c r="Y343" s="3"/>
      <c r="Z343" s="3"/>
      <c r="AA343" s="3"/>
      <c r="AB343" s="3"/>
      <c r="AC343" s="3"/>
      <c r="AD343" s="3"/>
      <c r="AE343" s="3"/>
      <c r="AF343" s="3"/>
    </row>
    <row r="344" spans="1:32" x14ac:dyDescent="0.15">
      <c r="A344" s="3"/>
      <c r="I344" s="3"/>
      <c r="J344" s="3"/>
      <c r="K344" s="3"/>
      <c r="L344" s="139"/>
      <c r="M344" s="3"/>
      <c r="N344" s="3"/>
      <c r="O344" s="3"/>
      <c r="P344" s="3"/>
      <c r="Q344" s="3"/>
      <c r="R344" s="3"/>
      <c r="S344" s="3"/>
      <c r="T344" s="3"/>
      <c r="U344" s="3"/>
      <c r="V344" s="3"/>
      <c r="W344" s="3"/>
      <c r="X344" s="3"/>
      <c r="Y344" s="3"/>
      <c r="Z344" s="3"/>
      <c r="AA344" s="3"/>
      <c r="AB344" s="3"/>
      <c r="AC344" s="3"/>
      <c r="AD344" s="3"/>
      <c r="AE344" s="3"/>
      <c r="AF344" s="3"/>
    </row>
    <row r="345" spans="1:32" x14ac:dyDescent="0.15">
      <c r="A345" s="3"/>
      <c r="I345" s="3"/>
      <c r="J345" s="3"/>
      <c r="K345" s="3"/>
      <c r="L345" s="139"/>
      <c r="M345" s="3"/>
      <c r="N345" s="3"/>
      <c r="O345" s="3"/>
      <c r="P345" s="3"/>
      <c r="Q345" s="3"/>
      <c r="R345" s="3"/>
      <c r="S345" s="3"/>
      <c r="T345" s="3"/>
      <c r="U345" s="3"/>
      <c r="V345" s="3"/>
      <c r="W345" s="3"/>
      <c r="X345" s="3"/>
      <c r="Y345" s="3"/>
      <c r="Z345" s="3"/>
      <c r="AA345" s="3"/>
      <c r="AB345" s="3"/>
      <c r="AC345" s="3"/>
      <c r="AD345" s="3"/>
      <c r="AE345" s="3"/>
      <c r="AF345" s="3"/>
    </row>
    <row r="346" spans="1:32" x14ac:dyDescent="0.15">
      <c r="A346" s="3"/>
      <c r="I346" s="3"/>
      <c r="J346" s="3"/>
      <c r="K346" s="3"/>
      <c r="L346" s="139"/>
      <c r="M346" s="3"/>
      <c r="N346" s="3"/>
      <c r="O346" s="3"/>
      <c r="P346" s="3"/>
      <c r="Q346" s="3"/>
      <c r="R346" s="3"/>
      <c r="S346" s="3"/>
      <c r="T346" s="3"/>
      <c r="U346" s="3"/>
      <c r="V346" s="3"/>
      <c r="W346" s="3"/>
      <c r="X346" s="3"/>
      <c r="Y346" s="3"/>
      <c r="Z346" s="3"/>
      <c r="AA346" s="3"/>
      <c r="AB346" s="3"/>
      <c r="AC346" s="3"/>
      <c r="AD346" s="3"/>
      <c r="AE346" s="3"/>
      <c r="AF346" s="3"/>
    </row>
    <row r="347" spans="1:32" x14ac:dyDescent="0.15">
      <c r="A347" s="3"/>
      <c r="I347" s="3"/>
      <c r="J347" s="3"/>
      <c r="K347" s="3"/>
      <c r="L347" s="139"/>
      <c r="M347" s="3"/>
      <c r="N347" s="3"/>
      <c r="O347" s="3"/>
      <c r="P347" s="3"/>
      <c r="Q347" s="3"/>
      <c r="R347" s="3"/>
      <c r="S347" s="3"/>
      <c r="T347" s="3"/>
      <c r="U347" s="3"/>
      <c r="V347" s="3"/>
      <c r="W347" s="3"/>
      <c r="X347" s="3"/>
      <c r="Y347" s="3"/>
      <c r="Z347" s="3"/>
      <c r="AA347" s="3"/>
      <c r="AB347" s="3"/>
      <c r="AC347" s="3"/>
      <c r="AD347" s="3"/>
      <c r="AE347" s="3"/>
      <c r="AF347" s="3"/>
    </row>
    <row r="348" spans="1:32" x14ac:dyDescent="0.15">
      <c r="A348" s="3"/>
      <c r="I348" s="3"/>
      <c r="J348" s="3"/>
      <c r="K348" s="3"/>
      <c r="L348" s="139"/>
      <c r="M348" s="3"/>
      <c r="N348" s="3"/>
      <c r="O348" s="3"/>
      <c r="P348" s="3"/>
      <c r="Q348" s="3"/>
      <c r="R348" s="3"/>
      <c r="S348" s="3"/>
      <c r="T348" s="3"/>
      <c r="U348" s="3"/>
      <c r="V348" s="3"/>
      <c r="W348" s="3"/>
      <c r="X348" s="3"/>
      <c r="Y348" s="3"/>
      <c r="Z348" s="3"/>
      <c r="AA348" s="3"/>
      <c r="AB348" s="3"/>
      <c r="AC348" s="3"/>
      <c r="AD348" s="3"/>
      <c r="AE348" s="3"/>
      <c r="AF348" s="3"/>
    </row>
    <row r="349" spans="1:32" x14ac:dyDescent="0.15">
      <c r="A349" s="3"/>
      <c r="I349" s="3"/>
      <c r="J349" s="3"/>
      <c r="K349" s="3"/>
      <c r="L349" s="139"/>
      <c r="M349" s="3"/>
      <c r="N349" s="3"/>
      <c r="O349" s="3"/>
      <c r="P349" s="3"/>
      <c r="Q349" s="3"/>
      <c r="R349" s="3"/>
      <c r="S349" s="3"/>
      <c r="T349" s="3"/>
      <c r="U349" s="3"/>
      <c r="V349" s="3"/>
      <c r="W349" s="3"/>
      <c r="X349" s="3"/>
      <c r="Y349" s="3"/>
      <c r="Z349" s="3"/>
      <c r="AA349" s="3"/>
      <c r="AB349" s="3"/>
      <c r="AC349" s="3"/>
      <c r="AD349" s="3"/>
      <c r="AE349" s="3"/>
      <c r="AF349" s="3"/>
    </row>
    <row r="350" spans="1:32" x14ac:dyDescent="0.15">
      <c r="A350" s="3"/>
      <c r="I350" s="3"/>
      <c r="J350" s="3"/>
      <c r="K350" s="3"/>
      <c r="L350" s="139"/>
      <c r="M350" s="3"/>
      <c r="N350" s="3"/>
      <c r="O350" s="3"/>
      <c r="P350" s="3"/>
      <c r="Q350" s="3"/>
      <c r="R350" s="3"/>
      <c r="S350" s="3"/>
      <c r="T350" s="3"/>
      <c r="U350" s="3"/>
      <c r="V350" s="3"/>
      <c r="W350" s="3"/>
      <c r="X350" s="3"/>
      <c r="Y350" s="3"/>
      <c r="Z350" s="3"/>
      <c r="AA350" s="3"/>
      <c r="AB350" s="3"/>
      <c r="AC350" s="3"/>
      <c r="AD350" s="3"/>
      <c r="AE350" s="3"/>
      <c r="AF350" s="3"/>
    </row>
    <row r="351" spans="1:32" x14ac:dyDescent="0.15">
      <c r="A351" s="3"/>
      <c r="I351" s="3"/>
      <c r="J351" s="3"/>
      <c r="K351" s="3"/>
      <c r="L351" s="139"/>
      <c r="M351" s="3"/>
      <c r="N351" s="3"/>
      <c r="O351" s="3"/>
      <c r="P351" s="3"/>
      <c r="Q351" s="3"/>
      <c r="R351" s="3"/>
      <c r="S351" s="3"/>
      <c r="T351" s="3"/>
      <c r="U351" s="3"/>
      <c r="V351" s="3"/>
      <c r="W351" s="3"/>
      <c r="X351" s="3"/>
      <c r="Y351" s="3"/>
      <c r="Z351" s="3"/>
      <c r="AA351" s="3"/>
      <c r="AB351" s="3"/>
      <c r="AC351" s="3"/>
      <c r="AD351" s="3"/>
      <c r="AE351" s="3"/>
      <c r="AF351" s="3"/>
    </row>
    <row r="352" spans="1:32" x14ac:dyDescent="0.15">
      <c r="A352" s="3"/>
      <c r="I352" s="3"/>
      <c r="J352" s="3"/>
      <c r="K352" s="3"/>
      <c r="L352" s="139"/>
      <c r="M352" s="3"/>
      <c r="N352" s="3"/>
      <c r="O352" s="3"/>
      <c r="P352" s="3"/>
      <c r="Q352" s="3"/>
      <c r="R352" s="3"/>
      <c r="S352" s="3"/>
      <c r="T352" s="3"/>
      <c r="U352" s="3"/>
      <c r="V352" s="3"/>
      <c r="W352" s="3"/>
      <c r="X352" s="3"/>
      <c r="Y352" s="3"/>
      <c r="Z352" s="3"/>
      <c r="AA352" s="3"/>
      <c r="AB352" s="3"/>
      <c r="AC352" s="3"/>
      <c r="AD352" s="3"/>
      <c r="AE352" s="3"/>
      <c r="AF352" s="3"/>
    </row>
    <row r="353" spans="1:32" x14ac:dyDescent="0.15">
      <c r="A353" s="3"/>
      <c r="I353" s="3"/>
      <c r="J353" s="3"/>
      <c r="K353" s="3"/>
      <c r="L353" s="139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</row>
    <row r="354" spans="1:32" x14ac:dyDescent="0.15">
      <c r="A354" s="3"/>
      <c r="I354" s="3"/>
      <c r="J354" s="3"/>
      <c r="K354" s="3"/>
      <c r="L354" s="139"/>
      <c r="M354" s="3"/>
      <c r="N354" s="3"/>
      <c r="O354" s="3"/>
      <c r="P354" s="3"/>
      <c r="Q354" s="3"/>
      <c r="R354" s="3"/>
      <c r="S354" s="3"/>
      <c r="T354" s="3"/>
      <c r="U354" s="3"/>
      <c r="V354" s="3"/>
      <c r="W354" s="3"/>
      <c r="X354" s="3"/>
      <c r="Y354" s="3"/>
      <c r="Z354" s="3"/>
      <c r="AA354" s="3"/>
      <c r="AB354" s="3"/>
      <c r="AC354" s="3"/>
      <c r="AD354" s="3"/>
      <c r="AE354" s="3"/>
      <c r="AF354" s="3"/>
    </row>
    <row r="355" spans="1:32" x14ac:dyDescent="0.15">
      <c r="A355" s="3"/>
      <c r="I355" s="3"/>
      <c r="J355" s="3"/>
      <c r="K355" s="3"/>
      <c r="L355" s="139"/>
      <c r="M355" s="3"/>
      <c r="N355" s="3"/>
      <c r="O355" s="3"/>
      <c r="P355" s="3"/>
      <c r="Q355" s="3"/>
      <c r="R355" s="3"/>
      <c r="S355" s="3"/>
      <c r="T355" s="3"/>
      <c r="U355" s="3"/>
      <c r="V355" s="3"/>
      <c r="W355" s="3"/>
      <c r="X355" s="3"/>
      <c r="Y355" s="3"/>
      <c r="Z355" s="3"/>
      <c r="AA355" s="3"/>
      <c r="AB355" s="3"/>
      <c r="AC355" s="3"/>
      <c r="AD355" s="3"/>
      <c r="AE355" s="3"/>
      <c r="AF355" s="3"/>
    </row>
    <row r="356" spans="1:32" x14ac:dyDescent="0.15">
      <c r="A356" s="3"/>
      <c r="I356" s="3"/>
      <c r="J356" s="3"/>
      <c r="K356" s="3"/>
      <c r="L356" s="139"/>
      <c r="M356" s="3"/>
      <c r="N356" s="3"/>
      <c r="O356" s="3"/>
      <c r="P356" s="3"/>
      <c r="Q356" s="3"/>
      <c r="R356" s="3"/>
      <c r="S356" s="3"/>
      <c r="T356" s="3"/>
      <c r="U356" s="3"/>
      <c r="V356" s="3"/>
      <c r="W356" s="3"/>
      <c r="X356" s="3"/>
      <c r="Y356" s="3"/>
      <c r="Z356" s="3"/>
      <c r="AA356" s="3"/>
      <c r="AB356" s="3"/>
      <c r="AC356" s="3"/>
      <c r="AD356" s="3"/>
      <c r="AE356" s="3"/>
      <c r="AF356" s="3"/>
    </row>
    <row r="357" spans="1:32" x14ac:dyDescent="0.15">
      <c r="A357" s="3"/>
      <c r="I357" s="3"/>
      <c r="J357" s="3"/>
      <c r="K357" s="3"/>
      <c r="L357" s="139"/>
      <c r="M357" s="3"/>
      <c r="N357" s="3"/>
      <c r="O357" s="3"/>
      <c r="P357" s="3"/>
      <c r="Q357" s="3"/>
      <c r="R357" s="3"/>
      <c r="S357" s="3"/>
      <c r="T357" s="3"/>
      <c r="U357" s="3"/>
      <c r="V357" s="3"/>
      <c r="W357" s="3"/>
      <c r="X357" s="3"/>
      <c r="Y357" s="3"/>
      <c r="Z357" s="3"/>
      <c r="AA357" s="3"/>
      <c r="AB357" s="3"/>
      <c r="AC357" s="3"/>
      <c r="AD357" s="3"/>
      <c r="AE357" s="3"/>
      <c r="AF357" s="3"/>
    </row>
    <row r="358" spans="1:32" x14ac:dyDescent="0.15">
      <c r="A358" s="3"/>
      <c r="I358" s="3"/>
      <c r="J358" s="3"/>
      <c r="K358" s="3"/>
      <c r="L358" s="139"/>
      <c r="M358" s="3"/>
      <c r="N358" s="3"/>
      <c r="O358" s="3"/>
      <c r="P358" s="3"/>
      <c r="Q358" s="3"/>
      <c r="R358" s="3"/>
      <c r="S358" s="3"/>
      <c r="T358" s="3"/>
      <c r="U358" s="3"/>
      <c r="V358" s="3"/>
      <c r="W358" s="3"/>
      <c r="X358" s="3"/>
      <c r="Y358" s="3"/>
      <c r="Z358" s="3"/>
      <c r="AA358" s="3"/>
      <c r="AB358" s="3"/>
      <c r="AC358" s="3"/>
      <c r="AD358" s="3"/>
      <c r="AE358" s="3"/>
      <c r="AF358" s="3"/>
    </row>
    <row r="359" spans="1:32" x14ac:dyDescent="0.15">
      <c r="A359" s="3"/>
      <c r="I359" s="3"/>
      <c r="J359" s="3"/>
      <c r="K359" s="3"/>
      <c r="L359" s="139"/>
      <c r="M359" s="3"/>
      <c r="N359" s="3"/>
      <c r="O359" s="3"/>
      <c r="P359" s="3"/>
      <c r="Q359" s="3"/>
      <c r="R359" s="3"/>
      <c r="S359" s="3"/>
      <c r="T359" s="3"/>
      <c r="U359" s="3"/>
      <c r="V359" s="3"/>
      <c r="W359" s="3"/>
      <c r="X359" s="3"/>
      <c r="Y359" s="3"/>
      <c r="Z359" s="3"/>
      <c r="AA359" s="3"/>
      <c r="AB359" s="3"/>
      <c r="AC359" s="3"/>
      <c r="AD359" s="3"/>
      <c r="AE359" s="3"/>
      <c r="AF359" s="3"/>
    </row>
    <row r="360" spans="1:32" x14ac:dyDescent="0.15">
      <c r="A360" s="3"/>
      <c r="I360" s="3"/>
      <c r="J360" s="3"/>
      <c r="K360" s="3"/>
      <c r="L360" s="139"/>
      <c r="M360" s="3"/>
      <c r="N360" s="3"/>
      <c r="O360" s="3"/>
      <c r="P360" s="3"/>
      <c r="Q360" s="3"/>
      <c r="R360" s="3"/>
      <c r="S360" s="3"/>
      <c r="T360" s="3"/>
      <c r="U360" s="3"/>
      <c r="V360" s="3"/>
      <c r="W360" s="3"/>
      <c r="X360" s="3"/>
      <c r="Y360" s="3"/>
      <c r="Z360" s="3"/>
      <c r="AA360" s="3"/>
      <c r="AB360" s="3"/>
      <c r="AC360" s="3"/>
      <c r="AD360" s="3"/>
      <c r="AE360" s="3"/>
      <c r="AF360" s="3"/>
    </row>
    <row r="361" spans="1:32" x14ac:dyDescent="0.15">
      <c r="A361" s="3"/>
      <c r="I361" s="3"/>
      <c r="J361" s="3"/>
      <c r="K361" s="3"/>
      <c r="L361" s="139"/>
      <c r="M361" s="3"/>
      <c r="N361" s="3"/>
      <c r="O361" s="3"/>
      <c r="P361" s="3"/>
      <c r="Q361" s="3"/>
      <c r="R361" s="3"/>
      <c r="S361" s="3"/>
      <c r="T361" s="3"/>
      <c r="U361" s="3"/>
      <c r="V361" s="3"/>
      <c r="W361" s="3"/>
      <c r="X361" s="3"/>
      <c r="Y361" s="3"/>
      <c r="Z361" s="3"/>
      <c r="AA361" s="3"/>
      <c r="AB361" s="3"/>
      <c r="AC361" s="3"/>
      <c r="AD361" s="3"/>
      <c r="AE361" s="3"/>
      <c r="AF361" s="3"/>
    </row>
    <row r="362" spans="1:32" x14ac:dyDescent="0.15">
      <c r="A362" s="3"/>
      <c r="I362" s="3"/>
      <c r="J362" s="3"/>
      <c r="K362" s="3"/>
      <c r="L362" s="139"/>
      <c r="M362" s="3"/>
      <c r="N362" s="3"/>
      <c r="O362" s="3"/>
      <c r="P362" s="3"/>
      <c r="Q362" s="3"/>
      <c r="R362" s="3"/>
      <c r="S362" s="3"/>
      <c r="T362" s="3"/>
      <c r="U362" s="3"/>
      <c r="V362" s="3"/>
      <c r="W362" s="3"/>
      <c r="X362" s="3"/>
      <c r="Y362" s="3"/>
      <c r="Z362" s="3"/>
      <c r="AA362" s="3"/>
      <c r="AB362" s="3"/>
      <c r="AC362" s="3"/>
      <c r="AD362" s="3"/>
      <c r="AE362" s="3"/>
      <c r="AF362" s="3"/>
    </row>
    <row r="363" spans="1:32" x14ac:dyDescent="0.15">
      <c r="A363" s="3"/>
      <c r="I363" s="3"/>
      <c r="J363" s="3"/>
      <c r="K363" s="3"/>
      <c r="L363" s="139"/>
      <c r="M363" s="3"/>
      <c r="N363" s="3"/>
      <c r="O363" s="3"/>
      <c r="P363" s="3"/>
      <c r="Q363" s="3"/>
      <c r="R363" s="3"/>
      <c r="S363" s="3"/>
      <c r="T363" s="3"/>
      <c r="U363" s="3"/>
      <c r="V363" s="3"/>
      <c r="W363" s="3"/>
      <c r="X363" s="3"/>
      <c r="Y363" s="3"/>
      <c r="Z363" s="3"/>
      <c r="AA363" s="3"/>
      <c r="AB363" s="3"/>
      <c r="AC363" s="3"/>
      <c r="AD363" s="3"/>
      <c r="AE363" s="3"/>
      <c r="AF363" s="3"/>
    </row>
    <row r="364" spans="1:32" x14ac:dyDescent="0.15">
      <c r="A364" s="3"/>
      <c r="I364" s="3"/>
      <c r="J364" s="3"/>
      <c r="K364" s="3"/>
      <c r="L364" s="139"/>
      <c r="M364" s="3"/>
      <c r="N364" s="3"/>
      <c r="O364" s="3"/>
      <c r="P364" s="3"/>
      <c r="Q364" s="3"/>
      <c r="R364" s="3"/>
      <c r="S364" s="3"/>
      <c r="T364" s="3"/>
      <c r="U364" s="3"/>
      <c r="V364" s="3"/>
      <c r="W364" s="3"/>
      <c r="X364" s="3"/>
      <c r="Y364" s="3"/>
      <c r="Z364" s="3"/>
      <c r="AA364" s="3"/>
      <c r="AB364" s="3"/>
      <c r="AC364" s="3"/>
      <c r="AD364" s="3"/>
      <c r="AE364" s="3"/>
      <c r="AF364" s="3"/>
    </row>
    <row r="365" spans="1:32" x14ac:dyDescent="0.15">
      <c r="A365" s="3"/>
      <c r="I365" s="3"/>
      <c r="J365" s="3"/>
      <c r="K365" s="3"/>
      <c r="L365" s="139"/>
      <c r="M365" s="3"/>
      <c r="N365" s="3"/>
      <c r="O365" s="3"/>
      <c r="P365" s="3"/>
      <c r="Q365" s="3"/>
      <c r="R365" s="3"/>
      <c r="S365" s="3"/>
      <c r="T365" s="3"/>
      <c r="U365" s="3"/>
      <c r="V365" s="3"/>
      <c r="W365" s="3"/>
      <c r="X365" s="3"/>
      <c r="Y365" s="3"/>
      <c r="Z365" s="3"/>
      <c r="AA365" s="3"/>
      <c r="AB365" s="3"/>
      <c r="AC365" s="3"/>
      <c r="AD365" s="3"/>
      <c r="AE365" s="3"/>
      <c r="AF365" s="3"/>
    </row>
    <row r="366" spans="1:32" x14ac:dyDescent="0.15">
      <c r="A366" s="3"/>
      <c r="I366" s="3"/>
      <c r="J366" s="3"/>
      <c r="K366" s="3"/>
      <c r="L366" s="139"/>
      <c r="M366" s="3"/>
      <c r="N366" s="3"/>
      <c r="O366" s="3"/>
      <c r="P366" s="3"/>
      <c r="Q366" s="3"/>
      <c r="R366" s="3"/>
      <c r="S366" s="3"/>
      <c r="T366" s="3"/>
      <c r="U366" s="3"/>
      <c r="V366" s="3"/>
      <c r="W366" s="3"/>
      <c r="X366" s="3"/>
      <c r="Y366" s="3"/>
      <c r="Z366" s="3"/>
      <c r="AA366" s="3"/>
      <c r="AB366" s="3"/>
      <c r="AC366" s="3"/>
      <c r="AD366" s="3"/>
      <c r="AE366" s="3"/>
      <c r="AF366" s="3"/>
    </row>
    <row r="367" spans="1:32" x14ac:dyDescent="0.15">
      <c r="A367" s="3"/>
      <c r="I367" s="3"/>
      <c r="J367" s="3"/>
      <c r="K367" s="3"/>
      <c r="L367" s="139"/>
      <c r="M367" s="3"/>
      <c r="N367" s="3"/>
      <c r="O367" s="3"/>
      <c r="P367" s="3"/>
      <c r="Q367" s="3"/>
      <c r="R367" s="3"/>
      <c r="S367" s="3"/>
      <c r="T367" s="3"/>
      <c r="U367" s="3"/>
      <c r="V367" s="3"/>
      <c r="W367" s="3"/>
      <c r="X367" s="3"/>
      <c r="Y367" s="3"/>
      <c r="Z367" s="3"/>
      <c r="AA367" s="3"/>
      <c r="AB367" s="3"/>
      <c r="AC367" s="3"/>
      <c r="AD367" s="3"/>
      <c r="AE367" s="3"/>
      <c r="AF367" s="3"/>
    </row>
    <row r="368" spans="1:32" x14ac:dyDescent="0.15">
      <c r="A368" s="3"/>
      <c r="I368" s="3"/>
      <c r="J368" s="3"/>
      <c r="K368" s="3"/>
      <c r="L368" s="139"/>
      <c r="M368" s="3"/>
      <c r="N368" s="3"/>
      <c r="O368" s="3"/>
      <c r="P368" s="3"/>
      <c r="Q368" s="3"/>
      <c r="R368" s="3"/>
      <c r="S368" s="3"/>
      <c r="T368" s="3"/>
      <c r="U368" s="3"/>
      <c r="V368" s="3"/>
      <c r="W368" s="3"/>
      <c r="X368" s="3"/>
      <c r="Y368" s="3"/>
      <c r="Z368" s="3"/>
      <c r="AA368" s="3"/>
      <c r="AB368" s="3"/>
      <c r="AC368" s="3"/>
      <c r="AD368" s="3"/>
      <c r="AE368" s="3"/>
      <c r="AF368" s="3"/>
    </row>
    <row r="369" spans="1:32" x14ac:dyDescent="0.15">
      <c r="A369" s="3"/>
      <c r="I369" s="3"/>
      <c r="J369" s="3"/>
      <c r="K369" s="3"/>
      <c r="L369" s="139"/>
      <c r="M369" s="3"/>
      <c r="N369" s="3"/>
      <c r="O369" s="3"/>
      <c r="P369" s="3"/>
      <c r="Q369" s="3"/>
      <c r="R369" s="3"/>
      <c r="S369" s="3"/>
      <c r="T369" s="3"/>
      <c r="U369" s="3"/>
      <c r="V369" s="3"/>
      <c r="W369" s="3"/>
      <c r="X369" s="3"/>
      <c r="Y369" s="3"/>
      <c r="Z369" s="3"/>
      <c r="AA369" s="3"/>
      <c r="AB369" s="3"/>
      <c r="AC369" s="3"/>
      <c r="AD369" s="3"/>
      <c r="AE369" s="3"/>
      <c r="AF369" s="3"/>
    </row>
    <row r="370" spans="1:32" x14ac:dyDescent="0.15">
      <c r="A370" s="3"/>
      <c r="I370" s="3"/>
      <c r="J370" s="3"/>
      <c r="K370" s="3"/>
      <c r="L370" s="139"/>
      <c r="M370" s="3"/>
      <c r="N370" s="3"/>
      <c r="O370" s="3"/>
      <c r="P370" s="3"/>
      <c r="Q370" s="3"/>
      <c r="R370" s="3"/>
      <c r="S370" s="3"/>
      <c r="T370" s="3"/>
      <c r="U370" s="3"/>
      <c r="V370" s="3"/>
      <c r="W370" s="3"/>
      <c r="X370" s="3"/>
      <c r="Y370" s="3"/>
      <c r="Z370" s="3"/>
      <c r="AA370" s="3"/>
      <c r="AB370" s="3"/>
      <c r="AC370" s="3"/>
      <c r="AD370" s="3"/>
      <c r="AE370" s="3"/>
      <c r="AF370" s="3"/>
    </row>
    <row r="371" spans="1:32" x14ac:dyDescent="0.15">
      <c r="A371" s="3"/>
      <c r="I371" s="3"/>
      <c r="J371" s="3"/>
      <c r="K371" s="3"/>
      <c r="L371" s="139"/>
      <c r="M371" s="3"/>
      <c r="N371" s="3"/>
      <c r="O371" s="3"/>
      <c r="P371" s="3"/>
      <c r="Q371" s="3"/>
      <c r="R371" s="3"/>
      <c r="S371" s="3"/>
      <c r="T371" s="3"/>
      <c r="U371" s="3"/>
      <c r="V371" s="3"/>
      <c r="W371" s="3"/>
      <c r="X371" s="3"/>
      <c r="Y371" s="3"/>
      <c r="Z371" s="3"/>
      <c r="AA371" s="3"/>
      <c r="AB371" s="3"/>
      <c r="AC371" s="3"/>
      <c r="AD371" s="3"/>
      <c r="AE371" s="3"/>
      <c r="AF371" s="3"/>
    </row>
    <row r="372" spans="1:32" x14ac:dyDescent="0.15">
      <c r="A372" s="3"/>
      <c r="I372" s="3"/>
      <c r="J372" s="3"/>
      <c r="K372" s="3"/>
      <c r="L372" s="139"/>
      <c r="M372" s="3"/>
      <c r="N372" s="3"/>
      <c r="O372" s="3"/>
      <c r="P372" s="3"/>
      <c r="Q372" s="3"/>
      <c r="R372" s="3"/>
      <c r="S372" s="3"/>
      <c r="T372" s="3"/>
      <c r="U372" s="3"/>
      <c r="V372" s="3"/>
      <c r="W372" s="3"/>
      <c r="X372" s="3"/>
      <c r="Y372" s="3"/>
      <c r="Z372" s="3"/>
      <c r="AA372" s="3"/>
      <c r="AB372" s="3"/>
      <c r="AC372" s="3"/>
      <c r="AD372" s="3"/>
      <c r="AE372" s="3"/>
      <c r="AF372" s="3"/>
    </row>
    <row r="373" spans="1:32" x14ac:dyDescent="0.15">
      <c r="A373" s="3"/>
      <c r="I373" s="3"/>
      <c r="J373" s="3"/>
      <c r="K373" s="3"/>
      <c r="L373" s="139"/>
      <c r="M373" s="3"/>
      <c r="N373" s="3"/>
      <c r="O373" s="3"/>
      <c r="P373" s="3"/>
      <c r="Q373" s="3"/>
      <c r="R373" s="3"/>
      <c r="S373" s="3"/>
      <c r="T373" s="3"/>
      <c r="U373" s="3"/>
      <c r="V373" s="3"/>
      <c r="W373" s="3"/>
      <c r="X373" s="3"/>
      <c r="Y373" s="3"/>
      <c r="Z373" s="3"/>
      <c r="AA373" s="3"/>
      <c r="AB373" s="3"/>
      <c r="AC373" s="3"/>
      <c r="AD373" s="3"/>
      <c r="AE373" s="3"/>
      <c r="AF373" s="3"/>
    </row>
    <row r="374" spans="1:32" x14ac:dyDescent="0.15">
      <c r="A374" s="3"/>
      <c r="I374" s="3"/>
      <c r="J374" s="3"/>
      <c r="K374" s="3"/>
      <c r="L374" s="139"/>
      <c r="M374" s="3"/>
      <c r="N374" s="3"/>
      <c r="O374" s="3"/>
      <c r="P374" s="3"/>
      <c r="Q374" s="3"/>
      <c r="R374" s="3"/>
      <c r="S374" s="3"/>
      <c r="T374" s="3"/>
      <c r="U374" s="3"/>
      <c r="V374" s="3"/>
      <c r="W374" s="3"/>
      <c r="X374" s="3"/>
      <c r="Y374" s="3"/>
      <c r="Z374" s="3"/>
      <c r="AA374" s="3"/>
      <c r="AB374" s="3"/>
      <c r="AC374" s="3"/>
      <c r="AD374" s="3"/>
      <c r="AE374" s="3"/>
      <c r="AF374" s="3"/>
    </row>
    <row r="375" spans="1:32" x14ac:dyDescent="0.15">
      <c r="A375" s="3"/>
      <c r="I375" s="3"/>
      <c r="J375" s="3"/>
      <c r="K375" s="3"/>
      <c r="L375" s="139"/>
      <c r="M375" s="3"/>
      <c r="N375" s="3"/>
      <c r="O375" s="3"/>
      <c r="P375" s="3"/>
      <c r="Q375" s="3"/>
      <c r="R375" s="3"/>
      <c r="S375" s="3"/>
      <c r="T375" s="3"/>
      <c r="U375" s="3"/>
      <c r="V375" s="3"/>
      <c r="W375" s="3"/>
      <c r="X375" s="3"/>
      <c r="Y375" s="3"/>
      <c r="Z375" s="3"/>
      <c r="AA375" s="3"/>
      <c r="AB375" s="3"/>
      <c r="AC375" s="3"/>
      <c r="AD375" s="3"/>
      <c r="AE375" s="3"/>
      <c r="AF375" s="3"/>
    </row>
    <row r="376" spans="1:32" x14ac:dyDescent="0.15">
      <c r="A376" s="3"/>
      <c r="I376" s="3"/>
      <c r="J376" s="3"/>
      <c r="K376" s="3"/>
      <c r="L376" s="139"/>
      <c r="M376" s="3"/>
      <c r="N376" s="3"/>
      <c r="O376" s="3"/>
      <c r="P376" s="3"/>
      <c r="Q376" s="3"/>
      <c r="R376" s="3"/>
      <c r="S376" s="3"/>
      <c r="T376" s="3"/>
      <c r="U376" s="3"/>
      <c r="V376" s="3"/>
      <c r="W376" s="3"/>
      <c r="X376" s="3"/>
      <c r="Y376" s="3"/>
      <c r="Z376" s="3"/>
      <c r="AA376" s="3"/>
      <c r="AB376" s="3"/>
      <c r="AC376" s="3"/>
      <c r="AD376" s="3"/>
      <c r="AE376" s="3"/>
      <c r="AF376" s="3"/>
    </row>
    <row r="377" spans="1:32" x14ac:dyDescent="0.15">
      <c r="A377" s="3"/>
      <c r="I377" s="3"/>
      <c r="J377" s="3"/>
      <c r="K377" s="3"/>
      <c r="L377" s="139"/>
      <c r="M377" s="3"/>
      <c r="N377" s="3"/>
      <c r="O377" s="3"/>
      <c r="P377" s="3"/>
      <c r="Q377" s="3"/>
      <c r="R377" s="3"/>
      <c r="S377" s="3"/>
      <c r="T377" s="3"/>
      <c r="U377" s="3"/>
      <c r="V377" s="3"/>
      <c r="W377" s="3"/>
      <c r="X377" s="3"/>
      <c r="Y377" s="3"/>
      <c r="Z377" s="3"/>
      <c r="AA377" s="3"/>
      <c r="AB377" s="3"/>
      <c r="AC377" s="3"/>
      <c r="AD377" s="3"/>
      <c r="AE377" s="3"/>
      <c r="AF377" s="3"/>
    </row>
    <row r="378" spans="1:32" x14ac:dyDescent="0.15">
      <c r="A378" s="3"/>
      <c r="I378" s="3"/>
      <c r="J378" s="3"/>
      <c r="K378" s="3"/>
      <c r="L378" s="139"/>
      <c r="M378" s="3"/>
      <c r="N378" s="3"/>
      <c r="O378" s="3"/>
      <c r="P378" s="3"/>
      <c r="Q378" s="3"/>
      <c r="R378" s="3"/>
      <c r="S378" s="3"/>
      <c r="T378" s="3"/>
      <c r="U378" s="3"/>
      <c r="V378" s="3"/>
      <c r="W378" s="3"/>
      <c r="X378" s="3"/>
      <c r="Y378" s="3"/>
      <c r="Z378" s="3"/>
      <c r="AA378" s="3"/>
      <c r="AB378" s="3"/>
      <c r="AC378" s="3"/>
      <c r="AD378" s="3"/>
      <c r="AE378" s="3"/>
      <c r="AF378" s="3"/>
    </row>
    <row r="379" spans="1:32" x14ac:dyDescent="0.15">
      <c r="A379" s="3"/>
      <c r="I379" s="3"/>
      <c r="J379" s="3"/>
      <c r="K379" s="3"/>
      <c r="L379" s="139"/>
      <c r="M379" s="3"/>
      <c r="N379" s="3"/>
      <c r="O379" s="3"/>
      <c r="P379" s="3"/>
      <c r="Q379" s="3"/>
      <c r="R379" s="3"/>
      <c r="S379" s="3"/>
      <c r="T379" s="3"/>
      <c r="U379" s="3"/>
      <c r="V379" s="3"/>
      <c r="W379" s="3"/>
      <c r="X379" s="3"/>
      <c r="Y379" s="3"/>
      <c r="Z379" s="3"/>
      <c r="AA379" s="3"/>
      <c r="AB379" s="3"/>
      <c r="AC379" s="3"/>
      <c r="AD379" s="3"/>
      <c r="AE379" s="3"/>
      <c r="AF379" s="3"/>
    </row>
    <row r="380" spans="1:32" x14ac:dyDescent="0.15">
      <c r="A380" s="3"/>
      <c r="I380" s="3"/>
      <c r="J380" s="3"/>
      <c r="K380" s="3"/>
      <c r="L380" s="139"/>
      <c r="M380" s="3"/>
      <c r="N380" s="3"/>
      <c r="O380" s="3"/>
      <c r="P380" s="3"/>
      <c r="Q380" s="3"/>
      <c r="R380" s="3"/>
      <c r="S380" s="3"/>
      <c r="T380" s="3"/>
      <c r="U380" s="3"/>
      <c r="V380" s="3"/>
      <c r="W380" s="3"/>
      <c r="X380" s="3"/>
      <c r="Y380" s="3"/>
      <c r="Z380" s="3"/>
      <c r="AA380" s="3"/>
      <c r="AB380" s="3"/>
      <c r="AC380" s="3"/>
      <c r="AD380" s="3"/>
      <c r="AE380" s="3"/>
      <c r="AF380" s="3"/>
    </row>
    <row r="381" spans="1:32" x14ac:dyDescent="0.15">
      <c r="A381" s="3"/>
      <c r="I381" s="3"/>
      <c r="J381" s="3"/>
      <c r="K381" s="3"/>
      <c r="L381" s="139"/>
      <c r="M381" s="3"/>
      <c r="N381" s="3"/>
      <c r="O381" s="3"/>
      <c r="P381" s="3"/>
      <c r="Q381" s="3"/>
      <c r="R381" s="3"/>
      <c r="S381" s="3"/>
      <c r="T381" s="3"/>
      <c r="U381" s="3"/>
      <c r="V381" s="3"/>
      <c r="W381" s="3"/>
      <c r="X381" s="3"/>
      <c r="Y381" s="3"/>
      <c r="Z381" s="3"/>
      <c r="AA381" s="3"/>
      <c r="AB381" s="3"/>
      <c r="AC381" s="3"/>
      <c r="AD381" s="3"/>
      <c r="AE381" s="3"/>
      <c r="AF381" s="3"/>
    </row>
    <row r="382" spans="1:32" x14ac:dyDescent="0.15">
      <c r="A382" s="3"/>
      <c r="I382" s="3"/>
      <c r="J382" s="3"/>
      <c r="K382" s="3"/>
      <c r="L382" s="139"/>
      <c r="M382" s="3"/>
      <c r="N382" s="3"/>
      <c r="O382" s="3"/>
      <c r="P382" s="3"/>
      <c r="Q382" s="3"/>
      <c r="R382" s="3"/>
      <c r="S382" s="3"/>
      <c r="T382" s="3"/>
      <c r="U382" s="3"/>
      <c r="V382" s="3"/>
      <c r="W382" s="3"/>
      <c r="X382" s="3"/>
      <c r="Y382" s="3"/>
      <c r="Z382" s="3"/>
      <c r="AA382" s="3"/>
      <c r="AB382" s="3"/>
      <c r="AC382" s="3"/>
      <c r="AD382" s="3"/>
      <c r="AE382" s="3"/>
      <c r="AF382" s="3"/>
    </row>
    <row r="383" spans="1:32" x14ac:dyDescent="0.15">
      <c r="A383" s="3"/>
      <c r="I383" s="3"/>
      <c r="J383" s="3"/>
      <c r="K383" s="3"/>
      <c r="L383" s="139"/>
      <c r="M383" s="3"/>
      <c r="N383" s="3"/>
      <c r="O383" s="3"/>
      <c r="P383" s="3"/>
      <c r="Q383" s="3"/>
      <c r="R383" s="3"/>
      <c r="S383" s="3"/>
      <c r="T383" s="3"/>
      <c r="U383" s="3"/>
      <c r="V383" s="3"/>
      <c r="W383" s="3"/>
      <c r="X383" s="3"/>
      <c r="Y383" s="3"/>
      <c r="Z383" s="3"/>
      <c r="AA383" s="3"/>
      <c r="AB383" s="3"/>
      <c r="AC383" s="3"/>
      <c r="AD383" s="3"/>
      <c r="AE383" s="3"/>
      <c r="AF383" s="3"/>
    </row>
    <row r="384" spans="1:32" x14ac:dyDescent="0.15">
      <c r="A384" s="3"/>
      <c r="I384" s="3"/>
      <c r="J384" s="3"/>
      <c r="K384" s="3"/>
      <c r="L384" s="139"/>
      <c r="M384" s="3"/>
      <c r="N384" s="3"/>
      <c r="O384" s="3"/>
      <c r="P384" s="3"/>
      <c r="Q384" s="3"/>
      <c r="R384" s="3"/>
      <c r="S384" s="3"/>
      <c r="T384" s="3"/>
      <c r="U384" s="3"/>
      <c r="V384" s="3"/>
      <c r="W384" s="3"/>
      <c r="X384" s="3"/>
      <c r="Y384" s="3"/>
      <c r="Z384" s="3"/>
      <c r="AA384" s="3"/>
      <c r="AB384" s="3"/>
      <c r="AC384" s="3"/>
      <c r="AD384" s="3"/>
      <c r="AE384" s="3"/>
      <c r="AF384" s="3"/>
    </row>
    <row r="385" spans="1:32" x14ac:dyDescent="0.15">
      <c r="A385" s="3"/>
      <c r="I385" s="3"/>
      <c r="J385" s="3"/>
      <c r="K385" s="3"/>
      <c r="L385" s="139"/>
      <c r="M385" s="3"/>
      <c r="N385" s="3"/>
      <c r="O385" s="3"/>
      <c r="P385" s="3"/>
      <c r="Q385" s="3"/>
      <c r="R385" s="3"/>
      <c r="S385" s="3"/>
      <c r="T385" s="3"/>
      <c r="U385" s="3"/>
      <c r="V385" s="3"/>
      <c r="W385" s="3"/>
      <c r="X385" s="3"/>
      <c r="Y385" s="3"/>
      <c r="Z385" s="3"/>
      <c r="AA385" s="3"/>
      <c r="AB385" s="3"/>
      <c r="AC385" s="3"/>
      <c r="AD385" s="3"/>
      <c r="AE385" s="3"/>
      <c r="AF385" s="3"/>
    </row>
    <row r="386" spans="1:32" x14ac:dyDescent="0.15">
      <c r="A386" s="3"/>
      <c r="I386" s="3"/>
      <c r="J386" s="3"/>
      <c r="K386" s="3"/>
      <c r="L386" s="139"/>
      <c r="M386" s="3"/>
      <c r="N386" s="3"/>
      <c r="O386" s="3"/>
      <c r="P386" s="3"/>
      <c r="Q386" s="3"/>
      <c r="R386" s="3"/>
      <c r="S386" s="3"/>
      <c r="T386" s="3"/>
      <c r="U386" s="3"/>
      <c r="V386" s="3"/>
      <c r="W386" s="3"/>
      <c r="X386" s="3"/>
      <c r="Y386" s="3"/>
      <c r="Z386" s="3"/>
      <c r="AA386" s="3"/>
      <c r="AB386" s="3"/>
      <c r="AC386" s="3"/>
      <c r="AD386" s="3"/>
      <c r="AE386" s="3"/>
      <c r="AF386" s="3"/>
    </row>
    <row r="387" spans="1:32" x14ac:dyDescent="0.15">
      <c r="A387" s="3"/>
      <c r="I387" s="3"/>
      <c r="J387" s="3"/>
      <c r="K387" s="3"/>
      <c r="L387" s="139"/>
      <c r="M387" s="3"/>
      <c r="N387" s="3"/>
      <c r="O387" s="3"/>
      <c r="P387" s="3"/>
      <c r="Q387" s="3"/>
      <c r="R387" s="3"/>
      <c r="S387" s="3"/>
      <c r="T387" s="3"/>
      <c r="U387" s="3"/>
      <c r="V387" s="3"/>
      <c r="W387" s="3"/>
      <c r="X387" s="3"/>
      <c r="Y387" s="3"/>
      <c r="Z387" s="3"/>
      <c r="AA387" s="3"/>
      <c r="AB387" s="3"/>
      <c r="AC387" s="3"/>
      <c r="AD387" s="3"/>
      <c r="AE387" s="3"/>
      <c r="AF387" s="3"/>
    </row>
    <row r="388" spans="1:32" x14ac:dyDescent="0.15">
      <c r="A388" s="3"/>
      <c r="I388" s="3"/>
      <c r="J388" s="3"/>
      <c r="K388" s="3"/>
      <c r="L388" s="139"/>
      <c r="M388" s="3"/>
      <c r="N388" s="3"/>
      <c r="O388" s="3"/>
      <c r="P388" s="3"/>
      <c r="Q388" s="3"/>
      <c r="R388" s="3"/>
      <c r="S388" s="3"/>
      <c r="T388" s="3"/>
      <c r="U388" s="3"/>
      <c r="V388" s="3"/>
      <c r="W388" s="3"/>
      <c r="X388" s="3"/>
      <c r="Y388" s="3"/>
      <c r="Z388" s="3"/>
      <c r="AA388" s="3"/>
      <c r="AB388" s="3"/>
      <c r="AC388" s="3"/>
      <c r="AD388" s="3"/>
      <c r="AE388" s="3"/>
      <c r="AF388" s="3"/>
    </row>
    <row r="389" spans="1:32" x14ac:dyDescent="0.15">
      <c r="A389" s="3"/>
      <c r="I389" s="3"/>
      <c r="J389" s="3"/>
      <c r="K389" s="3"/>
      <c r="L389" s="139"/>
      <c r="M389" s="3"/>
      <c r="N389" s="3"/>
      <c r="O389" s="3"/>
      <c r="P389" s="3"/>
      <c r="Q389" s="3"/>
      <c r="R389" s="3"/>
      <c r="S389" s="3"/>
      <c r="T389" s="3"/>
      <c r="U389" s="3"/>
      <c r="V389" s="3"/>
      <c r="W389" s="3"/>
      <c r="X389" s="3"/>
      <c r="Y389" s="3"/>
      <c r="Z389" s="3"/>
      <c r="AA389" s="3"/>
      <c r="AB389" s="3"/>
      <c r="AC389" s="3"/>
      <c r="AD389" s="3"/>
      <c r="AE389" s="3"/>
      <c r="AF389" s="3"/>
    </row>
    <row r="390" spans="1:32" x14ac:dyDescent="0.15">
      <c r="A390" s="3"/>
      <c r="I390" s="3"/>
      <c r="J390" s="3"/>
      <c r="K390" s="3"/>
      <c r="L390" s="139"/>
      <c r="M390" s="3"/>
      <c r="N390" s="3"/>
      <c r="O390" s="3"/>
      <c r="P390" s="3"/>
      <c r="Q390" s="3"/>
      <c r="R390" s="3"/>
      <c r="S390" s="3"/>
      <c r="T390" s="3"/>
      <c r="U390" s="3"/>
      <c r="V390" s="3"/>
      <c r="W390" s="3"/>
      <c r="X390" s="3"/>
      <c r="Y390" s="3"/>
      <c r="Z390" s="3"/>
      <c r="AA390" s="3"/>
      <c r="AB390" s="3"/>
      <c r="AC390" s="3"/>
      <c r="AD390" s="3"/>
      <c r="AE390" s="3"/>
      <c r="AF390" s="3"/>
    </row>
    <row r="391" spans="1:32" x14ac:dyDescent="0.15">
      <c r="A391" s="3"/>
      <c r="I391" s="3"/>
      <c r="J391" s="3"/>
      <c r="K391" s="3"/>
      <c r="L391" s="139"/>
      <c r="M391" s="3"/>
      <c r="N391" s="3"/>
      <c r="O391" s="3"/>
      <c r="P391" s="3"/>
      <c r="Q391" s="3"/>
      <c r="R391" s="3"/>
      <c r="S391" s="3"/>
      <c r="T391" s="3"/>
      <c r="U391" s="3"/>
      <c r="V391" s="3"/>
      <c r="W391" s="3"/>
      <c r="X391" s="3"/>
      <c r="Y391" s="3"/>
      <c r="Z391" s="3"/>
      <c r="AA391" s="3"/>
      <c r="AB391" s="3"/>
      <c r="AC391" s="3"/>
      <c r="AD391" s="3"/>
      <c r="AE391" s="3"/>
      <c r="AF391" s="3"/>
    </row>
    <row r="392" spans="1:32" x14ac:dyDescent="0.15">
      <c r="A392" s="3"/>
      <c r="I392" s="3"/>
      <c r="J392" s="3"/>
      <c r="K392" s="3"/>
      <c r="L392" s="139"/>
      <c r="M392" s="3"/>
      <c r="N392" s="3"/>
      <c r="O392" s="3"/>
      <c r="P392" s="3"/>
      <c r="Q392" s="3"/>
      <c r="R392" s="3"/>
      <c r="S392" s="3"/>
      <c r="T392" s="3"/>
      <c r="U392" s="3"/>
      <c r="V392" s="3"/>
      <c r="W392" s="3"/>
      <c r="X392" s="3"/>
      <c r="Y392" s="3"/>
      <c r="Z392" s="3"/>
      <c r="AA392" s="3"/>
      <c r="AB392" s="3"/>
      <c r="AC392" s="3"/>
      <c r="AD392" s="3"/>
      <c r="AE392" s="3"/>
      <c r="AF392" s="3"/>
    </row>
    <row r="393" spans="1:32" x14ac:dyDescent="0.15">
      <c r="A393" s="3"/>
      <c r="I393" s="3"/>
      <c r="J393" s="3"/>
      <c r="K393" s="3"/>
      <c r="L393" s="139"/>
      <c r="M393" s="3"/>
      <c r="N393" s="3"/>
      <c r="O393" s="3"/>
      <c r="P393" s="3"/>
      <c r="Q393" s="3"/>
      <c r="R393" s="3"/>
      <c r="S393" s="3"/>
      <c r="T393" s="3"/>
      <c r="U393" s="3"/>
      <c r="V393" s="3"/>
      <c r="W393" s="3"/>
      <c r="X393" s="3"/>
      <c r="Y393" s="3"/>
      <c r="Z393" s="3"/>
      <c r="AA393" s="3"/>
      <c r="AB393" s="3"/>
      <c r="AC393" s="3"/>
      <c r="AD393" s="3"/>
      <c r="AE393" s="3"/>
      <c r="AF393" s="3"/>
    </row>
    <row r="394" spans="1:32" x14ac:dyDescent="0.15">
      <c r="A394" s="3"/>
      <c r="I394" s="3"/>
      <c r="J394" s="3"/>
      <c r="K394" s="3"/>
      <c r="L394" s="139"/>
      <c r="M394" s="3"/>
      <c r="N394" s="3"/>
      <c r="O394" s="3"/>
      <c r="P394" s="3"/>
      <c r="Q394" s="3"/>
      <c r="R394" s="3"/>
      <c r="S394" s="3"/>
      <c r="T394" s="3"/>
      <c r="U394" s="3"/>
      <c r="V394" s="3"/>
      <c r="W394" s="3"/>
      <c r="X394" s="3"/>
      <c r="Y394" s="3"/>
      <c r="Z394" s="3"/>
      <c r="AA394" s="3"/>
      <c r="AB394" s="3"/>
      <c r="AC394" s="3"/>
      <c r="AD394" s="3"/>
      <c r="AE394" s="3"/>
      <c r="AF394" s="3"/>
    </row>
    <row r="395" spans="1:32" x14ac:dyDescent="0.15">
      <c r="A395" s="3"/>
      <c r="I395" s="3"/>
      <c r="J395" s="3"/>
      <c r="K395" s="3"/>
      <c r="L395" s="139"/>
      <c r="M395" s="3"/>
      <c r="N395" s="3"/>
      <c r="O395" s="3"/>
      <c r="P395" s="3"/>
      <c r="Q395" s="3"/>
      <c r="R395" s="3"/>
      <c r="S395" s="3"/>
      <c r="T395" s="3"/>
      <c r="U395" s="3"/>
      <c r="V395" s="3"/>
      <c r="W395" s="3"/>
      <c r="X395" s="3"/>
      <c r="Y395" s="3"/>
      <c r="Z395" s="3"/>
      <c r="AA395" s="3"/>
      <c r="AB395" s="3"/>
      <c r="AC395" s="3"/>
      <c r="AD395" s="3"/>
      <c r="AE395" s="3"/>
      <c r="AF395" s="3"/>
    </row>
    <row r="396" spans="1:32" x14ac:dyDescent="0.15">
      <c r="A396" s="3"/>
      <c r="I396" s="3"/>
      <c r="J396" s="3"/>
      <c r="K396" s="3"/>
      <c r="L396" s="139"/>
      <c r="M396" s="3"/>
      <c r="N396" s="3"/>
      <c r="O396" s="3"/>
      <c r="P396" s="3"/>
      <c r="Q396" s="3"/>
      <c r="R396" s="3"/>
      <c r="S396" s="3"/>
      <c r="T396" s="3"/>
      <c r="U396" s="3"/>
      <c r="V396" s="3"/>
      <c r="W396" s="3"/>
      <c r="X396" s="3"/>
      <c r="Y396" s="3"/>
      <c r="Z396" s="3"/>
      <c r="AA396" s="3"/>
      <c r="AB396" s="3"/>
      <c r="AC396" s="3"/>
      <c r="AD396" s="3"/>
      <c r="AE396" s="3"/>
      <c r="AF396" s="3"/>
    </row>
    <row r="397" spans="1:32" x14ac:dyDescent="0.15">
      <c r="A397" s="3"/>
      <c r="I397" s="3"/>
      <c r="J397" s="3"/>
      <c r="K397" s="3"/>
      <c r="L397" s="139"/>
      <c r="M397" s="3"/>
      <c r="N397" s="3"/>
      <c r="O397" s="3"/>
      <c r="P397" s="3"/>
      <c r="Q397" s="3"/>
      <c r="R397" s="3"/>
      <c r="S397" s="3"/>
      <c r="T397" s="3"/>
      <c r="U397" s="3"/>
      <c r="V397" s="3"/>
      <c r="W397" s="3"/>
      <c r="X397" s="3"/>
      <c r="Y397" s="3"/>
      <c r="Z397" s="3"/>
      <c r="AA397" s="3"/>
      <c r="AB397" s="3"/>
      <c r="AC397" s="3"/>
      <c r="AD397" s="3"/>
      <c r="AE397" s="3"/>
      <c r="AF397" s="3"/>
    </row>
    <row r="398" spans="1:32" x14ac:dyDescent="0.15">
      <c r="A398" s="3"/>
      <c r="I398" s="3"/>
      <c r="J398" s="3"/>
      <c r="K398" s="3"/>
      <c r="L398" s="139"/>
      <c r="M398" s="3"/>
      <c r="N398" s="3"/>
      <c r="O398" s="3"/>
      <c r="P398" s="3"/>
      <c r="Q398" s="3"/>
      <c r="R398" s="3"/>
      <c r="S398" s="3"/>
      <c r="T398" s="3"/>
      <c r="U398" s="3"/>
      <c r="V398" s="3"/>
      <c r="W398" s="3"/>
      <c r="X398" s="3"/>
      <c r="Y398" s="3"/>
      <c r="Z398" s="3"/>
      <c r="AA398" s="3"/>
      <c r="AB398" s="3"/>
      <c r="AC398" s="3"/>
      <c r="AD398" s="3"/>
      <c r="AE398" s="3"/>
      <c r="AF398" s="3"/>
    </row>
    <row r="399" spans="1:32" x14ac:dyDescent="0.15">
      <c r="A399" s="3"/>
      <c r="I399" s="3"/>
      <c r="J399" s="3"/>
      <c r="K399" s="3"/>
      <c r="L399" s="139"/>
      <c r="M399" s="3"/>
      <c r="N399" s="3"/>
      <c r="O399" s="3"/>
      <c r="P399" s="3"/>
      <c r="Q399" s="3"/>
      <c r="R399" s="3"/>
      <c r="S399" s="3"/>
      <c r="T399" s="3"/>
      <c r="U399" s="3"/>
      <c r="V399" s="3"/>
      <c r="W399" s="3"/>
      <c r="X399" s="3"/>
      <c r="Y399" s="3"/>
      <c r="Z399" s="3"/>
      <c r="AA399" s="3"/>
      <c r="AB399" s="3"/>
      <c r="AC399" s="3"/>
      <c r="AD399" s="3"/>
      <c r="AE399" s="3"/>
      <c r="AF399" s="3"/>
    </row>
    <row r="400" spans="1:32" x14ac:dyDescent="0.15">
      <c r="A400" s="3"/>
      <c r="I400" s="3"/>
      <c r="J400" s="3"/>
      <c r="K400" s="3"/>
      <c r="L400" s="139"/>
      <c r="M400" s="3"/>
      <c r="N400" s="3"/>
      <c r="O400" s="3"/>
      <c r="P400" s="3"/>
      <c r="Q400" s="3"/>
      <c r="R400" s="3"/>
      <c r="S400" s="3"/>
      <c r="T400" s="3"/>
      <c r="U400" s="3"/>
      <c r="V400" s="3"/>
      <c r="W400" s="3"/>
      <c r="X400" s="3"/>
      <c r="Y400" s="3"/>
      <c r="Z400" s="3"/>
      <c r="AA400" s="3"/>
      <c r="AB400" s="3"/>
      <c r="AC400" s="3"/>
      <c r="AD400" s="3"/>
      <c r="AE400" s="3"/>
      <c r="AF400" s="3"/>
    </row>
    <row r="401" spans="1:32" x14ac:dyDescent="0.15">
      <c r="A401" s="3"/>
      <c r="I401" s="3"/>
      <c r="J401" s="3"/>
      <c r="K401" s="3"/>
      <c r="L401" s="139"/>
      <c r="M401" s="3"/>
      <c r="N401" s="3"/>
      <c r="O401" s="3"/>
      <c r="P401" s="3"/>
      <c r="Q401" s="3"/>
      <c r="R401" s="3"/>
      <c r="S401" s="3"/>
      <c r="T401" s="3"/>
      <c r="U401" s="3"/>
      <c r="V401" s="3"/>
      <c r="W401" s="3"/>
      <c r="X401" s="3"/>
      <c r="Y401" s="3"/>
      <c r="Z401" s="3"/>
      <c r="AA401" s="3"/>
      <c r="AB401" s="3"/>
      <c r="AC401" s="3"/>
      <c r="AD401" s="3"/>
      <c r="AE401" s="3"/>
      <c r="AF401" s="3"/>
    </row>
    <row r="402" spans="1:32" x14ac:dyDescent="0.15">
      <c r="A402" s="3"/>
      <c r="I402" s="3"/>
      <c r="J402" s="3"/>
      <c r="K402" s="3"/>
      <c r="L402" s="139"/>
      <c r="M402" s="3"/>
      <c r="N402" s="3"/>
      <c r="O402" s="3"/>
      <c r="P402" s="3"/>
      <c r="Q402" s="3"/>
      <c r="R402" s="3"/>
      <c r="S402" s="3"/>
      <c r="T402" s="3"/>
      <c r="U402" s="3"/>
      <c r="V402" s="3"/>
      <c r="W402" s="3"/>
      <c r="X402" s="3"/>
      <c r="Y402" s="3"/>
      <c r="Z402" s="3"/>
      <c r="AA402" s="3"/>
      <c r="AB402" s="3"/>
      <c r="AC402" s="3"/>
      <c r="AD402" s="3"/>
      <c r="AE402" s="3"/>
      <c r="AF402" s="3"/>
    </row>
    <row r="403" spans="1:32" x14ac:dyDescent="0.15">
      <c r="A403" s="3"/>
      <c r="I403" s="3"/>
      <c r="J403" s="3"/>
      <c r="K403" s="3"/>
      <c r="L403" s="139"/>
      <c r="M403" s="3"/>
      <c r="N403" s="3"/>
      <c r="O403" s="3"/>
      <c r="P403" s="3"/>
      <c r="Q403" s="3"/>
      <c r="R403" s="3"/>
      <c r="S403" s="3"/>
      <c r="T403" s="3"/>
      <c r="U403" s="3"/>
      <c r="V403" s="3"/>
      <c r="W403" s="3"/>
      <c r="X403" s="3"/>
      <c r="Y403" s="3"/>
      <c r="Z403" s="3"/>
      <c r="AA403" s="3"/>
      <c r="AB403" s="3"/>
      <c r="AC403" s="3"/>
      <c r="AD403" s="3"/>
      <c r="AE403" s="3"/>
      <c r="AF403" s="3"/>
    </row>
    <row r="404" spans="1:32" x14ac:dyDescent="0.15">
      <c r="A404" s="3"/>
      <c r="I404" s="3"/>
      <c r="J404" s="3"/>
      <c r="K404" s="3"/>
      <c r="L404" s="139"/>
      <c r="M404" s="3"/>
      <c r="N404" s="3"/>
      <c r="O404" s="3"/>
      <c r="P404" s="3"/>
      <c r="Q404" s="3"/>
      <c r="R404" s="3"/>
      <c r="S404" s="3"/>
      <c r="T404" s="3"/>
      <c r="U404" s="3"/>
      <c r="V404" s="3"/>
      <c r="W404" s="3"/>
      <c r="X404" s="3"/>
      <c r="Y404" s="3"/>
      <c r="Z404" s="3"/>
      <c r="AA404" s="3"/>
      <c r="AB404" s="3"/>
      <c r="AC404" s="3"/>
      <c r="AD404" s="3"/>
      <c r="AE404" s="3"/>
      <c r="AF404" s="3"/>
    </row>
    <row r="405" spans="1:32" x14ac:dyDescent="0.15">
      <c r="A405" s="3"/>
      <c r="I405" s="3"/>
      <c r="J405" s="3"/>
      <c r="K405" s="3"/>
      <c r="L405" s="139"/>
      <c r="M405" s="3"/>
      <c r="N405" s="3"/>
      <c r="O405" s="3"/>
      <c r="P405" s="3"/>
      <c r="Q405" s="3"/>
      <c r="R405" s="3"/>
      <c r="S405" s="3"/>
      <c r="T405" s="3"/>
      <c r="U405" s="3"/>
      <c r="V405" s="3"/>
      <c r="W405" s="3"/>
      <c r="X405" s="3"/>
      <c r="Y405" s="3"/>
      <c r="Z405" s="3"/>
      <c r="AA405" s="3"/>
      <c r="AB405" s="3"/>
      <c r="AC405" s="3"/>
      <c r="AD405" s="3"/>
      <c r="AE405" s="3"/>
      <c r="AF405" s="3"/>
    </row>
    <row r="406" spans="1:32" x14ac:dyDescent="0.15">
      <c r="A406" s="3"/>
      <c r="I406" s="3"/>
      <c r="J406" s="3"/>
      <c r="K406" s="3"/>
      <c r="L406" s="139"/>
      <c r="M406" s="3"/>
      <c r="N406" s="3"/>
      <c r="O406" s="3"/>
      <c r="P406" s="3"/>
      <c r="Q406" s="3"/>
      <c r="R406" s="3"/>
      <c r="S406" s="3"/>
      <c r="T406" s="3"/>
      <c r="U406" s="3"/>
      <c r="V406" s="3"/>
      <c r="W406" s="3"/>
      <c r="X406" s="3"/>
      <c r="Y406" s="3"/>
      <c r="Z406" s="3"/>
      <c r="AA406" s="3"/>
      <c r="AB406" s="3"/>
      <c r="AC406" s="3"/>
      <c r="AD406" s="3"/>
      <c r="AE406" s="3"/>
      <c r="AF406" s="3"/>
    </row>
    <row r="407" spans="1:32" x14ac:dyDescent="0.15">
      <c r="A407" s="3"/>
      <c r="I407" s="3"/>
      <c r="J407" s="3"/>
      <c r="K407" s="3"/>
      <c r="L407" s="139"/>
      <c r="M407" s="3"/>
      <c r="N407" s="3"/>
      <c r="O407" s="3"/>
      <c r="P407" s="3"/>
      <c r="Q407" s="3"/>
      <c r="R407" s="3"/>
      <c r="S407" s="3"/>
      <c r="T407" s="3"/>
      <c r="U407" s="3"/>
      <c r="V407" s="3"/>
      <c r="W407" s="3"/>
      <c r="X407" s="3"/>
      <c r="Y407" s="3"/>
      <c r="Z407" s="3"/>
      <c r="AA407" s="3"/>
      <c r="AB407" s="3"/>
      <c r="AC407" s="3"/>
      <c r="AD407" s="3"/>
      <c r="AE407" s="3"/>
      <c r="AF407" s="3"/>
    </row>
    <row r="408" spans="1:32" x14ac:dyDescent="0.15">
      <c r="A408" s="3"/>
      <c r="I408" s="3"/>
      <c r="J408" s="3"/>
      <c r="K408" s="3"/>
      <c r="L408" s="139"/>
      <c r="M408" s="3"/>
      <c r="N408" s="3"/>
      <c r="O408" s="3"/>
      <c r="P408" s="3"/>
      <c r="Q408" s="3"/>
      <c r="R408" s="3"/>
      <c r="S408" s="3"/>
      <c r="T408" s="3"/>
      <c r="U408" s="3"/>
      <c r="V408" s="3"/>
      <c r="W408" s="3"/>
      <c r="X408" s="3"/>
      <c r="Y408" s="3"/>
      <c r="Z408" s="3"/>
      <c r="AA408" s="3"/>
      <c r="AB408" s="3"/>
      <c r="AC408" s="3"/>
      <c r="AD408" s="3"/>
      <c r="AE408" s="3"/>
      <c r="AF408" s="3"/>
    </row>
    <row r="409" spans="1:32" x14ac:dyDescent="0.15">
      <c r="A409" s="3"/>
      <c r="I409" s="3"/>
      <c r="J409" s="3"/>
      <c r="K409" s="3"/>
      <c r="L409" s="139"/>
      <c r="M409" s="3"/>
      <c r="N409" s="3"/>
      <c r="O409" s="3"/>
      <c r="P409" s="3"/>
      <c r="Q409" s="3"/>
      <c r="R409" s="3"/>
      <c r="S409" s="3"/>
      <c r="T409" s="3"/>
      <c r="U409" s="3"/>
      <c r="V409" s="3"/>
      <c r="W409" s="3"/>
      <c r="X409" s="3"/>
      <c r="Y409" s="3"/>
      <c r="Z409" s="3"/>
      <c r="AA409" s="3"/>
      <c r="AB409" s="3"/>
      <c r="AC409" s="3"/>
      <c r="AD409" s="3"/>
      <c r="AE409" s="3"/>
      <c r="AF409" s="3"/>
    </row>
    <row r="410" spans="1:32" x14ac:dyDescent="0.15">
      <c r="A410" s="3"/>
      <c r="I410" s="3"/>
      <c r="J410" s="3"/>
      <c r="K410" s="3"/>
      <c r="L410" s="139"/>
      <c r="M410" s="3"/>
      <c r="N410" s="3"/>
      <c r="O410" s="3"/>
      <c r="P410" s="3"/>
      <c r="Q410" s="3"/>
      <c r="R410" s="3"/>
      <c r="S410" s="3"/>
      <c r="T410" s="3"/>
      <c r="U410" s="3"/>
      <c r="V410" s="3"/>
      <c r="W410" s="3"/>
      <c r="X410" s="3"/>
      <c r="Y410" s="3"/>
      <c r="Z410" s="3"/>
      <c r="AA410" s="3"/>
      <c r="AB410" s="3"/>
      <c r="AC410" s="3"/>
      <c r="AD410" s="3"/>
      <c r="AE410" s="3"/>
      <c r="AF410" s="3"/>
    </row>
    <row r="411" spans="1:32" x14ac:dyDescent="0.15">
      <c r="A411" s="3"/>
      <c r="I411" s="3"/>
      <c r="J411" s="3"/>
      <c r="K411" s="3"/>
      <c r="L411" s="139"/>
      <c r="M411" s="3"/>
      <c r="N411" s="3"/>
      <c r="O411" s="3"/>
      <c r="P411" s="3"/>
      <c r="Q411" s="3"/>
      <c r="R411" s="3"/>
      <c r="S411" s="3"/>
      <c r="T411" s="3"/>
      <c r="U411" s="3"/>
      <c r="V411" s="3"/>
      <c r="W411" s="3"/>
      <c r="X411" s="3"/>
      <c r="Y411" s="3"/>
      <c r="Z411" s="3"/>
      <c r="AA411" s="3"/>
      <c r="AB411" s="3"/>
      <c r="AC411" s="3"/>
      <c r="AD411" s="3"/>
      <c r="AE411" s="3"/>
      <c r="AF411" s="3"/>
    </row>
    <row r="412" spans="1:32" x14ac:dyDescent="0.15">
      <c r="A412" s="3"/>
      <c r="I412" s="3"/>
      <c r="J412" s="3"/>
      <c r="K412" s="3"/>
      <c r="L412" s="139"/>
      <c r="M412" s="3"/>
      <c r="N412" s="3"/>
      <c r="O412" s="3"/>
      <c r="P412" s="3"/>
      <c r="Q412" s="3"/>
      <c r="R412" s="3"/>
      <c r="S412" s="3"/>
      <c r="T412" s="3"/>
      <c r="U412" s="3"/>
      <c r="V412" s="3"/>
      <c r="W412" s="3"/>
      <c r="X412" s="3"/>
      <c r="Y412" s="3"/>
      <c r="Z412" s="3"/>
      <c r="AA412" s="3"/>
      <c r="AB412" s="3"/>
      <c r="AC412" s="3"/>
      <c r="AD412" s="3"/>
      <c r="AE412" s="3"/>
      <c r="AF412" s="3"/>
    </row>
    <row r="413" spans="1:32" x14ac:dyDescent="0.15">
      <c r="A413" s="3"/>
      <c r="I413" s="3"/>
      <c r="J413" s="3"/>
      <c r="K413" s="3"/>
      <c r="L413" s="139"/>
      <c r="M413" s="3"/>
      <c r="N413" s="3"/>
      <c r="O413" s="3"/>
      <c r="P413" s="3"/>
      <c r="Q413" s="3"/>
      <c r="R413" s="3"/>
      <c r="S413" s="3"/>
      <c r="T413" s="3"/>
      <c r="U413" s="3"/>
      <c r="V413" s="3"/>
      <c r="W413" s="3"/>
      <c r="X413" s="3"/>
      <c r="Y413" s="3"/>
      <c r="Z413" s="3"/>
      <c r="AA413" s="3"/>
      <c r="AB413" s="3"/>
      <c r="AC413" s="3"/>
      <c r="AD413" s="3"/>
      <c r="AE413" s="3"/>
      <c r="AF413" s="3"/>
    </row>
    <row r="414" spans="1:32" x14ac:dyDescent="0.15">
      <c r="A414" s="3"/>
      <c r="I414" s="3"/>
      <c r="J414" s="3"/>
      <c r="K414" s="3"/>
      <c r="L414" s="139"/>
      <c r="M414" s="3"/>
      <c r="N414" s="3"/>
      <c r="O414" s="3"/>
      <c r="P414" s="3"/>
      <c r="Q414" s="3"/>
      <c r="R414" s="3"/>
      <c r="S414" s="3"/>
      <c r="T414" s="3"/>
      <c r="U414" s="3"/>
      <c r="V414" s="3"/>
      <c r="W414" s="3"/>
      <c r="X414" s="3"/>
      <c r="Y414" s="3"/>
      <c r="Z414" s="3"/>
      <c r="AA414" s="3"/>
      <c r="AB414" s="3"/>
      <c r="AC414" s="3"/>
      <c r="AD414" s="3"/>
      <c r="AE414" s="3"/>
      <c r="AF414" s="3"/>
    </row>
    <row r="415" spans="1:32" x14ac:dyDescent="0.15">
      <c r="A415" s="3"/>
      <c r="I415" s="3"/>
      <c r="J415" s="3"/>
      <c r="K415" s="3"/>
      <c r="L415" s="139"/>
      <c r="M415" s="3"/>
      <c r="N415" s="3"/>
      <c r="O415" s="3"/>
      <c r="P415" s="3"/>
      <c r="Q415" s="3"/>
      <c r="R415" s="3"/>
      <c r="S415" s="3"/>
      <c r="T415" s="3"/>
      <c r="U415" s="3"/>
      <c r="V415" s="3"/>
      <c r="W415" s="3"/>
      <c r="X415" s="3"/>
      <c r="Y415" s="3"/>
      <c r="Z415" s="3"/>
      <c r="AA415" s="3"/>
      <c r="AB415" s="3"/>
      <c r="AC415" s="3"/>
      <c r="AD415" s="3"/>
      <c r="AE415" s="3"/>
      <c r="AF415" s="3"/>
    </row>
    <row r="416" spans="1:32" x14ac:dyDescent="0.15">
      <c r="A416" s="3"/>
      <c r="I416" s="3"/>
      <c r="J416" s="3"/>
      <c r="K416" s="3"/>
      <c r="L416" s="139"/>
      <c r="M416" s="3"/>
      <c r="N416" s="3"/>
      <c r="O416" s="3"/>
      <c r="P416" s="3"/>
      <c r="Q416" s="3"/>
      <c r="R416" s="3"/>
      <c r="S416" s="3"/>
      <c r="T416" s="3"/>
      <c r="U416" s="3"/>
      <c r="V416" s="3"/>
      <c r="W416" s="3"/>
      <c r="X416" s="3"/>
      <c r="Y416" s="3"/>
      <c r="Z416" s="3"/>
      <c r="AA416" s="3"/>
      <c r="AB416" s="3"/>
      <c r="AC416" s="3"/>
      <c r="AD416" s="3"/>
      <c r="AE416" s="3"/>
      <c r="AF416" s="3"/>
    </row>
    <row r="417" spans="1:32" x14ac:dyDescent="0.15">
      <c r="A417" s="3"/>
      <c r="I417" s="3"/>
      <c r="J417" s="3"/>
      <c r="K417" s="3"/>
      <c r="L417" s="139"/>
      <c r="M417" s="3"/>
      <c r="N417" s="3"/>
      <c r="O417" s="3"/>
      <c r="P417" s="3"/>
      <c r="Q417" s="3"/>
      <c r="R417" s="3"/>
      <c r="S417" s="3"/>
      <c r="T417" s="3"/>
      <c r="U417" s="3"/>
      <c r="V417" s="3"/>
      <c r="W417" s="3"/>
      <c r="X417" s="3"/>
      <c r="Y417" s="3"/>
      <c r="Z417" s="3"/>
      <c r="AA417" s="3"/>
      <c r="AB417" s="3"/>
      <c r="AC417" s="3"/>
      <c r="AD417" s="3"/>
      <c r="AE417" s="3"/>
      <c r="AF417" s="3"/>
    </row>
    <row r="418" spans="1:32" x14ac:dyDescent="0.15">
      <c r="A418" s="3"/>
      <c r="I418" s="3"/>
      <c r="J418" s="3"/>
      <c r="K418" s="3"/>
      <c r="L418" s="139"/>
      <c r="M418" s="3"/>
      <c r="N418" s="3"/>
      <c r="O418" s="3"/>
      <c r="P418" s="3"/>
      <c r="Q418" s="3"/>
      <c r="R418" s="3"/>
      <c r="S418" s="3"/>
      <c r="T418" s="3"/>
      <c r="U418" s="3"/>
      <c r="V418" s="3"/>
      <c r="W418" s="3"/>
      <c r="X418" s="3"/>
      <c r="Y418" s="3"/>
      <c r="Z418" s="3"/>
      <c r="AA418" s="3"/>
      <c r="AB418" s="3"/>
      <c r="AC418" s="3"/>
      <c r="AD418" s="3"/>
      <c r="AE418" s="3"/>
      <c r="AF418" s="3"/>
    </row>
    <row r="419" spans="1:32" x14ac:dyDescent="0.15">
      <c r="A419" s="3"/>
      <c r="I419" s="3"/>
      <c r="J419" s="3"/>
      <c r="K419" s="3"/>
      <c r="L419" s="139"/>
      <c r="M419" s="3"/>
      <c r="N419" s="3"/>
      <c r="O419" s="3"/>
      <c r="P419" s="3"/>
      <c r="Q419" s="3"/>
      <c r="R419" s="3"/>
      <c r="S419" s="3"/>
      <c r="T419" s="3"/>
      <c r="U419" s="3"/>
      <c r="V419" s="3"/>
      <c r="W419" s="3"/>
      <c r="X419" s="3"/>
      <c r="Y419" s="3"/>
      <c r="Z419" s="3"/>
      <c r="AA419" s="3"/>
      <c r="AB419" s="3"/>
      <c r="AC419" s="3"/>
      <c r="AD419" s="3"/>
      <c r="AE419" s="3"/>
      <c r="AF419" s="3"/>
    </row>
    <row r="420" spans="1:32" x14ac:dyDescent="0.15">
      <c r="A420" s="3"/>
      <c r="I420" s="3"/>
      <c r="J420" s="3"/>
      <c r="K420" s="3"/>
      <c r="L420" s="139"/>
      <c r="M420" s="3"/>
      <c r="N420" s="3"/>
      <c r="O420" s="3"/>
      <c r="P420" s="3"/>
      <c r="Q420" s="3"/>
      <c r="R420" s="3"/>
      <c r="S420" s="3"/>
      <c r="T420" s="3"/>
      <c r="U420" s="3"/>
      <c r="V420" s="3"/>
      <c r="W420" s="3"/>
      <c r="X420" s="3"/>
      <c r="Y420" s="3"/>
      <c r="Z420" s="3"/>
      <c r="AA420" s="3"/>
      <c r="AB420" s="3"/>
      <c r="AC420" s="3"/>
      <c r="AD420" s="3"/>
      <c r="AE420" s="3"/>
      <c r="AF420" s="3"/>
    </row>
    <row r="421" spans="1:32" x14ac:dyDescent="0.15">
      <c r="A421" s="3"/>
      <c r="I421" s="3"/>
      <c r="J421" s="3"/>
      <c r="K421" s="3"/>
      <c r="L421" s="139"/>
      <c r="M421" s="3"/>
      <c r="N421" s="3"/>
      <c r="O421" s="3"/>
      <c r="P421" s="3"/>
      <c r="Q421" s="3"/>
      <c r="R421" s="3"/>
      <c r="S421" s="3"/>
      <c r="T421" s="3"/>
      <c r="U421" s="3"/>
      <c r="V421" s="3"/>
      <c r="W421" s="3"/>
      <c r="X421" s="3"/>
      <c r="Y421" s="3"/>
      <c r="Z421" s="3"/>
      <c r="AA421" s="3"/>
      <c r="AB421" s="3"/>
      <c r="AC421" s="3"/>
      <c r="AD421" s="3"/>
      <c r="AE421" s="3"/>
      <c r="AF421" s="3"/>
    </row>
    <row r="422" spans="1:32" x14ac:dyDescent="0.15">
      <c r="A422" s="3"/>
      <c r="I422" s="3"/>
      <c r="J422" s="3"/>
      <c r="K422" s="3"/>
      <c r="L422" s="139"/>
      <c r="M422" s="3"/>
      <c r="N422" s="3"/>
      <c r="O422" s="3"/>
      <c r="P422" s="3"/>
      <c r="Q422" s="3"/>
      <c r="R422" s="3"/>
      <c r="S422" s="3"/>
      <c r="T422" s="3"/>
      <c r="U422" s="3"/>
      <c r="V422" s="3"/>
      <c r="W422" s="3"/>
      <c r="X422" s="3"/>
      <c r="Y422" s="3"/>
      <c r="Z422" s="3"/>
      <c r="AA422" s="3"/>
      <c r="AB422" s="3"/>
      <c r="AC422" s="3"/>
      <c r="AD422" s="3"/>
      <c r="AE422" s="3"/>
      <c r="AF422" s="3"/>
    </row>
    <row r="423" spans="1:32" x14ac:dyDescent="0.15">
      <c r="A423" s="3"/>
      <c r="I423" s="3"/>
      <c r="J423" s="3"/>
      <c r="K423" s="3"/>
      <c r="L423" s="139"/>
      <c r="M423" s="3"/>
      <c r="N423" s="3"/>
      <c r="O423" s="3"/>
      <c r="P423" s="3"/>
      <c r="Q423" s="3"/>
      <c r="R423" s="3"/>
      <c r="S423" s="3"/>
      <c r="T423" s="3"/>
      <c r="U423" s="3"/>
      <c r="V423" s="3"/>
      <c r="W423" s="3"/>
      <c r="X423" s="3"/>
      <c r="Y423" s="3"/>
      <c r="Z423" s="3"/>
      <c r="AA423" s="3"/>
      <c r="AB423" s="3"/>
      <c r="AC423" s="3"/>
      <c r="AD423" s="3"/>
      <c r="AE423" s="3"/>
      <c r="AF423" s="3"/>
    </row>
    <row r="424" spans="1:32" x14ac:dyDescent="0.15">
      <c r="A424" s="3"/>
      <c r="I424" s="3"/>
      <c r="J424" s="3"/>
      <c r="K424" s="3"/>
      <c r="L424" s="139"/>
      <c r="M424" s="3"/>
      <c r="N424" s="3"/>
      <c r="O424" s="3"/>
      <c r="P424" s="3"/>
      <c r="Q424" s="3"/>
      <c r="R424" s="3"/>
      <c r="S424" s="3"/>
      <c r="T424" s="3"/>
      <c r="U424" s="3"/>
      <c r="V424" s="3"/>
      <c r="W424" s="3"/>
      <c r="X424" s="3"/>
      <c r="Y424" s="3"/>
      <c r="Z424" s="3"/>
      <c r="AA424" s="3"/>
      <c r="AB424" s="3"/>
      <c r="AC424" s="3"/>
      <c r="AD424" s="3"/>
      <c r="AE424" s="3"/>
      <c r="AF424" s="3"/>
    </row>
    <row r="425" spans="1:32" x14ac:dyDescent="0.15">
      <c r="A425" s="3"/>
      <c r="I425" s="3"/>
      <c r="J425" s="3"/>
      <c r="K425" s="3"/>
      <c r="L425" s="139"/>
      <c r="M425" s="3"/>
      <c r="N425" s="3"/>
      <c r="O425" s="3"/>
      <c r="P425" s="3"/>
      <c r="Q425" s="3"/>
      <c r="R425" s="3"/>
      <c r="S425" s="3"/>
      <c r="T425" s="3"/>
      <c r="U425" s="3"/>
      <c r="V425" s="3"/>
      <c r="W425" s="3"/>
      <c r="X425" s="3"/>
      <c r="Y425" s="3"/>
      <c r="Z425" s="3"/>
      <c r="AA425" s="3"/>
      <c r="AB425" s="3"/>
      <c r="AC425" s="3"/>
      <c r="AD425" s="3"/>
      <c r="AE425" s="3"/>
      <c r="AF425" s="3"/>
    </row>
    <row r="426" spans="1:32" x14ac:dyDescent="0.15">
      <c r="A426" s="3"/>
      <c r="I426" s="3"/>
      <c r="J426" s="3"/>
      <c r="K426" s="3"/>
      <c r="L426" s="139"/>
      <c r="M426" s="3"/>
      <c r="N426" s="3"/>
      <c r="O426" s="3"/>
      <c r="P426" s="3"/>
      <c r="Q426" s="3"/>
      <c r="R426" s="3"/>
      <c r="S426" s="3"/>
      <c r="T426" s="3"/>
      <c r="U426" s="3"/>
      <c r="V426" s="3"/>
      <c r="W426" s="3"/>
      <c r="X426" s="3"/>
      <c r="Y426" s="3"/>
      <c r="Z426" s="3"/>
      <c r="AA426" s="3"/>
      <c r="AB426" s="3"/>
      <c r="AC426" s="3"/>
      <c r="AD426" s="3"/>
      <c r="AE426" s="3"/>
      <c r="AF426" s="3"/>
    </row>
    <row r="427" spans="1:32" x14ac:dyDescent="0.15">
      <c r="A427" s="3"/>
      <c r="I427" s="3"/>
      <c r="J427" s="3"/>
      <c r="K427" s="3"/>
      <c r="L427" s="139"/>
      <c r="M427" s="3"/>
      <c r="N427" s="3"/>
      <c r="O427" s="3"/>
      <c r="P427" s="3"/>
      <c r="Q427" s="3"/>
      <c r="R427" s="3"/>
      <c r="S427" s="3"/>
      <c r="T427" s="3"/>
      <c r="U427" s="3"/>
      <c r="V427" s="3"/>
      <c r="W427" s="3"/>
      <c r="X427" s="3"/>
      <c r="Y427" s="3"/>
      <c r="Z427" s="3"/>
      <c r="AA427" s="3"/>
      <c r="AB427" s="3"/>
      <c r="AC427" s="3"/>
      <c r="AD427" s="3"/>
      <c r="AE427" s="3"/>
      <c r="AF427" s="3"/>
    </row>
    <row r="428" spans="1:32" x14ac:dyDescent="0.15">
      <c r="A428" s="3"/>
      <c r="I428" s="3"/>
      <c r="J428" s="3"/>
      <c r="K428" s="3"/>
      <c r="L428" s="139"/>
      <c r="M428" s="3"/>
      <c r="N428" s="3"/>
      <c r="O428" s="3"/>
      <c r="P428" s="3"/>
      <c r="Q428" s="3"/>
      <c r="R428" s="3"/>
      <c r="S428" s="3"/>
      <c r="T428" s="3"/>
      <c r="U428" s="3"/>
      <c r="V428" s="3"/>
      <c r="W428" s="3"/>
      <c r="X428" s="3"/>
      <c r="Y428" s="3"/>
      <c r="Z428" s="3"/>
      <c r="AA428" s="3"/>
      <c r="AB428" s="3"/>
      <c r="AC428" s="3"/>
      <c r="AD428" s="3"/>
      <c r="AE428" s="3"/>
      <c r="AF428" s="3"/>
    </row>
    <row r="429" spans="1:32" x14ac:dyDescent="0.15">
      <c r="A429" s="3"/>
      <c r="I429" s="3"/>
      <c r="J429" s="3"/>
      <c r="K429" s="3"/>
      <c r="L429" s="139"/>
      <c r="M429" s="3"/>
      <c r="N429" s="3"/>
      <c r="O429" s="3"/>
      <c r="P429" s="3"/>
      <c r="Q429" s="3"/>
      <c r="R429" s="3"/>
      <c r="S429" s="3"/>
      <c r="T429" s="3"/>
      <c r="U429" s="3"/>
      <c r="V429" s="3"/>
      <c r="W429" s="3"/>
      <c r="X429" s="3"/>
      <c r="Y429" s="3"/>
      <c r="Z429" s="3"/>
      <c r="AA429" s="3"/>
      <c r="AB429" s="3"/>
      <c r="AC429" s="3"/>
      <c r="AD429" s="3"/>
      <c r="AE429" s="3"/>
      <c r="AF429" s="3"/>
    </row>
    <row r="430" spans="1:32" x14ac:dyDescent="0.15">
      <c r="A430" s="3"/>
      <c r="I430" s="3"/>
      <c r="J430" s="3"/>
      <c r="K430" s="3"/>
      <c r="L430" s="139"/>
      <c r="M430" s="3"/>
      <c r="N430" s="3"/>
      <c r="O430" s="3"/>
      <c r="P430" s="3"/>
      <c r="Q430" s="3"/>
      <c r="R430" s="3"/>
      <c r="S430" s="3"/>
      <c r="T430" s="3"/>
      <c r="U430" s="3"/>
      <c r="V430" s="3"/>
      <c r="W430" s="3"/>
      <c r="X430" s="3"/>
      <c r="Y430" s="3"/>
      <c r="Z430" s="3"/>
      <c r="AA430" s="3"/>
      <c r="AB430" s="3"/>
      <c r="AC430" s="3"/>
      <c r="AD430" s="3"/>
      <c r="AE430" s="3"/>
      <c r="AF430" s="3"/>
    </row>
    <row r="431" spans="1:32" x14ac:dyDescent="0.15">
      <c r="A431" s="3"/>
      <c r="I431" s="3"/>
      <c r="J431" s="3"/>
      <c r="K431" s="3"/>
      <c r="L431" s="139"/>
      <c r="M431" s="3"/>
      <c r="N431" s="3"/>
      <c r="O431" s="3"/>
      <c r="P431" s="3"/>
      <c r="Q431" s="3"/>
      <c r="R431" s="3"/>
      <c r="S431" s="3"/>
      <c r="T431" s="3"/>
      <c r="U431" s="3"/>
      <c r="V431" s="3"/>
      <c r="W431" s="3"/>
      <c r="X431" s="3"/>
      <c r="Y431" s="3"/>
      <c r="Z431" s="3"/>
      <c r="AA431" s="3"/>
      <c r="AB431" s="3"/>
      <c r="AC431" s="3"/>
      <c r="AD431" s="3"/>
      <c r="AE431" s="3"/>
      <c r="AF431" s="3"/>
    </row>
    <row r="432" spans="1:32" x14ac:dyDescent="0.15">
      <c r="A432" s="3"/>
      <c r="I432" s="3"/>
      <c r="J432" s="3"/>
      <c r="K432" s="3"/>
      <c r="L432" s="139"/>
      <c r="M432" s="3"/>
      <c r="N432" s="3"/>
      <c r="O432" s="3"/>
      <c r="P432" s="3"/>
      <c r="Q432" s="3"/>
      <c r="R432" s="3"/>
      <c r="S432" s="3"/>
      <c r="T432" s="3"/>
      <c r="U432" s="3"/>
      <c r="V432" s="3"/>
      <c r="W432" s="3"/>
      <c r="X432" s="3"/>
      <c r="Y432" s="3"/>
      <c r="Z432" s="3"/>
      <c r="AA432" s="3"/>
      <c r="AB432" s="3"/>
      <c r="AC432" s="3"/>
      <c r="AD432" s="3"/>
      <c r="AE432" s="3"/>
      <c r="AF432" s="3"/>
    </row>
    <row r="433" spans="1:32" x14ac:dyDescent="0.15">
      <c r="A433" s="3"/>
      <c r="I433" s="3"/>
      <c r="J433" s="3"/>
      <c r="K433" s="3"/>
      <c r="L433" s="139"/>
      <c r="M433" s="3"/>
      <c r="N433" s="3"/>
      <c r="O433" s="3"/>
      <c r="P433" s="3"/>
      <c r="Q433" s="3"/>
      <c r="R433" s="3"/>
      <c r="S433" s="3"/>
      <c r="T433" s="3"/>
      <c r="U433" s="3"/>
      <c r="V433" s="3"/>
      <c r="W433" s="3"/>
      <c r="X433" s="3"/>
      <c r="Y433" s="3"/>
      <c r="Z433" s="3"/>
      <c r="AA433" s="3"/>
      <c r="AB433" s="3"/>
      <c r="AC433" s="3"/>
      <c r="AD433" s="3"/>
      <c r="AE433" s="3"/>
      <c r="AF433" s="3"/>
    </row>
    <row r="434" spans="1:32" x14ac:dyDescent="0.15">
      <c r="A434" s="3"/>
      <c r="I434" s="3"/>
      <c r="J434" s="3"/>
      <c r="K434" s="3"/>
      <c r="L434" s="139"/>
      <c r="M434" s="3"/>
      <c r="N434" s="3"/>
      <c r="O434" s="3"/>
      <c r="P434" s="3"/>
      <c r="Q434" s="3"/>
      <c r="R434" s="3"/>
      <c r="S434" s="3"/>
      <c r="T434" s="3"/>
      <c r="U434" s="3"/>
      <c r="V434" s="3"/>
      <c r="W434" s="3"/>
      <c r="X434" s="3"/>
      <c r="Y434" s="3"/>
      <c r="Z434" s="3"/>
      <c r="AA434" s="3"/>
      <c r="AB434" s="3"/>
      <c r="AC434" s="3"/>
      <c r="AD434" s="3"/>
      <c r="AE434" s="3"/>
      <c r="AF434" s="3"/>
    </row>
    <row r="435" spans="1:32" x14ac:dyDescent="0.15">
      <c r="A435" s="3"/>
      <c r="I435" s="3"/>
      <c r="J435" s="3"/>
      <c r="K435" s="3"/>
      <c r="L435" s="139"/>
      <c r="M435" s="3"/>
      <c r="N435" s="3"/>
      <c r="O435" s="3"/>
      <c r="P435" s="3"/>
      <c r="Q435" s="3"/>
      <c r="R435" s="3"/>
      <c r="S435" s="3"/>
      <c r="T435" s="3"/>
      <c r="U435" s="3"/>
      <c r="V435" s="3"/>
      <c r="W435" s="3"/>
      <c r="X435" s="3"/>
      <c r="Y435" s="3"/>
      <c r="Z435" s="3"/>
      <c r="AA435" s="3"/>
      <c r="AB435" s="3"/>
      <c r="AC435" s="3"/>
      <c r="AD435" s="3"/>
      <c r="AE435" s="3"/>
      <c r="AF435" s="3"/>
    </row>
    <row r="436" spans="1:32" x14ac:dyDescent="0.15">
      <c r="A436" s="3"/>
      <c r="I436" s="3"/>
      <c r="J436" s="3"/>
      <c r="K436" s="3"/>
      <c r="L436" s="139"/>
      <c r="M436" s="3"/>
      <c r="N436" s="3"/>
      <c r="O436" s="3"/>
      <c r="P436" s="3"/>
      <c r="Q436" s="3"/>
      <c r="R436" s="3"/>
      <c r="S436" s="3"/>
      <c r="T436" s="3"/>
      <c r="U436" s="3"/>
      <c r="V436" s="3"/>
      <c r="W436" s="3"/>
      <c r="X436" s="3"/>
      <c r="Y436" s="3"/>
      <c r="Z436" s="3"/>
      <c r="AA436" s="3"/>
      <c r="AB436" s="3"/>
      <c r="AC436" s="3"/>
      <c r="AD436" s="3"/>
      <c r="AE436" s="3"/>
      <c r="AF436" s="3"/>
    </row>
    <row r="437" spans="1:32" x14ac:dyDescent="0.15">
      <c r="A437" s="3"/>
      <c r="I437" s="3"/>
      <c r="J437" s="3"/>
      <c r="K437" s="3"/>
      <c r="L437" s="139"/>
      <c r="M437" s="3"/>
      <c r="N437" s="3"/>
      <c r="O437" s="3"/>
      <c r="P437" s="3"/>
      <c r="Q437" s="3"/>
      <c r="R437" s="3"/>
      <c r="S437" s="3"/>
      <c r="T437" s="3"/>
      <c r="U437" s="3"/>
      <c r="V437" s="3"/>
      <c r="W437" s="3"/>
      <c r="X437" s="3"/>
      <c r="Y437" s="3"/>
      <c r="Z437" s="3"/>
      <c r="AA437" s="3"/>
      <c r="AB437" s="3"/>
      <c r="AC437" s="3"/>
      <c r="AD437" s="3"/>
      <c r="AE437" s="3"/>
      <c r="AF437" s="3"/>
    </row>
    <row r="438" spans="1:32" x14ac:dyDescent="0.15">
      <c r="A438" s="3"/>
      <c r="I438" s="3"/>
      <c r="J438" s="3"/>
      <c r="K438" s="3"/>
      <c r="L438" s="139"/>
      <c r="M438" s="3"/>
      <c r="N438" s="3"/>
      <c r="O438" s="3"/>
      <c r="P438" s="3"/>
      <c r="Q438" s="3"/>
      <c r="R438" s="3"/>
      <c r="S438" s="3"/>
      <c r="T438" s="3"/>
      <c r="U438" s="3"/>
      <c r="V438" s="3"/>
      <c r="W438" s="3"/>
      <c r="X438" s="3"/>
      <c r="Y438" s="3"/>
      <c r="Z438" s="3"/>
      <c r="AA438" s="3"/>
      <c r="AB438" s="3"/>
      <c r="AC438" s="3"/>
      <c r="AD438" s="3"/>
      <c r="AE438" s="3"/>
      <c r="AF438" s="3"/>
    </row>
    <row r="439" spans="1:32" x14ac:dyDescent="0.15">
      <c r="A439" s="3"/>
      <c r="I439" s="3"/>
      <c r="J439" s="3"/>
      <c r="K439" s="3"/>
      <c r="L439" s="139"/>
      <c r="M439" s="3"/>
      <c r="N439" s="3"/>
      <c r="O439" s="3"/>
      <c r="P439" s="3"/>
      <c r="Q439" s="3"/>
      <c r="R439" s="3"/>
      <c r="S439" s="3"/>
      <c r="T439" s="3"/>
      <c r="U439" s="3"/>
      <c r="V439" s="3"/>
      <c r="W439" s="3"/>
      <c r="X439" s="3"/>
      <c r="Y439" s="3"/>
      <c r="Z439" s="3"/>
      <c r="AA439" s="3"/>
      <c r="AB439" s="3"/>
      <c r="AC439" s="3"/>
      <c r="AD439" s="3"/>
      <c r="AE439" s="3"/>
      <c r="AF439" s="3"/>
    </row>
    <row r="440" spans="1:32" x14ac:dyDescent="0.15">
      <c r="A440" s="3"/>
      <c r="I440" s="3"/>
      <c r="J440" s="3"/>
      <c r="K440" s="3"/>
      <c r="L440" s="139"/>
      <c r="M440" s="3"/>
      <c r="N440" s="3"/>
      <c r="O440" s="3"/>
      <c r="P440" s="3"/>
      <c r="Q440" s="3"/>
      <c r="R440" s="3"/>
      <c r="S440" s="3"/>
      <c r="T440" s="3"/>
      <c r="U440" s="3"/>
      <c r="V440" s="3"/>
      <c r="W440" s="3"/>
      <c r="X440" s="3"/>
      <c r="Y440" s="3"/>
      <c r="Z440" s="3"/>
      <c r="AA440" s="3"/>
      <c r="AB440" s="3"/>
      <c r="AC440" s="3"/>
      <c r="AD440" s="3"/>
      <c r="AE440" s="3"/>
      <c r="AF440" s="3"/>
    </row>
    <row r="441" spans="1:32" x14ac:dyDescent="0.15">
      <c r="A441" s="3"/>
      <c r="I441" s="3"/>
      <c r="J441" s="3"/>
      <c r="K441" s="3"/>
      <c r="L441" s="139"/>
      <c r="M441" s="3"/>
      <c r="N441" s="3"/>
      <c r="O441" s="3"/>
      <c r="P441" s="3"/>
      <c r="Q441" s="3"/>
      <c r="R441" s="3"/>
      <c r="S441" s="3"/>
      <c r="T441" s="3"/>
      <c r="U441" s="3"/>
      <c r="V441" s="3"/>
      <c r="W441" s="3"/>
      <c r="X441" s="3"/>
      <c r="Y441" s="3"/>
      <c r="Z441" s="3"/>
      <c r="AA441" s="3"/>
      <c r="AB441" s="3"/>
      <c r="AC441" s="3"/>
      <c r="AD441" s="3"/>
      <c r="AE441" s="3"/>
      <c r="AF441" s="3"/>
    </row>
    <row r="442" spans="1:32" x14ac:dyDescent="0.15">
      <c r="A442" s="3"/>
      <c r="I442" s="3"/>
      <c r="J442" s="3"/>
      <c r="K442" s="3"/>
      <c r="L442" s="139"/>
      <c r="M442" s="3"/>
      <c r="N442" s="3"/>
      <c r="O442" s="3"/>
      <c r="P442" s="3"/>
      <c r="Q442" s="3"/>
      <c r="R442" s="3"/>
      <c r="S442" s="3"/>
      <c r="T442" s="3"/>
      <c r="U442" s="3"/>
      <c r="V442" s="3"/>
      <c r="W442" s="3"/>
      <c r="X442" s="3"/>
      <c r="Y442" s="3"/>
      <c r="Z442" s="3"/>
      <c r="AA442" s="3"/>
      <c r="AB442" s="3"/>
      <c r="AC442" s="3"/>
      <c r="AD442" s="3"/>
      <c r="AE442" s="3"/>
      <c r="AF442" s="3"/>
    </row>
    <row r="443" spans="1:32" x14ac:dyDescent="0.15">
      <c r="A443" s="3"/>
      <c r="I443" s="3"/>
      <c r="J443" s="3"/>
      <c r="K443" s="3"/>
      <c r="L443" s="139"/>
      <c r="M443" s="3"/>
      <c r="N443" s="3"/>
      <c r="O443" s="3"/>
      <c r="P443" s="3"/>
      <c r="Q443" s="3"/>
      <c r="R443" s="3"/>
      <c r="S443" s="3"/>
      <c r="T443" s="3"/>
      <c r="U443" s="3"/>
      <c r="V443" s="3"/>
      <c r="W443" s="3"/>
      <c r="X443" s="3"/>
      <c r="Y443" s="3"/>
      <c r="Z443" s="3"/>
      <c r="AA443" s="3"/>
      <c r="AB443" s="3"/>
      <c r="AC443" s="3"/>
      <c r="AD443" s="3"/>
      <c r="AE443" s="3"/>
      <c r="AF443" s="3"/>
    </row>
    <row r="444" spans="1:32" x14ac:dyDescent="0.15">
      <c r="A444" s="3"/>
      <c r="I444" s="3"/>
      <c r="J444" s="3"/>
      <c r="K444" s="3"/>
      <c r="L444" s="139"/>
      <c r="M444" s="3"/>
      <c r="N444" s="3"/>
      <c r="O444" s="3"/>
      <c r="P444" s="3"/>
      <c r="Q444" s="3"/>
      <c r="R444" s="3"/>
      <c r="S444" s="3"/>
      <c r="T444" s="3"/>
      <c r="U444" s="3"/>
      <c r="V444" s="3"/>
      <c r="W444" s="3"/>
      <c r="X444" s="3"/>
      <c r="Y444" s="3"/>
      <c r="Z444" s="3"/>
      <c r="AA444" s="3"/>
      <c r="AB444" s="3"/>
      <c r="AC444" s="3"/>
      <c r="AD444" s="3"/>
      <c r="AE444" s="3"/>
      <c r="AF444" s="3"/>
    </row>
    <row r="445" spans="1:32" x14ac:dyDescent="0.15">
      <c r="A445" s="3"/>
      <c r="I445" s="3"/>
      <c r="J445" s="3"/>
      <c r="K445" s="3"/>
      <c r="L445" s="139"/>
      <c r="M445" s="3"/>
      <c r="N445" s="3"/>
      <c r="O445" s="3"/>
      <c r="P445" s="3"/>
      <c r="Q445" s="3"/>
      <c r="R445" s="3"/>
      <c r="S445" s="3"/>
      <c r="T445" s="3"/>
      <c r="U445" s="3"/>
      <c r="V445" s="3"/>
      <c r="W445" s="3"/>
      <c r="X445" s="3"/>
      <c r="Y445" s="3"/>
      <c r="Z445" s="3"/>
      <c r="AA445" s="3"/>
      <c r="AB445" s="3"/>
      <c r="AC445" s="3"/>
      <c r="AD445" s="3"/>
      <c r="AE445" s="3"/>
      <c r="AF445" s="3"/>
    </row>
    <row r="446" spans="1:32" x14ac:dyDescent="0.15">
      <c r="A446" s="3"/>
      <c r="I446" s="3"/>
      <c r="J446" s="3"/>
      <c r="K446" s="3"/>
      <c r="L446" s="139"/>
      <c r="M446" s="3"/>
      <c r="N446" s="3"/>
      <c r="O446" s="3"/>
      <c r="P446" s="3"/>
      <c r="Q446" s="3"/>
      <c r="R446" s="3"/>
      <c r="S446" s="3"/>
      <c r="T446" s="3"/>
      <c r="U446" s="3"/>
      <c r="V446" s="3"/>
      <c r="W446" s="3"/>
      <c r="X446" s="3"/>
      <c r="Y446" s="3"/>
      <c r="Z446" s="3"/>
      <c r="AA446" s="3"/>
      <c r="AB446" s="3"/>
      <c r="AC446" s="3"/>
      <c r="AD446" s="3"/>
      <c r="AE446" s="3"/>
      <c r="AF446" s="3"/>
    </row>
    <row r="447" spans="1:32" x14ac:dyDescent="0.15">
      <c r="A447" s="3"/>
      <c r="I447" s="3"/>
      <c r="J447" s="3"/>
      <c r="K447" s="3"/>
      <c r="L447" s="139"/>
      <c r="M447" s="3"/>
      <c r="N447" s="3"/>
      <c r="O447" s="3"/>
      <c r="P447" s="3"/>
      <c r="Q447" s="3"/>
      <c r="R447" s="3"/>
      <c r="S447" s="3"/>
      <c r="T447" s="3"/>
      <c r="U447" s="3"/>
      <c r="V447" s="3"/>
      <c r="W447" s="3"/>
      <c r="X447" s="3"/>
      <c r="Y447" s="3"/>
      <c r="Z447" s="3"/>
      <c r="AA447" s="3"/>
      <c r="AB447" s="3"/>
      <c r="AC447" s="3"/>
      <c r="AD447" s="3"/>
      <c r="AE447" s="3"/>
      <c r="AF447" s="3"/>
    </row>
    <row r="448" spans="1:32" x14ac:dyDescent="0.15">
      <c r="A448" s="3"/>
      <c r="I448" s="3"/>
      <c r="J448" s="3"/>
      <c r="K448" s="3"/>
      <c r="L448" s="139"/>
      <c r="M448" s="3"/>
      <c r="N448" s="3"/>
      <c r="O448" s="3"/>
      <c r="P448" s="3"/>
      <c r="Q448" s="3"/>
      <c r="R448" s="3"/>
      <c r="S448" s="3"/>
      <c r="T448" s="3"/>
      <c r="U448" s="3"/>
      <c r="V448" s="3"/>
      <c r="W448" s="3"/>
      <c r="X448" s="3"/>
      <c r="Y448" s="3"/>
      <c r="Z448" s="3"/>
      <c r="AA448" s="3"/>
      <c r="AB448" s="3"/>
      <c r="AC448" s="3"/>
      <c r="AD448" s="3"/>
      <c r="AE448" s="3"/>
      <c r="AF448" s="3"/>
    </row>
    <row r="449" spans="1:32" x14ac:dyDescent="0.15">
      <c r="A449" s="3"/>
      <c r="I449" s="3"/>
      <c r="J449" s="3"/>
      <c r="K449" s="3"/>
      <c r="L449" s="139"/>
      <c r="M449" s="3"/>
      <c r="N449" s="3"/>
      <c r="O449" s="3"/>
      <c r="P449" s="3"/>
      <c r="Q449" s="3"/>
      <c r="R449" s="3"/>
      <c r="S449" s="3"/>
      <c r="T449" s="3"/>
      <c r="U449" s="3"/>
      <c r="V449" s="3"/>
      <c r="W449" s="3"/>
      <c r="X449" s="3"/>
      <c r="Y449" s="3"/>
      <c r="Z449" s="3"/>
      <c r="AA449" s="3"/>
      <c r="AB449" s="3"/>
      <c r="AC449" s="3"/>
      <c r="AD449" s="3"/>
      <c r="AE449" s="3"/>
      <c r="AF449" s="3"/>
    </row>
    <row r="450" spans="1:32" x14ac:dyDescent="0.15">
      <c r="A450" s="3"/>
      <c r="I450" s="3"/>
      <c r="J450" s="3"/>
      <c r="K450" s="3"/>
      <c r="L450" s="139"/>
      <c r="M450" s="3"/>
      <c r="N450" s="3"/>
      <c r="O450" s="3"/>
      <c r="P450" s="3"/>
      <c r="Q450" s="3"/>
      <c r="R450" s="3"/>
      <c r="S450" s="3"/>
      <c r="T450" s="3"/>
      <c r="U450" s="3"/>
      <c r="V450" s="3"/>
      <c r="W450" s="3"/>
      <c r="X450" s="3"/>
      <c r="Y450" s="3"/>
      <c r="Z450" s="3"/>
      <c r="AA450" s="3"/>
      <c r="AB450" s="3"/>
      <c r="AC450" s="3"/>
      <c r="AD450" s="3"/>
      <c r="AE450" s="3"/>
      <c r="AF450" s="3"/>
    </row>
    <row r="451" spans="1:32" x14ac:dyDescent="0.15">
      <c r="A451" s="3"/>
      <c r="I451" s="3"/>
      <c r="J451" s="3"/>
      <c r="K451" s="3"/>
      <c r="L451" s="139"/>
      <c r="M451" s="3"/>
      <c r="N451" s="3"/>
      <c r="O451" s="3"/>
      <c r="P451" s="3"/>
      <c r="Q451" s="3"/>
      <c r="R451" s="3"/>
      <c r="S451" s="3"/>
      <c r="T451" s="3"/>
      <c r="U451" s="3"/>
      <c r="V451" s="3"/>
      <c r="W451" s="3"/>
      <c r="X451" s="3"/>
      <c r="Y451" s="3"/>
      <c r="Z451" s="3"/>
      <c r="AA451" s="3"/>
      <c r="AB451" s="3"/>
      <c r="AC451" s="3"/>
      <c r="AD451" s="3"/>
      <c r="AE451" s="3"/>
      <c r="AF451" s="3"/>
    </row>
    <row r="452" spans="1:32" x14ac:dyDescent="0.15">
      <c r="A452" s="3"/>
      <c r="I452" s="3"/>
      <c r="J452" s="3"/>
      <c r="K452" s="3"/>
      <c r="L452" s="139"/>
      <c r="M452" s="3"/>
      <c r="N452" s="3"/>
      <c r="O452" s="3"/>
      <c r="P452" s="3"/>
      <c r="Q452" s="3"/>
      <c r="R452" s="3"/>
      <c r="S452" s="3"/>
      <c r="T452" s="3"/>
      <c r="U452" s="3"/>
      <c r="V452" s="3"/>
      <c r="W452" s="3"/>
      <c r="X452" s="3"/>
      <c r="Y452" s="3"/>
      <c r="Z452" s="3"/>
      <c r="AA452" s="3"/>
      <c r="AB452" s="3"/>
      <c r="AC452" s="3"/>
      <c r="AD452" s="3"/>
      <c r="AE452" s="3"/>
      <c r="AF452" s="3"/>
    </row>
    <row r="453" spans="1:32" x14ac:dyDescent="0.15">
      <c r="A453" s="3"/>
      <c r="I453" s="3"/>
      <c r="J453" s="3"/>
      <c r="K453" s="3"/>
      <c r="L453" s="139"/>
      <c r="M453" s="3"/>
      <c r="N453" s="3"/>
      <c r="O453" s="3"/>
      <c r="P453" s="3"/>
      <c r="Q453" s="3"/>
      <c r="R453" s="3"/>
      <c r="S453" s="3"/>
      <c r="T453" s="3"/>
      <c r="U453" s="3"/>
      <c r="V453" s="3"/>
      <c r="W453" s="3"/>
      <c r="X453" s="3"/>
      <c r="Y453" s="3"/>
      <c r="Z453" s="3"/>
      <c r="AA453" s="3"/>
      <c r="AB453" s="3"/>
      <c r="AC453" s="3"/>
      <c r="AD453" s="3"/>
      <c r="AE453" s="3"/>
      <c r="AF453" s="3"/>
    </row>
    <row r="454" spans="1:32" x14ac:dyDescent="0.15">
      <c r="A454" s="3"/>
      <c r="I454" s="3"/>
      <c r="J454" s="3"/>
      <c r="K454" s="3"/>
      <c r="L454" s="139"/>
      <c r="M454" s="3"/>
      <c r="N454" s="3"/>
      <c r="O454" s="3"/>
      <c r="P454" s="3"/>
      <c r="Q454" s="3"/>
      <c r="R454" s="3"/>
      <c r="S454" s="3"/>
      <c r="T454" s="3"/>
      <c r="U454" s="3"/>
      <c r="V454" s="3"/>
      <c r="W454" s="3"/>
      <c r="X454" s="3"/>
      <c r="Y454" s="3"/>
      <c r="Z454" s="3"/>
      <c r="AA454" s="3"/>
      <c r="AB454" s="3"/>
      <c r="AC454" s="3"/>
      <c r="AD454" s="3"/>
      <c r="AE454" s="3"/>
      <c r="AF454" s="3"/>
    </row>
    <row r="455" spans="1:32" x14ac:dyDescent="0.15">
      <c r="A455" s="3"/>
      <c r="I455" s="3"/>
      <c r="J455" s="3"/>
      <c r="K455" s="3"/>
      <c r="L455" s="139"/>
      <c r="M455" s="3"/>
      <c r="N455" s="3"/>
      <c r="O455" s="3"/>
      <c r="P455" s="3"/>
      <c r="Q455" s="3"/>
      <c r="R455" s="3"/>
      <c r="S455" s="3"/>
      <c r="T455" s="3"/>
      <c r="U455" s="3"/>
      <c r="V455" s="3"/>
      <c r="W455" s="3"/>
      <c r="X455" s="3"/>
      <c r="Y455" s="3"/>
      <c r="Z455" s="3"/>
      <c r="AA455" s="3"/>
      <c r="AB455" s="3"/>
      <c r="AC455" s="3"/>
      <c r="AD455" s="3"/>
      <c r="AE455" s="3"/>
      <c r="AF455" s="3"/>
    </row>
    <row r="456" spans="1:32" x14ac:dyDescent="0.15">
      <c r="A456" s="3"/>
      <c r="I456" s="3"/>
      <c r="J456" s="3"/>
      <c r="K456" s="3"/>
      <c r="L456" s="139"/>
      <c r="M456" s="3"/>
      <c r="N456" s="3"/>
      <c r="O456" s="3"/>
      <c r="P456" s="3"/>
      <c r="Q456" s="3"/>
      <c r="R456" s="3"/>
      <c r="S456" s="3"/>
      <c r="T456" s="3"/>
      <c r="U456" s="3"/>
      <c r="V456" s="3"/>
      <c r="W456" s="3"/>
      <c r="X456" s="3"/>
      <c r="Y456" s="3"/>
      <c r="Z456" s="3"/>
      <c r="AA456" s="3"/>
      <c r="AB456" s="3"/>
      <c r="AC456" s="3"/>
      <c r="AD456" s="3"/>
      <c r="AE456" s="3"/>
      <c r="AF456" s="3"/>
    </row>
    <row r="457" spans="1:32" x14ac:dyDescent="0.15">
      <c r="A457" s="3"/>
      <c r="I457" s="3"/>
      <c r="J457" s="3"/>
      <c r="K457" s="3"/>
      <c r="L457" s="139"/>
      <c r="M457" s="3"/>
      <c r="N457" s="3"/>
      <c r="O457" s="3"/>
      <c r="P457" s="3"/>
      <c r="Q457" s="3"/>
      <c r="R457" s="3"/>
      <c r="S457" s="3"/>
      <c r="T457" s="3"/>
      <c r="U457" s="3"/>
      <c r="V457" s="3"/>
      <c r="W457" s="3"/>
      <c r="X457" s="3"/>
      <c r="Y457" s="3"/>
      <c r="Z457" s="3"/>
      <c r="AA457" s="3"/>
      <c r="AB457" s="3"/>
      <c r="AC457" s="3"/>
      <c r="AD457" s="3"/>
      <c r="AE457" s="3"/>
      <c r="AF457" s="3"/>
    </row>
    <row r="458" spans="1:32" x14ac:dyDescent="0.15">
      <c r="A458" s="3"/>
      <c r="I458" s="3"/>
      <c r="J458" s="3"/>
      <c r="K458" s="3"/>
      <c r="L458" s="139"/>
      <c r="M458" s="3"/>
      <c r="N458" s="3"/>
      <c r="O458" s="3"/>
      <c r="P458" s="3"/>
      <c r="Q458" s="3"/>
      <c r="R458" s="3"/>
      <c r="S458" s="3"/>
      <c r="T458" s="3"/>
      <c r="U458" s="3"/>
      <c r="V458" s="3"/>
      <c r="W458" s="3"/>
      <c r="X458" s="3"/>
      <c r="Y458" s="3"/>
      <c r="Z458" s="3"/>
      <c r="AA458" s="3"/>
      <c r="AB458" s="3"/>
      <c r="AC458" s="3"/>
      <c r="AD458" s="3"/>
      <c r="AE458" s="3"/>
      <c r="AF458" s="3"/>
    </row>
    <row r="459" spans="1:32" x14ac:dyDescent="0.15">
      <c r="A459" s="3"/>
      <c r="I459" s="3"/>
      <c r="J459" s="3"/>
      <c r="K459" s="3"/>
      <c r="L459" s="139"/>
      <c r="M459" s="3"/>
      <c r="N459" s="3"/>
      <c r="O459" s="3"/>
      <c r="P459" s="3"/>
      <c r="Q459" s="3"/>
      <c r="R459" s="3"/>
      <c r="S459" s="3"/>
      <c r="T459" s="3"/>
      <c r="U459" s="3"/>
      <c r="V459" s="3"/>
      <c r="W459" s="3"/>
      <c r="X459" s="3"/>
      <c r="Y459" s="3"/>
      <c r="Z459" s="3"/>
      <c r="AA459" s="3"/>
      <c r="AB459" s="3"/>
      <c r="AC459" s="3"/>
      <c r="AD459" s="3"/>
      <c r="AE459" s="3"/>
      <c r="AF459" s="3"/>
    </row>
    <row r="460" spans="1:32" x14ac:dyDescent="0.15">
      <c r="A460" s="3"/>
      <c r="I460" s="3"/>
      <c r="J460" s="3"/>
      <c r="K460" s="3"/>
      <c r="L460" s="139"/>
      <c r="M460" s="3"/>
      <c r="N460" s="3"/>
      <c r="O460" s="3"/>
      <c r="P460" s="3"/>
      <c r="Q460" s="3"/>
      <c r="R460" s="3"/>
      <c r="S460" s="3"/>
      <c r="T460" s="3"/>
      <c r="U460" s="3"/>
      <c r="V460" s="3"/>
      <c r="W460" s="3"/>
      <c r="X460" s="3"/>
      <c r="Y460" s="3"/>
      <c r="Z460" s="3"/>
      <c r="AA460" s="3"/>
      <c r="AB460" s="3"/>
      <c r="AC460" s="3"/>
      <c r="AD460" s="3"/>
      <c r="AE460" s="3"/>
      <c r="AF460" s="3"/>
    </row>
    <row r="461" spans="1:32" x14ac:dyDescent="0.15">
      <c r="A461" s="3"/>
      <c r="I461" s="3"/>
      <c r="J461" s="3"/>
      <c r="K461" s="3"/>
      <c r="L461" s="139"/>
      <c r="M461" s="3"/>
      <c r="N461" s="3"/>
      <c r="O461" s="3"/>
      <c r="P461" s="3"/>
      <c r="Q461" s="3"/>
      <c r="R461" s="3"/>
      <c r="S461" s="3"/>
      <c r="T461" s="3"/>
      <c r="U461" s="3"/>
      <c r="V461" s="3"/>
      <c r="W461" s="3"/>
      <c r="X461" s="3"/>
      <c r="Y461" s="3"/>
      <c r="Z461" s="3"/>
      <c r="AA461" s="3"/>
      <c r="AB461" s="3"/>
      <c r="AC461" s="3"/>
      <c r="AD461" s="3"/>
      <c r="AE461" s="3"/>
      <c r="AF461" s="3"/>
    </row>
    <row r="462" spans="1:32" x14ac:dyDescent="0.15">
      <c r="A462" s="3"/>
      <c r="I462" s="3"/>
      <c r="J462" s="3"/>
      <c r="K462" s="3"/>
      <c r="L462" s="139"/>
      <c r="M462" s="3"/>
      <c r="N462" s="3"/>
      <c r="O462" s="3"/>
      <c r="P462" s="3"/>
      <c r="Q462" s="3"/>
      <c r="R462" s="3"/>
      <c r="S462" s="3"/>
      <c r="T462" s="3"/>
      <c r="U462" s="3"/>
      <c r="V462" s="3"/>
      <c r="W462" s="3"/>
      <c r="X462" s="3"/>
      <c r="Y462" s="3"/>
      <c r="Z462" s="3"/>
      <c r="AA462" s="3"/>
      <c r="AB462" s="3"/>
      <c r="AC462" s="3"/>
      <c r="AD462" s="3"/>
      <c r="AE462" s="3"/>
      <c r="AF462" s="3"/>
    </row>
    <row r="463" spans="1:32" x14ac:dyDescent="0.15">
      <c r="A463" s="3"/>
      <c r="I463" s="3"/>
      <c r="J463" s="3"/>
      <c r="K463" s="3"/>
      <c r="L463" s="139"/>
      <c r="M463" s="3"/>
      <c r="N463" s="3"/>
      <c r="O463" s="3"/>
      <c r="P463" s="3"/>
      <c r="Q463" s="3"/>
      <c r="R463" s="3"/>
      <c r="S463" s="3"/>
      <c r="T463" s="3"/>
      <c r="U463" s="3"/>
      <c r="V463" s="3"/>
      <c r="W463" s="3"/>
      <c r="X463" s="3"/>
      <c r="Y463" s="3"/>
      <c r="Z463" s="3"/>
      <c r="AA463" s="3"/>
      <c r="AB463" s="3"/>
      <c r="AC463" s="3"/>
      <c r="AD463" s="3"/>
      <c r="AE463" s="3"/>
      <c r="AF463" s="3"/>
    </row>
    <row r="464" spans="1:32" x14ac:dyDescent="0.15">
      <c r="A464" s="3"/>
      <c r="I464" s="3"/>
      <c r="J464" s="3"/>
      <c r="K464" s="3"/>
      <c r="L464" s="139"/>
      <c r="M464" s="3"/>
      <c r="N464" s="3"/>
      <c r="O464" s="3"/>
      <c r="P464" s="3"/>
      <c r="Q464" s="3"/>
      <c r="R464" s="3"/>
      <c r="S464" s="3"/>
      <c r="T464" s="3"/>
      <c r="U464" s="3"/>
      <c r="V464" s="3"/>
      <c r="W464" s="3"/>
      <c r="X464" s="3"/>
      <c r="Y464" s="3"/>
      <c r="Z464" s="3"/>
      <c r="AA464" s="3"/>
      <c r="AB464" s="3"/>
      <c r="AC464" s="3"/>
      <c r="AD464" s="3"/>
      <c r="AE464" s="3"/>
      <c r="AF464" s="3"/>
    </row>
    <row r="465" spans="1:32" x14ac:dyDescent="0.15">
      <c r="A465" s="3"/>
      <c r="I465" s="3"/>
      <c r="J465" s="3"/>
      <c r="K465" s="3"/>
      <c r="L465" s="139"/>
      <c r="M465" s="3"/>
      <c r="N465" s="3"/>
      <c r="O465" s="3"/>
      <c r="P465" s="3"/>
      <c r="Q465" s="3"/>
      <c r="R465" s="3"/>
      <c r="S465" s="3"/>
      <c r="T465" s="3"/>
      <c r="U465" s="3"/>
      <c r="V465" s="3"/>
      <c r="W465" s="3"/>
      <c r="X465" s="3"/>
      <c r="Y465" s="3"/>
      <c r="Z465" s="3"/>
      <c r="AA465" s="3"/>
      <c r="AB465" s="3"/>
      <c r="AC465" s="3"/>
      <c r="AD465" s="3"/>
      <c r="AE465" s="3"/>
      <c r="AF465" s="3"/>
    </row>
    <row r="466" spans="1:32" x14ac:dyDescent="0.15">
      <c r="A466" s="3"/>
      <c r="I466" s="3"/>
      <c r="J466" s="3"/>
      <c r="K466" s="3"/>
      <c r="L466" s="139"/>
      <c r="M466" s="3"/>
      <c r="N466" s="3"/>
      <c r="O466" s="3"/>
      <c r="P466" s="3"/>
      <c r="Q466" s="3"/>
      <c r="R466" s="3"/>
      <c r="S466" s="3"/>
      <c r="T466" s="3"/>
      <c r="U466" s="3"/>
      <c r="V466" s="3"/>
      <c r="W466" s="3"/>
      <c r="X466" s="3"/>
      <c r="Y466" s="3"/>
      <c r="Z466" s="3"/>
      <c r="AA466" s="3"/>
      <c r="AB466" s="3"/>
      <c r="AC466" s="3"/>
      <c r="AD466" s="3"/>
      <c r="AE466" s="3"/>
      <c r="AF466" s="3"/>
    </row>
    <row r="467" spans="1:32" x14ac:dyDescent="0.15">
      <c r="A467" s="3"/>
      <c r="I467" s="3"/>
      <c r="J467" s="3"/>
      <c r="K467" s="3"/>
      <c r="L467" s="139"/>
      <c r="M467" s="3"/>
      <c r="N467" s="3"/>
      <c r="O467" s="3"/>
      <c r="P467" s="3"/>
      <c r="Q467" s="3"/>
      <c r="R467" s="3"/>
      <c r="S467" s="3"/>
      <c r="T467" s="3"/>
      <c r="U467" s="3"/>
      <c r="V467" s="3"/>
      <c r="W467" s="3"/>
      <c r="X467" s="3"/>
      <c r="Y467" s="3"/>
      <c r="Z467" s="3"/>
      <c r="AA467" s="3"/>
      <c r="AB467" s="3"/>
      <c r="AC467" s="3"/>
      <c r="AD467" s="3"/>
      <c r="AE467" s="3"/>
      <c r="AF467" s="3"/>
    </row>
    <row r="468" spans="1:32" x14ac:dyDescent="0.15">
      <c r="A468" s="3"/>
      <c r="I468" s="3"/>
      <c r="J468" s="3"/>
      <c r="K468" s="3"/>
      <c r="L468" s="139"/>
      <c r="M468" s="3"/>
      <c r="N468" s="3"/>
      <c r="O468" s="3"/>
      <c r="P468" s="3"/>
      <c r="Q468" s="3"/>
      <c r="R468" s="3"/>
      <c r="S468" s="3"/>
      <c r="T468" s="3"/>
      <c r="U468" s="3"/>
      <c r="V468" s="3"/>
      <c r="W468" s="3"/>
      <c r="X468" s="3"/>
      <c r="Y468" s="3"/>
      <c r="Z468" s="3"/>
      <c r="AA468" s="3"/>
      <c r="AB468" s="3"/>
      <c r="AC468" s="3"/>
      <c r="AD468" s="3"/>
      <c r="AE468" s="3"/>
      <c r="AF468" s="3"/>
    </row>
    <row r="469" spans="1:32" x14ac:dyDescent="0.15">
      <c r="A469" s="3"/>
      <c r="I469" s="3"/>
      <c r="J469" s="3"/>
      <c r="K469" s="3"/>
      <c r="L469" s="139"/>
      <c r="M469" s="3"/>
      <c r="N469" s="3"/>
      <c r="O469" s="3"/>
      <c r="P469" s="3"/>
      <c r="Q469" s="3"/>
      <c r="R469" s="3"/>
      <c r="S469" s="3"/>
      <c r="T469" s="3"/>
      <c r="U469" s="3"/>
      <c r="V469" s="3"/>
      <c r="W469" s="3"/>
      <c r="X469" s="3"/>
      <c r="Y469" s="3"/>
      <c r="Z469" s="3"/>
      <c r="AA469" s="3"/>
      <c r="AB469" s="3"/>
      <c r="AC469" s="3"/>
      <c r="AD469" s="3"/>
      <c r="AE469" s="3"/>
      <c r="AF469" s="3"/>
    </row>
    <row r="470" spans="1:32" x14ac:dyDescent="0.15">
      <c r="A470" s="3"/>
      <c r="I470" s="3"/>
      <c r="J470" s="3"/>
      <c r="K470" s="3"/>
      <c r="L470" s="139"/>
      <c r="M470" s="3"/>
      <c r="N470" s="3"/>
      <c r="O470" s="3"/>
      <c r="P470" s="3"/>
      <c r="Q470" s="3"/>
      <c r="R470" s="3"/>
      <c r="S470" s="3"/>
      <c r="T470" s="3"/>
      <c r="U470" s="3"/>
      <c r="V470" s="3"/>
      <c r="W470" s="3"/>
      <c r="X470" s="3"/>
      <c r="Y470" s="3"/>
      <c r="Z470" s="3"/>
      <c r="AA470" s="3"/>
      <c r="AB470" s="3"/>
      <c r="AC470" s="3"/>
      <c r="AD470" s="3"/>
      <c r="AE470" s="3"/>
      <c r="AF470" s="3"/>
    </row>
    <row r="471" spans="1:32" x14ac:dyDescent="0.15">
      <c r="A471" s="3"/>
      <c r="I471" s="3"/>
      <c r="J471" s="3"/>
      <c r="K471" s="3"/>
      <c r="L471" s="139"/>
      <c r="M471" s="3"/>
      <c r="N471" s="3"/>
      <c r="O471" s="3"/>
      <c r="P471" s="3"/>
      <c r="Q471" s="3"/>
      <c r="R471" s="3"/>
      <c r="S471" s="3"/>
      <c r="T471" s="3"/>
      <c r="U471" s="3"/>
      <c r="V471" s="3"/>
      <c r="W471" s="3"/>
      <c r="X471" s="3"/>
      <c r="Y471" s="3"/>
      <c r="Z471" s="3"/>
      <c r="AA471" s="3"/>
      <c r="AB471" s="3"/>
      <c r="AC471" s="3"/>
      <c r="AD471" s="3"/>
      <c r="AE471" s="3"/>
      <c r="AF471" s="3"/>
    </row>
    <row r="472" spans="1:32" x14ac:dyDescent="0.15">
      <c r="A472" s="3"/>
      <c r="I472" s="3"/>
      <c r="J472" s="3"/>
      <c r="K472" s="3"/>
      <c r="L472" s="139"/>
      <c r="M472" s="3"/>
      <c r="N472" s="3"/>
      <c r="O472" s="3"/>
      <c r="P472" s="3"/>
      <c r="Q472" s="3"/>
      <c r="R472" s="3"/>
      <c r="S472" s="3"/>
      <c r="T472" s="3"/>
      <c r="U472" s="3"/>
      <c r="V472" s="3"/>
      <c r="W472" s="3"/>
      <c r="X472" s="3"/>
      <c r="Y472" s="3"/>
      <c r="Z472" s="3"/>
      <c r="AA472" s="3"/>
      <c r="AB472" s="3"/>
      <c r="AC472" s="3"/>
      <c r="AD472" s="3"/>
      <c r="AE472" s="3"/>
      <c r="AF472" s="3"/>
    </row>
    <row r="473" spans="1:32" x14ac:dyDescent="0.15">
      <c r="A473" s="3"/>
      <c r="I473" s="3"/>
      <c r="J473" s="3"/>
      <c r="K473" s="3"/>
      <c r="L473" s="139"/>
      <c r="M473" s="3"/>
      <c r="N473" s="3"/>
      <c r="O473" s="3"/>
      <c r="P473" s="3"/>
      <c r="Q473" s="3"/>
      <c r="R473" s="3"/>
      <c r="S473" s="3"/>
      <c r="T473" s="3"/>
      <c r="U473" s="3"/>
      <c r="V473" s="3"/>
      <c r="W473" s="3"/>
      <c r="X473" s="3"/>
      <c r="Y473" s="3"/>
      <c r="Z473" s="3"/>
      <c r="AA473" s="3"/>
      <c r="AB473" s="3"/>
      <c r="AC473" s="3"/>
      <c r="AD473" s="3"/>
      <c r="AE473" s="3"/>
      <c r="AF473" s="3"/>
    </row>
    <row r="474" spans="1:32" x14ac:dyDescent="0.15">
      <c r="A474" s="3"/>
      <c r="I474" s="3"/>
      <c r="J474" s="3"/>
      <c r="K474" s="3"/>
      <c r="L474" s="139"/>
      <c r="M474" s="3"/>
      <c r="N474" s="3"/>
      <c r="O474" s="3"/>
      <c r="P474" s="3"/>
      <c r="Q474" s="3"/>
      <c r="R474" s="3"/>
      <c r="S474" s="3"/>
      <c r="T474" s="3"/>
      <c r="U474" s="3"/>
      <c r="V474" s="3"/>
      <c r="W474" s="3"/>
      <c r="X474" s="3"/>
      <c r="Y474" s="3"/>
      <c r="Z474" s="3"/>
      <c r="AA474" s="3"/>
      <c r="AB474" s="3"/>
      <c r="AC474" s="3"/>
      <c r="AD474" s="3"/>
      <c r="AE474" s="3"/>
      <c r="AF474" s="3"/>
    </row>
    <row r="475" spans="1:32" x14ac:dyDescent="0.15">
      <c r="A475" s="3"/>
      <c r="I475" s="3"/>
      <c r="J475" s="3"/>
      <c r="K475" s="3"/>
      <c r="L475" s="139"/>
      <c r="M475" s="3"/>
      <c r="N475" s="3"/>
      <c r="O475" s="3"/>
      <c r="P475" s="3"/>
      <c r="Q475" s="3"/>
      <c r="R475" s="3"/>
      <c r="S475" s="3"/>
      <c r="T475" s="3"/>
      <c r="U475" s="3"/>
      <c r="V475" s="3"/>
      <c r="W475" s="3"/>
      <c r="X475" s="3"/>
      <c r="Y475" s="3"/>
      <c r="Z475" s="3"/>
      <c r="AA475" s="3"/>
      <c r="AB475" s="3"/>
      <c r="AC475" s="3"/>
      <c r="AD475" s="3"/>
      <c r="AE475" s="3"/>
      <c r="AF475" s="3"/>
    </row>
    <row r="476" spans="1:32" x14ac:dyDescent="0.15">
      <c r="A476" s="3"/>
      <c r="I476" s="3"/>
      <c r="J476" s="3"/>
      <c r="K476" s="3"/>
      <c r="L476" s="139"/>
      <c r="M476" s="3"/>
      <c r="N476" s="3"/>
      <c r="O476" s="3"/>
      <c r="P476" s="3"/>
      <c r="Q476" s="3"/>
      <c r="R476" s="3"/>
      <c r="S476" s="3"/>
      <c r="T476" s="3"/>
      <c r="U476" s="3"/>
      <c r="V476" s="3"/>
      <c r="W476" s="3"/>
      <c r="X476" s="3"/>
      <c r="Y476" s="3"/>
      <c r="Z476" s="3"/>
      <c r="AA476" s="3"/>
      <c r="AB476" s="3"/>
      <c r="AC476" s="3"/>
      <c r="AD476" s="3"/>
      <c r="AE476" s="3"/>
      <c r="AF476" s="3"/>
    </row>
    <row r="477" spans="1:32" x14ac:dyDescent="0.15">
      <c r="A477" s="3"/>
      <c r="I477" s="3"/>
      <c r="J477" s="3"/>
      <c r="K477" s="3"/>
      <c r="L477" s="139"/>
      <c r="M477" s="3"/>
      <c r="N477" s="3"/>
      <c r="O477" s="3"/>
      <c r="P477" s="3"/>
      <c r="Q477" s="3"/>
      <c r="R477" s="3"/>
      <c r="S477" s="3"/>
      <c r="T477" s="3"/>
      <c r="U477" s="3"/>
      <c r="V477" s="3"/>
      <c r="W477" s="3"/>
      <c r="X477" s="3"/>
      <c r="Y477" s="3"/>
      <c r="Z477" s="3"/>
      <c r="AA477" s="3"/>
      <c r="AB477" s="3"/>
      <c r="AC477" s="3"/>
      <c r="AD477" s="3"/>
      <c r="AE477" s="3"/>
      <c r="AF477" s="3"/>
    </row>
    <row r="478" spans="1:32" x14ac:dyDescent="0.15">
      <c r="A478" s="3"/>
      <c r="I478" s="3"/>
      <c r="J478" s="3"/>
      <c r="K478" s="3"/>
      <c r="L478" s="139"/>
      <c r="M478" s="3"/>
      <c r="N478" s="3"/>
      <c r="O478" s="3"/>
      <c r="P478" s="3"/>
      <c r="Q478" s="3"/>
      <c r="R478" s="3"/>
      <c r="S478" s="3"/>
      <c r="T478" s="3"/>
      <c r="U478" s="3"/>
      <c r="V478" s="3"/>
      <c r="W478" s="3"/>
      <c r="X478" s="3"/>
      <c r="Y478" s="3"/>
      <c r="Z478" s="3"/>
      <c r="AA478" s="3"/>
      <c r="AB478" s="3"/>
      <c r="AC478" s="3"/>
      <c r="AD478" s="3"/>
      <c r="AE478" s="3"/>
      <c r="AF478" s="3"/>
    </row>
    <row r="479" spans="1:32" x14ac:dyDescent="0.15">
      <c r="A479" s="3"/>
      <c r="I479" s="3"/>
      <c r="J479" s="3"/>
      <c r="K479" s="3"/>
      <c r="L479" s="139"/>
      <c r="M479" s="3"/>
      <c r="N479" s="3"/>
      <c r="O479" s="3"/>
      <c r="P479" s="3"/>
      <c r="Q479" s="3"/>
      <c r="R479" s="3"/>
      <c r="S479" s="3"/>
      <c r="T479" s="3"/>
      <c r="U479" s="3"/>
      <c r="V479" s="3"/>
      <c r="W479" s="3"/>
      <c r="X479" s="3"/>
      <c r="Y479" s="3"/>
      <c r="Z479" s="3"/>
      <c r="AA479" s="3"/>
      <c r="AB479" s="3"/>
      <c r="AC479" s="3"/>
      <c r="AD479" s="3"/>
      <c r="AE479" s="3"/>
      <c r="AF479" s="3"/>
    </row>
    <row r="480" spans="1:32" x14ac:dyDescent="0.15">
      <c r="A480" s="3"/>
      <c r="I480" s="3"/>
      <c r="J480" s="3"/>
      <c r="K480" s="3"/>
      <c r="L480" s="139"/>
      <c r="M480" s="3"/>
      <c r="N480" s="3"/>
      <c r="O480" s="3"/>
      <c r="P480" s="3"/>
      <c r="Q480" s="3"/>
      <c r="R480" s="3"/>
      <c r="S480" s="3"/>
      <c r="T480" s="3"/>
      <c r="U480" s="3"/>
      <c r="V480" s="3"/>
      <c r="W480" s="3"/>
      <c r="X480" s="3"/>
      <c r="Y480" s="3"/>
      <c r="Z480" s="3"/>
      <c r="AA480" s="3"/>
      <c r="AB480" s="3"/>
      <c r="AC480" s="3"/>
      <c r="AD480" s="3"/>
      <c r="AE480" s="3"/>
      <c r="AF480" s="3"/>
    </row>
    <row r="481" spans="1:32" x14ac:dyDescent="0.15">
      <c r="A481" s="3"/>
      <c r="I481" s="3"/>
      <c r="J481" s="3"/>
      <c r="K481" s="3"/>
      <c r="L481" s="139"/>
      <c r="M481" s="3"/>
      <c r="N481" s="3"/>
      <c r="O481" s="3"/>
      <c r="P481" s="3"/>
      <c r="Q481" s="3"/>
      <c r="R481" s="3"/>
      <c r="S481" s="3"/>
      <c r="T481" s="3"/>
      <c r="U481" s="3"/>
      <c r="V481" s="3"/>
      <c r="W481" s="3"/>
      <c r="X481" s="3"/>
      <c r="Y481" s="3"/>
      <c r="Z481" s="3"/>
      <c r="AA481" s="3"/>
      <c r="AB481" s="3"/>
      <c r="AC481" s="3"/>
      <c r="AD481" s="3"/>
      <c r="AE481" s="3"/>
      <c r="AF481" s="3"/>
    </row>
    <row r="482" spans="1:32" x14ac:dyDescent="0.15">
      <c r="A482" s="3"/>
      <c r="I482" s="3"/>
      <c r="J482" s="3"/>
      <c r="K482" s="3"/>
      <c r="L482" s="139"/>
      <c r="M482" s="3"/>
      <c r="N482" s="3"/>
      <c r="O482" s="3"/>
      <c r="P482" s="3"/>
      <c r="Q482" s="3"/>
      <c r="R482" s="3"/>
      <c r="S482" s="3"/>
      <c r="T482" s="3"/>
      <c r="U482" s="3"/>
      <c r="V482" s="3"/>
      <c r="W482" s="3"/>
      <c r="X482" s="3"/>
      <c r="Y482" s="3"/>
      <c r="Z482" s="3"/>
      <c r="AA482" s="3"/>
      <c r="AB482" s="3"/>
      <c r="AC482" s="3"/>
      <c r="AD482" s="3"/>
      <c r="AE482" s="3"/>
      <c r="AF482" s="3"/>
    </row>
    <row r="483" spans="1:32" x14ac:dyDescent="0.15">
      <c r="A483" s="3"/>
      <c r="I483" s="3"/>
      <c r="J483" s="3"/>
      <c r="K483" s="3"/>
      <c r="L483" s="139"/>
      <c r="M483" s="3"/>
      <c r="N483" s="3"/>
      <c r="O483" s="3"/>
      <c r="P483" s="3"/>
      <c r="Q483" s="3"/>
      <c r="R483" s="3"/>
      <c r="S483" s="3"/>
      <c r="T483" s="3"/>
      <c r="U483" s="3"/>
      <c r="V483" s="3"/>
      <c r="W483" s="3"/>
      <c r="X483" s="3"/>
      <c r="Y483" s="3"/>
      <c r="Z483" s="3"/>
      <c r="AA483" s="3"/>
      <c r="AB483" s="3"/>
      <c r="AC483" s="3"/>
      <c r="AD483" s="3"/>
      <c r="AE483" s="3"/>
      <c r="AF483" s="3"/>
    </row>
    <row r="484" spans="1:32" x14ac:dyDescent="0.15">
      <c r="A484" s="3"/>
      <c r="I484" s="3"/>
      <c r="J484" s="3"/>
      <c r="K484" s="3"/>
      <c r="L484" s="139"/>
      <c r="M484" s="3"/>
      <c r="N484" s="3"/>
      <c r="O484" s="3"/>
      <c r="P484" s="3"/>
      <c r="Q484" s="3"/>
      <c r="R484" s="3"/>
      <c r="S484" s="3"/>
      <c r="T484" s="3"/>
      <c r="U484" s="3"/>
      <c r="V484" s="3"/>
      <c r="W484" s="3"/>
      <c r="X484" s="3"/>
      <c r="Y484" s="3"/>
      <c r="Z484" s="3"/>
      <c r="AA484" s="3"/>
      <c r="AB484" s="3"/>
      <c r="AC484" s="3"/>
      <c r="AD484" s="3"/>
      <c r="AE484" s="3"/>
      <c r="AF484" s="3"/>
    </row>
    <row r="485" spans="1:32" x14ac:dyDescent="0.15">
      <c r="A485" s="3"/>
      <c r="I485" s="3"/>
      <c r="J485" s="3"/>
      <c r="K485" s="3"/>
      <c r="L485" s="139"/>
      <c r="M485" s="3"/>
      <c r="N485" s="3"/>
      <c r="O485" s="3"/>
      <c r="P485" s="3"/>
      <c r="Q485" s="3"/>
      <c r="R485" s="3"/>
      <c r="S485" s="3"/>
      <c r="T485" s="3"/>
      <c r="U485" s="3"/>
      <c r="V485" s="3"/>
      <c r="W485" s="3"/>
      <c r="X485" s="3"/>
      <c r="Y485" s="3"/>
      <c r="Z485" s="3"/>
      <c r="AA485" s="3"/>
      <c r="AB485" s="3"/>
      <c r="AC485" s="3"/>
      <c r="AD485" s="3"/>
      <c r="AE485" s="3"/>
      <c r="AF485" s="3"/>
    </row>
    <row r="486" spans="1:32" x14ac:dyDescent="0.15">
      <c r="A486" s="3"/>
      <c r="I486" s="3"/>
      <c r="J486" s="3"/>
      <c r="K486" s="3"/>
      <c r="L486" s="139"/>
      <c r="M486" s="3"/>
      <c r="N486" s="3"/>
      <c r="O486" s="3"/>
      <c r="P486" s="3"/>
      <c r="Q486" s="3"/>
      <c r="R486" s="3"/>
      <c r="S486" s="3"/>
      <c r="T486" s="3"/>
      <c r="U486" s="3"/>
      <c r="V486" s="3"/>
      <c r="W486" s="3"/>
      <c r="X486" s="3"/>
      <c r="Y486" s="3"/>
      <c r="Z486" s="3"/>
      <c r="AA486" s="3"/>
      <c r="AB486" s="3"/>
      <c r="AC486" s="3"/>
      <c r="AD486" s="3"/>
      <c r="AE486" s="3"/>
      <c r="AF486" s="3"/>
    </row>
    <row r="487" spans="1:32" x14ac:dyDescent="0.15">
      <c r="A487" s="3"/>
      <c r="I487" s="3"/>
      <c r="J487" s="3"/>
      <c r="K487" s="3"/>
      <c r="L487" s="139"/>
      <c r="M487" s="3"/>
      <c r="N487" s="3"/>
      <c r="O487" s="3"/>
      <c r="P487" s="3"/>
      <c r="Q487" s="3"/>
      <c r="R487" s="3"/>
      <c r="S487" s="3"/>
      <c r="T487" s="3"/>
      <c r="U487" s="3"/>
      <c r="V487" s="3"/>
      <c r="W487" s="3"/>
      <c r="X487" s="3"/>
      <c r="Y487" s="3"/>
      <c r="Z487" s="3"/>
      <c r="AA487" s="3"/>
      <c r="AB487" s="3"/>
      <c r="AC487" s="3"/>
      <c r="AD487" s="3"/>
      <c r="AE487" s="3"/>
      <c r="AF487" s="3"/>
    </row>
    <row r="488" spans="1:32" x14ac:dyDescent="0.15">
      <c r="A488" s="3"/>
      <c r="I488" s="3"/>
      <c r="J488" s="3"/>
      <c r="K488" s="3"/>
      <c r="L488" s="139"/>
      <c r="M488" s="3"/>
      <c r="N488" s="3"/>
      <c r="O488" s="3"/>
      <c r="P488" s="3"/>
      <c r="Q488" s="3"/>
      <c r="R488" s="3"/>
      <c r="S488" s="3"/>
      <c r="T488" s="3"/>
      <c r="U488" s="3"/>
      <c r="V488" s="3"/>
      <c r="W488" s="3"/>
      <c r="X488" s="3"/>
      <c r="Y488" s="3"/>
      <c r="Z488" s="3"/>
      <c r="AA488" s="3"/>
      <c r="AB488" s="3"/>
      <c r="AC488" s="3"/>
      <c r="AD488" s="3"/>
      <c r="AE488" s="3"/>
      <c r="AF488" s="3"/>
    </row>
    <row r="489" spans="1:32" x14ac:dyDescent="0.15">
      <c r="A489" s="3"/>
      <c r="I489" s="3"/>
      <c r="J489" s="3"/>
      <c r="K489" s="3"/>
      <c r="L489" s="139"/>
      <c r="M489" s="3"/>
      <c r="N489" s="3"/>
      <c r="O489" s="3"/>
      <c r="P489" s="3"/>
      <c r="Q489" s="3"/>
      <c r="R489" s="3"/>
      <c r="S489" s="3"/>
      <c r="T489" s="3"/>
      <c r="U489" s="3"/>
      <c r="V489" s="3"/>
      <c r="W489" s="3"/>
      <c r="X489" s="3"/>
      <c r="Y489" s="3"/>
      <c r="Z489" s="3"/>
      <c r="AA489" s="3"/>
      <c r="AB489" s="3"/>
      <c r="AC489" s="3"/>
      <c r="AD489" s="3"/>
      <c r="AE489" s="3"/>
      <c r="AF489" s="3"/>
    </row>
    <row r="490" spans="1:32" x14ac:dyDescent="0.15">
      <c r="A490" s="3"/>
      <c r="I490" s="3"/>
      <c r="J490" s="3"/>
      <c r="K490" s="3"/>
      <c r="L490" s="139"/>
      <c r="M490" s="3"/>
      <c r="N490" s="3"/>
      <c r="O490" s="3"/>
      <c r="P490" s="3"/>
      <c r="Q490" s="3"/>
      <c r="R490" s="3"/>
      <c r="S490" s="3"/>
      <c r="T490" s="3"/>
      <c r="U490" s="3"/>
      <c r="V490" s="3"/>
      <c r="W490" s="3"/>
      <c r="X490" s="3"/>
      <c r="Y490" s="3"/>
      <c r="Z490" s="3"/>
      <c r="AA490" s="3"/>
      <c r="AB490" s="3"/>
      <c r="AC490" s="3"/>
      <c r="AD490" s="3"/>
      <c r="AE490" s="3"/>
      <c r="AF490" s="3"/>
    </row>
    <row r="491" spans="1:32" x14ac:dyDescent="0.15">
      <c r="A491" s="3"/>
      <c r="I491" s="3"/>
      <c r="J491" s="3"/>
      <c r="K491" s="3"/>
      <c r="L491" s="139"/>
      <c r="M491" s="3"/>
      <c r="N491" s="3"/>
      <c r="O491" s="3"/>
      <c r="P491" s="3"/>
      <c r="Q491" s="3"/>
      <c r="R491" s="3"/>
      <c r="S491" s="3"/>
      <c r="T491" s="3"/>
      <c r="U491" s="3"/>
      <c r="V491" s="3"/>
      <c r="W491" s="3"/>
      <c r="X491" s="3"/>
      <c r="Y491" s="3"/>
      <c r="Z491" s="3"/>
      <c r="AA491" s="3"/>
      <c r="AB491" s="3"/>
      <c r="AC491" s="3"/>
      <c r="AD491" s="3"/>
      <c r="AE491" s="3"/>
      <c r="AF491" s="3"/>
    </row>
    <row r="492" spans="1:32" x14ac:dyDescent="0.15">
      <c r="A492" s="3"/>
      <c r="I492" s="3"/>
      <c r="J492" s="3"/>
      <c r="K492" s="3"/>
      <c r="L492" s="139"/>
      <c r="M492" s="3"/>
      <c r="N492" s="3"/>
      <c r="O492" s="3"/>
      <c r="P492" s="3"/>
      <c r="Q492" s="3"/>
      <c r="R492" s="3"/>
      <c r="S492" s="3"/>
      <c r="T492" s="3"/>
      <c r="U492" s="3"/>
      <c r="V492" s="3"/>
      <c r="W492" s="3"/>
      <c r="X492" s="3"/>
      <c r="Y492" s="3"/>
      <c r="Z492" s="3"/>
      <c r="AA492" s="3"/>
      <c r="AB492" s="3"/>
      <c r="AC492" s="3"/>
      <c r="AD492" s="3"/>
      <c r="AE492" s="3"/>
      <c r="AF492" s="3"/>
    </row>
    <row r="493" spans="1:32" x14ac:dyDescent="0.15">
      <c r="A493" s="3"/>
      <c r="I493" s="3"/>
      <c r="J493" s="3"/>
      <c r="K493" s="3"/>
      <c r="L493" s="139"/>
      <c r="M493" s="3"/>
      <c r="N493" s="3"/>
      <c r="O493" s="3"/>
      <c r="P493" s="3"/>
      <c r="Q493" s="3"/>
      <c r="R493" s="3"/>
      <c r="S493" s="3"/>
      <c r="T493" s="3"/>
      <c r="U493" s="3"/>
      <c r="V493" s="3"/>
      <c r="W493" s="3"/>
      <c r="X493" s="3"/>
      <c r="Y493" s="3"/>
      <c r="Z493" s="3"/>
      <c r="AA493" s="3"/>
      <c r="AB493" s="3"/>
      <c r="AC493" s="3"/>
      <c r="AD493" s="3"/>
      <c r="AE493" s="3"/>
      <c r="AF493" s="3"/>
    </row>
    <row r="494" spans="1:32" x14ac:dyDescent="0.15">
      <c r="A494" s="3"/>
      <c r="I494" s="3"/>
      <c r="J494" s="3"/>
      <c r="K494" s="3"/>
      <c r="L494" s="139"/>
      <c r="M494" s="3"/>
      <c r="N494" s="3"/>
      <c r="O494" s="3"/>
      <c r="P494" s="3"/>
      <c r="Q494" s="3"/>
      <c r="R494" s="3"/>
      <c r="S494" s="3"/>
      <c r="T494" s="3"/>
      <c r="U494" s="3"/>
      <c r="V494" s="3"/>
      <c r="W494" s="3"/>
      <c r="X494" s="3"/>
      <c r="Y494" s="3"/>
      <c r="Z494" s="3"/>
      <c r="AA494" s="3"/>
      <c r="AB494" s="3"/>
      <c r="AC494" s="3"/>
      <c r="AD494" s="3"/>
      <c r="AE494" s="3"/>
      <c r="AF494" s="3"/>
    </row>
    <row r="495" spans="1:32" x14ac:dyDescent="0.15">
      <c r="A495" s="3"/>
      <c r="I495" s="3"/>
      <c r="J495" s="3"/>
      <c r="K495" s="3"/>
      <c r="L495" s="139"/>
      <c r="M495" s="3"/>
      <c r="N495" s="3"/>
      <c r="O495" s="3"/>
      <c r="P495" s="3"/>
      <c r="Q495" s="3"/>
      <c r="R495" s="3"/>
      <c r="S495" s="3"/>
      <c r="T495" s="3"/>
      <c r="U495" s="3"/>
      <c r="V495" s="3"/>
      <c r="W495" s="3"/>
      <c r="X495" s="3"/>
      <c r="Y495" s="3"/>
      <c r="Z495" s="3"/>
      <c r="AA495" s="3"/>
      <c r="AB495" s="3"/>
      <c r="AC495" s="3"/>
      <c r="AD495" s="3"/>
      <c r="AE495" s="3"/>
      <c r="AF495" s="3"/>
    </row>
    <row r="496" spans="1:32" x14ac:dyDescent="0.15">
      <c r="A496" s="3"/>
      <c r="I496" s="3"/>
      <c r="J496" s="3"/>
      <c r="K496" s="3"/>
      <c r="L496" s="139"/>
      <c r="M496" s="3"/>
      <c r="N496" s="3"/>
      <c r="O496" s="3"/>
      <c r="P496" s="3"/>
      <c r="Q496" s="3"/>
      <c r="R496" s="3"/>
      <c r="S496" s="3"/>
      <c r="T496" s="3"/>
      <c r="U496" s="3"/>
      <c r="V496" s="3"/>
      <c r="W496" s="3"/>
      <c r="X496" s="3"/>
      <c r="Y496" s="3"/>
      <c r="Z496" s="3"/>
      <c r="AA496" s="3"/>
      <c r="AB496" s="3"/>
      <c r="AC496" s="3"/>
      <c r="AD496" s="3"/>
      <c r="AE496" s="3"/>
      <c r="AF496" s="3"/>
    </row>
    <row r="497" spans="1:32" x14ac:dyDescent="0.15">
      <c r="A497" s="3"/>
      <c r="I497" s="3"/>
      <c r="J497" s="3"/>
      <c r="K497" s="3"/>
      <c r="L497" s="139"/>
      <c r="M497" s="3"/>
      <c r="N497" s="3"/>
      <c r="O497" s="3"/>
      <c r="P497" s="3"/>
      <c r="Q497" s="3"/>
      <c r="R497" s="3"/>
      <c r="S497" s="3"/>
      <c r="T497" s="3"/>
      <c r="U497" s="3"/>
      <c r="V497" s="3"/>
      <c r="W497" s="3"/>
      <c r="X497" s="3"/>
      <c r="Y497" s="3"/>
      <c r="Z497" s="3"/>
      <c r="AA497" s="3"/>
      <c r="AB497" s="3"/>
      <c r="AC497" s="3"/>
      <c r="AD497" s="3"/>
      <c r="AE497" s="3"/>
      <c r="AF497" s="3"/>
    </row>
    <row r="498" spans="1:32" x14ac:dyDescent="0.15">
      <c r="A498" s="3"/>
      <c r="I498" s="3"/>
      <c r="J498" s="3"/>
      <c r="K498" s="3"/>
      <c r="L498" s="139"/>
      <c r="M498" s="3"/>
      <c r="N498" s="3"/>
      <c r="O498" s="3"/>
      <c r="P498" s="3"/>
      <c r="Q498" s="3"/>
      <c r="R498" s="3"/>
      <c r="S498" s="3"/>
      <c r="T498" s="3"/>
      <c r="U498" s="3"/>
      <c r="V498" s="3"/>
      <c r="W498" s="3"/>
      <c r="X498" s="3"/>
      <c r="Y498" s="3"/>
      <c r="Z498" s="3"/>
      <c r="AA498" s="3"/>
      <c r="AB498" s="3"/>
      <c r="AC498" s="3"/>
      <c r="AD498" s="3"/>
      <c r="AE498" s="3"/>
      <c r="AF498" s="3"/>
    </row>
    <row r="499" spans="1:32" x14ac:dyDescent="0.15">
      <c r="A499" s="3"/>
      <c r="I499" s="3"/>
      <c r="J499" s="3"/>
      <c r="K499" s="3"/>
      <c r="L499" s="139"/>
      <c r="M499" s="3"/>
      <c r="N499" s="3"/>
      <c r="O499" s="3"/>
      <c r="P499" s="3"/>
      <c r="Q499" s="3"/>
      <c r="R499" s="3"/>
      <c r="S499" s="3"/>
      <c r="T499" s="3"/>
      <c r="U499" s="3"/>
      <c r="V499" s="3"/>
      <c r="W499" s="3"/>
      <c r="X499" s="3"/>
      <c r="Y499" s="3"/>
      <c r="Z499" s="3"/>
      <c r="AA499" s="3"/>
      <c r="AB499" s="3"/>
      <c r="AC499" s="3"/>
      <c r="AD499" s="3"/>
      <c r="AE499" s="3"/>
      <c r="AF499" s="3"/>
    </row>
    <row r="500" spans="1:32" x14ac:dyDescent="0.15">
      <c r="A500" s="3"/>
      <c r="I500" s="3"/>
      <c r="J500" s="3"/>
      <c r="K500" s="3"/>
      <c r="L500" s="139"/>
      <c r="M500" s="3"/>
      <c r="N500" s="3"/>
      <c r="O500" s="3"/>
      <c r="P500" s="3"/>
      <c r="Q500" s="3"/>
      <c r="R500" s="3"/>
      <c r="S500" s="3"/>
      <c r="T500" s="3"/>
      <c r="U500" s="3"/>
      <c r="V500" s="3"/>
      <c r="W500" s="3"/>
      <c r="X500" s="3"/>
      <c r="Y500" s="3"/>
      <c r="Z500" s="3"/>
      <c r="AA500" s="3"/>
      <c r="AB500" s="3"/>
      <c r="AC500" s="3"/>
      <c r="AD500" s="3"/>
      <c r="AE500" s="3"/>
      <c r="AF500" s="3"/>
    </row>
    <row r="501" spans="1:32" x14ac:dyDescent="0.15">
      <c r="A501" s="3"/>
      <c r="I501" s="3"/>
      <c r="J501" s="3"/>
      <c r="K501" s="3"/>
      <c r="L501" s="139"/>
      <c r="M501" s="3"/>
      <c r="N501" s="3"/>
      <c r="O501" s="3"/>
      <c r="P501" s="3"/>
      <c r="Q501" s="3"/>
      <c r="R501" s="3"/>
      <c r="S501" s="3"/>
      <c r="T501" s="3"/>
      <c r="U501" s="3"/>
      <c r="V501" s="3"/>
      <c r="W501" s="3"/>
      <c r="X501" s="3"/>
      <c r="Y501" s="3"/>
      <c r="Z501" s="3"/>
      <c r="AA501" s="3"/>
      <c r="AB501" s="3"/>
      <c r="AC501" s="3"/>
      <c r="AD501" s="3"/>
      <c r="AE501" s="3"/>
      <c r="AF501" s="3"/>
    </row>
    <row r="502" spans="1:32" x14ac:dyDescent="0.15">
      <c r="A502" s="3"/>
      <c r="I502" s="3"/>
      <c r="J502" s="3"/>
      <c r="K502" s="3"/>
      <c r="L502" s="139"/>
      <c r="M502" s="3"/>
      <c r="N502" s="3"/>
      <c r="O502" s="3"/>
      <c r="P502" s="3"/>
      <c r="Q502" s="3"/>
      <c r="R502" s="3"/>
      <c r="S502" s="3"/>
      <c r="T502" s="3"/>
      <c r="U502" s="3"/>
      <c r="V502" s="3"/>
      <c r="W502" s="3"/>
      <c r="X502" s="3"/>
      <c r="Y502" s="3"/>
      <c r="Z502" s="3"/>
      <c r="AA502" s="3"/>
      <c r="AB502" s="3"/>
      <c r="AC502" s="3"/>
      <c r="AD502" s="3"/>
      <c r="AE502" s="3"/>
      <c r="AF502" s="3"/>
    </row>
    <row r="503" spans="1:32" x14ac:dyDescent="0.15">
      <c r="A503" s="3"/>
      <c r="I503" s="3"/>
      <c r="J503" s="3"/>
      <c r="K503" s="3"/>
      <c r="L503" s="139"/>
      <c r="M503" s="3"/>
      <c r="N503" s="3"/>
      <c r="O503" s="3"/>
      <c r="P503" s="3"/>
      <c r="Q503" s="3"/>
      <c r="R503" s="3"/>
      <c r="S503" s="3"/>
      <c r="T503" s="3"/>
      <c r="U503" s="3"/>
      <c r="V503" s="3"/>
      <c r="W503" s="3"/>
      <c r="X503" s="3"/>
      <c r="Y503" s="3"/>
      <c r="Z503" s="3"/>
      <c r="AA503" s="3"/>
      <c r="AB503" s="3"/>
      <c r="AC503" s="3"/>
      <c r="AD503" s="3"/>
      <c r="AE503" s="3"/>
      <c r="AF503" s="3"/>
    </row>
    <row r="504" spans="1:32" x14ac:dyDescent="0.15">
      <c r="A504" s="3"/>
      <c r="I504" s="3"/>
      <c r="J504" s="3"/>
      <c r="K504" s="3"/>
      <c r="L504" s="139"/>
      <c r="M504" s="3"/>
      <c r="N504" s="3"/>
      <c r="O504" s="3"/>
      <c r="P504" s="3"/>
      <c r="Q504" s="3"/>
      <c r="R504" s="3"/>
      <c r="S504" s="3"/>
      <c r="T504" s="3"/>
      <c r="U504" s="3"/>
      <c r="V504" s="3"/>
      <c r="W504" s="3"/>
      <c r="X504" s="3"/>
      <c r="Y504" s="3"/>
      <c r="Z504" s="3"/>
      <c r="AA504" s="3"/>
      <c r="AB504" s="3"/>
      <c r="AC504" s="3"/>
      <c r="AD504" s="3"/>
      <c r="AE504" s="3"/>
      <c r="AF504" s="3"/>
    </row>
    <row r="505" spans="1:32" x14ac:dyDescent="0.15">
      <c r="A505" s="3"/>
      <c r="I505" s="3"/>
      <c r="J505" s="3"/>
      <c r="K505" s="3"/>
      <c r="L505" s="139"/>
      <c r="M505" s="3"/>
      <c r="N505" s="3"/>
      <c r="O505" s="3"/>
      <c r="P505" s="3"/>
      <c r="Q505" s="3"/>
      <c r="R505" s="3"/>
      <c r="S505" s="3"/>
      <c r="T505" s="3"/>
      <c r="U505" s="3"/>
      <c r="V505" s="3"/>
      <c r="W505" s="3"/>
      <c r="X505" s="3"/>
      <c r="Y505" s="3"/>
      <c r="Z505" s="3"/>
      <c r="AA505" s="3"/>
      <c r="AB505" s="3"/>
      <c r="AC505" s="3"/>
      <c r="AD505" s="3"/>
      <c r="AE505" s="3"/>
      <c r="AF505" s="3"/>
    </row>
    <row r="506" spans="1:32" x14ac:dyDescent="0.15">
      <c r="A506" s="3"/>
      <c r="I506" s="3"/>
      <c r="J506" s="3"/>
      <c r="K506" s="3"/>
      <c r="L506" s="139"/>
      <c r="M506" s="3"/>
      <c r="N506" s="3"/>
      <c r="O506" s="3"/>
      <c r="P506" s="3"/>
      <c r="Q506" s="3"/>
      <c r="R506" s="3"/>
      <c r="S506" s="3"/>
      <c r="T506" s="3"/>
      <c r="U506" s="3"/>
      <c r="V506" s="3"/>
      <c r="W506" s="3"/>
      <c r="X506" s="3"/>
      <c r="Y506" s="3"/>
      <c r="Z506" s="3"/>
      <c r="AA506" s="3"/>
      <c r="AB506" s="3"/>
      <c r="AC506" s="3"/>
      <c r="AD506" s="3"/>
      <c r="AE506" s="3"/>
      <c r="AF506" s="3"/>
    </row>
    <row r="507" spans="1:32" x14ac:dyDescent="0.15">
      <c r="A507" s="3"/>
      <c r="I507" s="3"/>
      <c r="J507" s="3"/>
      <c r="K507" s="3"/>
      <c r="L507" s="139"/>
      <c r="M507" s="3"/>
      <c r="N507" s="3"/>
      <c r="O507" s="3"/>
      <c r="P507" s="3"/>
      <c r="Q507" s="3"/>
      <c r="R507" s="3"/>
      <c r="S507" s="3"/>
      <c r="T507" s="3"/>
      <c r="U507" s="3"/>
      <c r="V507" s="3"/>
      <c r="W507" s="3"/>
      <c r="X507" s="3"/>
      <c r="Y507" s="3"/>
      <c r="Z507" s="3"/>
      <c r="AA507" s="3"/>
      <c r="AB507" s="3"/>
      <c r="AC507" s="3"/>
      <c r="AD507" s="3"/>
      <c r="AE507" s="3"/>
      <c r="AF507" s="3"/>
    </row>
    <row r="508" spans="1:32" x14ac:dyDescent="0.15">
      <c r="A508" s="3"/>
      <c r="I508" s="3"/>
      <c r="J508" s="3"/>
      <c r="K508" s="3"/>
      <c r="L508" s="139"/>
      <c r="M508" s="3"/>
      <c r="N508" s="3"/>
      <c r="O508" s="3"/>
      <c r="P508" s="3"/>
      <c r="Q508" s="3"/>
      <c r="R508" s="3"/>
      <c r="S508" s="3"/>
      <c r="T508" s="3"/>
      <c r="U508" s="3"/>
      <c r="V508" s="3"/>
      <c r="W508" s="3"/>
      <c r="X508" s="3"/>
      <c r="Y508" s="3"/>
      <c r="Z508" s="3"/>
      <c r="AA508" s="3"/>
      <c r="AB508" s="3"/>
      <c r="AC508" s="3"/>
      <c r="AD508" s="3"/>
      <c r="AE508" s="3"/>
      <c r="AF508" s="3"/>
    </row>
    <row r="509" spans="1:32" x14ac:dyDescent="0.15">
      <c r="A509" s="3"/>
      <c r="I509" s="3"/>
      <c r="J509" s="3"/>
      <c r="K509" s="3"/>
      <c r="L509" s="139"/>
      <c r="M509" s="3"/>
      <c r="N509" s="3"/>
      <c r="O509" s="3"/>
      <c r="P509" s="3"/>
      <c r="Q509" s="3"/>
      <c r="R509" s="3"/>
      <c r="S509" s="3"/>
      <c r="T509" s="3"/>
      <c r="U509" s="3"/>
      <c r="V509" s="3"/>
      <c r="W509" s="3"/>
      <c r="X509" s="3"/>
      <c r="Y509" s="3"/>
      <c r="Z509" s="3"/>
      <c r="AA509" s="3"/>
      <c r="AB509" s="3"/>
      <c r="AC509" s="3"/>
      <c r="AD509" s="3"/>
      <c r="AE509" s="3"/>
      <c r="AF509" s="3"/>
    </row>
    <row r="510" spans="1:32" x14ac:dyDescent="0.15">
      <c r="A510" s="3"/>
      <c r="I510" s="3"/>
      <c r="J510" s="3"/>
      <c r="K510" s="3"/>
      <c r="L510" s="139"/>
      <c r="M510" s="3"/>
      <c r="N510" s="3"/>
      <c r="O510" s="3"/>
      <c r="P510" s="3"/>
      <c r="Q510" s="3"/>
      <c r="R510" s="3"/>
      <c r="S510" s="3"/>
      <c r="T510" s="3"/>
      <c r="U510" s="3"/>
      <c r="V510" s="3"/>
      <c r="W510" s="3"/>
      <c r="X510" s="3"/>
      <c r="Y510" s="3"/>
      <c r="Z510" s="3"/>
      <c r="AA510" s="3"/>
      <c r="AB510" s="3"/>
      <c r="AC510" s="3"/>
      <c r="AD510" s="3"/>
      <c r="AE510" s="3"/>
      <c r="AF510" s="3"/>
    </row>
    <row r="511" spans="1:32" x14ac:dyDescent="0.15">
      <c r="A511" s="3"/>
      <c r="I511" s="3"/>
      <c r="J511" s="3"/>
      <c r="K511" s="3"/>
      <c r="L511" s="139"/>
      <c r="M511" s="3"/>
      <c r="N511" s="3"/>
      <c r="O511" s="3"/>
      <c r="P511" s="3"/>
      <c r="Q511" s="3"/>
      <c r="R511" s="3"/>
      <c r="S511" s="3"/>
      <c r="T511" s="3"/>
      <c r="U511" s="3"/>
      <c r="V511" s="3"/>
      <c r="W511" s="3"/>
      <c r="X511" s="3"/>
      <c r="Y511" s="3"/>
      <c r="Z511" s="3"/>
      <c r="AA511" s="3"/>
      <c r="AB511" s="3"/>
      <c r="AC511" s="3"/>
      <c r="AD511" s="3"/>
      <c r="AE511" s="3"/>
      <c r="AF511" s="3"/>
    </row>
    <row r="512" spans="1:32" x14ac:dyDescent="0.15">
      <c r="A512" s="3"/>
      <c r="I512" s="3"/>
      <c r="J512" s="3"/>
      <c r="K512" s="3"/>
      <c r="L512" s="139"/>
      <c r="M512" s="3"/>
      <c r="N512" s="3"/>
      <c r="O512" s="3"/>
      <c r="P512" s="3"/>
      <c r="Q512" s="3"/>
      <c r="R512" s="3"/>
      <c r="S512" s="3"/>
      <c r="T512" s="3"/>
      <c r="U512" s="3"/>
      <c r="V512" s="3"/>
      <c r="W512" s="3"/>
      <c r="X512" s="3"/>
      <c r="Y512" s="3"/>
      <c r="Z512" s="3"/>
      <c r="AA512" s="3"/>
      <c r="AB512" s="3"/>
      <c r="AC512" s="3"/>
      <c r="AD512" s="3"/>
      <c r="AE512" s="3"/>
      <c r="AF512" s="3"/>
    </row>
    <row r="513" spans="1:32" x14ac:dyDescent="0.15">
      <c r="A513" s="3"/>
      <c r="I513" s="3"/>
      <c r="J513" s="3"/>
      <c r="K513" s="3"/>
      <c r="L513" s="139"/>
      <c r="M513" s="3"/>
      <c r="N513" s="3"/>
      <c r="O513" s="3"/>
      <c r="P513" s="3"/>
      <c r="Q513" s="3"/>
      <c r="R513" s="3"/>
      <c r="S513" s="3"/>
      <c r="T513" s="3"/>
      <c r="U513" s="3"/>
      <c r="V513" s="3"/>
      <c r="W513" s="3"/>
      <c r="X513" s="3"/>
      <c r="Y513" s="3"/>
      <c r="Z513" s="3"/>
      <c r="AA513" s="3"/>
      <c r="AB513" s="3"/>
      <c r="AC513" s="3"/>
      <c r="AD513" s="3"/>
      <c r="AE513" s="3"/>
      <c r="AF513" s="3"/>
    </row>
    <row r="514" spans="1:32" x14ac:dyDescent="0.15">
      <c r="A514" s="3"/>
      <c r="I514" s="3"/>
      <c r="J514" s="3"/>
      <c r="K514" s="3"/>
      <c r="L514" s="139"/>
      <c r="M514" s="3"/>
      <c r="N514" s="3"/>
      <c r="O514" s="3"/>
      <c r="P514" s="3"/>
      <c r="Q514" s="3"/>
      <c r="R514" s="3"/>
      <c r="S514" s="3"/>
      <c r="T514" s="3"/>
      <c r="U514" s="3"/>
      <c r="V514" s="3"/>
      <c r="W514" s="3"/>
      <c r="X514" s="3"/>
      <c r="Y514" s="3"/>
      <c r="Z514" s="3"/>
      <c r="AA514" s="3"/>
      <c r="AB514" s="3"/>
      <c r="AC514" s="3"/>
      <c r="AD514" s="3"/>
      <c r="AE514" s="3"/>
      <c r="AF514" s="3"/>
    </row>
    <row r="515" spans="1:32" x14ac:dyDescent="0.15">
      <c r="A515" s="3"/>
      <c r="I515" s="3"/>
      <c r="J515" s="3"/>
      <c r="K515" s="3"/>
      <c r="L515" s="139"/>
      <c r="M515" s="3"/>
      <c r="N515" s="3"/>
      <c r="O515" s="3"/>
      <c r="P515" s="3"/>
      <c r="Q515" s="3"/>
      <c r="R515" s="3"/>
      <c r="S515" s="3"/>
      <c r="T515" s="3"/>
      <c r="U515" s="3"/>
      <c r="V515" s="3"/>
      <c r="W515" s="3"/>
      <c r="X515" s="3"/>
      <c r="Y515" s="3"/>
      <c r="Z515" s="3"/>
      <c r="AA515" s="3"/>
      <c r="AB515" s="3"/>
      <c r="AC515" s="3"/>
      <c r="AD515" s="3"/>
      <c r="AE515" s="3"/>
      <c r="AF515" s="3"/>
    </row>
    <row r="516" spans="1:32" x14ac:dyDescent="0.15">
      <c r="A516" s="3"/>
      <c r="I516" s="3"/>
      <c r="J516" s="3"/>
      <c r="K516" s="3"/>
      <c r="L516" s="139"/>
      <c r="M516" s="3"/>
      <c r="N516" s="3"/>
      <c r="O516" s="3"/>
      <c r="P516" s="3"/>
      <c r="Q516" s="3"/>
      <c r="R516" s="3"/>
      <c r="S516" s="3"/>
      <c r="T516" s="3"/>
      <c r="U516" s="3"/>
      <c r="V516" s="3"/>
      <c r="W516" s="3"/>
      <c r="X516" s="3"/>
      <c r="Y516" s="3"/>
      <c r="Z516" s="3"/>
      <c r="AA516" s="3"/>
      <c r="AB516" s="3"/>
      <c r="AC516" s="3"/>
      <c r="AD516" s="3"/>
      <c r="AE516" s="3"/>
      <c r="AF516" s="3"/>
    </row>
    <row r="517" spans="1:32" x14ac:dyDescent="0.15">
      <c r="A517" s="3"/>
      <c r="I517" s="3"/>
      <c r="J517" s="3"/>
      <c r="K517" s="3"/>
      <c r="L517" s="139"/>
      <c r="M517" s="3"/>
      <c r="N517" s="3"/>
      <c r="O517" s="3"/>
      <c r="P517" s="3"/>
      <c r="Q517" s="3"/>
      <c r="R517" s="3"/>
      <c r="S517" s="3"/>
      <c r="T517" s="3"/>
      <c r="U517" s="3"/>
      <c r="V517" s="3"/>
      <c r="W517" s="3"/>
      <c r="X517" s="3"/>
      <c r="Y517" s="3"/>
      <c r="Z517" s="3"/>
      <c r="AA517" s="3"/>
      <c r="AB517" s="3"/>
      <c r="AC517" s="3"/>
      <c r="AD517" s="3"/>
      <c r="AE517" s="3"/>
      <c r="AF517" s="3"/>
    </row>
    <row r="518" spans="1:32" x14ac:dyDescent="0.15">
      <c r="A518" s="3"/>
      <c r="I518" s="3"/>
      <c r="J518" s="3"/>
      <c r="K518" s="3"/>
      <c r="L518" s="139"/>
      <c r="M518" s="3"/>
      <c r="N518" s="3"/>
      <c r="O518" s="3"/>
      <c r="P518" s="3"/>
      <c r="Q518" s="3"/>
      <c r="R518" s="3"/>
      <c r="S518" s="3"/>
      <c r="T518" s="3"/>
      <c r="U518" s="3"/>
      <c r="V518" s="3"/>
      <c r="W518" s="3"/>
      <c r="X518" s="3"/>
      <c r="Y518" s="3"/>
      <c r="Z518" s="3"/>
      <c r="AA518" s="3"/>
      <c r="AB518" s="3"/>
      <c r="AC518" s="3"/>
      <c r="AD518" s="3"/>
      <c r="AE518" s="3"/>
      <c r="AF518" s="3"/>
    </row>
    <row r="519" spans="1:32" x14ac:dyDescent="0.15">
      <c r="A519" s="3"/>
      <c r="I519" s="3"/>
      <c r="J519" s="3"/>
      <c r="K519" s="3"/>
      <c r="L519" s="139"/>
      <c r="M519" s="3"/>
      <c r="N519" s="3"/>
      <c r="O519" s="3"/>
      <c r="P519" s="3"/>
      <c r="Q519" s="3"/>
      <c r="R519" s="3"/>
      <c r="S519" s="3"/>
      <c r="T519" s="3"/>
      <c r="U519" s="3"/>
      <c r="V519" s="3"/>
      <c r="W519" s="3"/>
      <c r="X519" s="3"/>
      <c r="Y519" s="3"/>
      <c r="Z519" s="3"/>
      <c r="AA519" s="3"/>
      <c r="AB519" s="3"/>
      <c r="AC519" s="3"/>
      <c r="AD519" s="3"/>
      <c r="AE519" s="3"/>
      <c r="AF519" s="3"/>
    </row>
    <row r="520" spans="1:32" x14ac:dyDescent="0.15">
      <c r="A520" s="3"/>
      <c r="I520" s="3"/>
      <c r="J520" s="3"/>
      <c r="K520" s="3"/>
      <c r="L520" s="139"/>
      <c r="M520" s="3"/>
      <c r="N520" s="3"/>
      <c r="O520" s="3"/>
      <c r="P520" s="3"/>
      <c r="Q520" s="3"/>
      <c r="R520" s="3"/>
      <c r="S520" s="3"/>
      <c r="T520" s="3"/>
      <c r="U520" s="3"/>
      <c r="V520" s="3"/>
      <c r="W520" s="3"/>
      <c r="X520" s="3"/>
      <c r="Y520" s="3"/>
      <c r="Z520" s="3"/>
      <c r="AA520" s="3"/>
      <c r="AB520" s="3"/>
      <c r="AC520" s="3"/>
      <c r="AD520" s="3"/>
      <c r="AE520" s="3"/>
      <c r="AF520" s="3"/>
    </row>
    <row r="521" spans="1:32" x14ac:dyDescent="0.15">
      <c r="A521" s="3"/>
      <c r="I521" s="3"/>
      <c r="J521" s="3"/>
      <c r="K521" s="3"/>
      <c r="L521" s="139"/>
      <c r="M521" s="3"/>
      <c r="N521" s="3"/>
      <c r="O521" s="3"/>
      <c r="P521" s="3"/>
      <c r="Q521" s="3"/>
      <c r="R521" s="3"/>
      <c r="S521" s="3"/>
      <c r="T521" s="3"/>
      <c r="U521" s="3"/>
      <c r="V521" s="3"/>
      <c r="W521" s="3"/>
      <c r="X521" s="3"/>
      <c r="Y521" s="3"/>
      <c r="Z521" s="3"/>
      <c r="AA521" s="3"/>
      <c r="AB521" s="3"/>
      <c r="AC521" s="3"/>
      <c r="AD521" s="3"/>
      <c r="AE521" s="3"/>
      <c r="AF521" s="3"/>
    </row>
    <row r="522" spans="1:32" x14ac:dyDescent="0.15">
      <c r="A522" s="3"/>
      <c r="I522" s="3"/>
      <c r="J522" s="3"/>
      <c r="K522" s="3"/>
      <c r="L522" s="139"/>
      <c r="M522" s="3"/>
      <c r="N522" s="3"/>
      <c r="O522" s="3"/>
      <c r="P522" s="3"/>
      <c r="Q522" s="3"/>
      <c r="R522" s="3"/>
      <c r="S522" s="3"/>
      <c r="T522" s="3"/>
      <c r="U522" s="3"/>
      <c r="V522" s="3"/>
      <c r="W522" s="3"/>
      <c r="X522" s="3"/>
      <c r="Y522" s="3"/>
      <c r="Z522" s="3"/>
      <c r="AA522" s="3"/>
      <c r="AB522" s="3"/>
      <c r="AC522" s="3"/>
      <c r="AD522" s="3"/>
      <c r="AE522" s="3"/>
      <c r="AF522" s="3"/>
    </row>
    <row r="523" spans="1:32" x14ac:dyDescent="0.15">
      <c r="A523" s="3"/>
      <c r="I523" s="3"/>
      <c r="J523" s="3"/>
      <c r="K523" s="3"/>
      <c r="L523" s="139"/>
      <c r="M523" s="3"/>
      <c r="N523" s="3"/>
      <c r="O523" s="3"/>
      <c r="P523" s="3"/>
      <c r="Q523" s="3"/>
      <c r="R523" s="3"/>
      <c r="S523" s="3"/>
      <c r="T523" s="3"/>
      <c r="U523" s="3"/>
      <c r="V523" s="3"/>
      <c r="W523" s="3"/>
      <c r="X523" s="3"/>
      <c r="Y523" s="3"/>
      <c r="Z523" s="3"/>
      <c r="AA523" s="3"/>
      <c r="AB523" s="3"/>
      <c r="AC523" s="3"/>
      <c r="AD523" s="3"/>
      <c r="AE523" s="3"/>
      <c r="AF523" s="3"/>
    </row>
    <row r="524" spans="1:32" x14ac:dyDescent="0.15">
      <c r="A524" s="3"/>
      <c r="I524" s="3"/>
      <c r="J524" s="3"/>
      <c r="K524" s="3"/>
      <c r="L524" s="139"/>
      <c r="M524" s="3"/>
      <c r="N524" s="3"/>
      <c r="O524" s="3"/>
      <c r="P524" s="3"/>
      <c r="Q524" s="3"/>
      <c r="R524" s="3"/>
      <c r="S524" s="3"/>
      <c r="T524" s="3"/>
      <c r="U524" s="3"/>
      <c r="V524" s="3"/>
      <c r="W524" s="3"/>
      <c r="X524" s="3"/>
      <c r="Y524" s="3"/>
      <c r="Z524" s="3"/>
      <c r="AA524" s="3"/>
      <c r="AB524" s="3"/>
      <c r="AC524" s="3"/>
      <c r="AD524" s="3"/>
      <c r="AE524" s="3"/>
      <c r="AF524" s="3"/>
    </row>
    <row r="525" spans="1:32" x14ac:dyDescent="0.15">
      <c r="A525" s="3"/>
      <c r="I525" s="3"/>
      <c r="J525" s="3"/>
      <c r="K525" s="3"/>
      <c r="L525" s="139"/>
      <c r="M525" s="3"/>
      <c r="N525" s="3"/>
      <c r="O525" s="3"/>
      <c r="P525" s="3"/>
      <c r="Q525" s="3"/>
      <c r="R525" s="3"/>
      <c r="S525" s="3"/>
      <c r="T525" s="3"/>
      <c r="U525" s="3"/>
      <c r="V525" s="3"/>
      <c r="W525" s="3"/>
      <c r="X525" s="3"/>
      <c r="Y525" s="3"/>
      <c r="Z525" s="3"/>
      <c r="AA525" s="3"/>
      <c r="AB525" s="3"/>
      <c r="AC525" s="3"/>
      <c r="AD525" s="3"/>
      <c r="AE525" s="3"/>
      <c r="AF525" s="3"/>
    </row>
    <row r="526" spans="1:32" x14ac:dyDescent="0.15">
      <c r="A526" s="3"/>
      <c r="I526" s="3"/>
      <c r="J526" s="3"/>
      <c r="K526" s="3"/>
      <c r="L526" s="139"/>
      <c r="M526" s="3"/>
      <c r="N526" s="3"/>
      <c r="O526" s="3"/>
      <c r="P526" s="3"/>
      <c r="Q526" s="3"/>
      <c r="R526" s="3"/>
      <c r="S526" s="3"/>
      <c r="T526" s="3"/>
      <c r="U526" s="3"/>
      <c r="V526" s="3"/>
      <c r="W526" s="3"/>
      <c r="X526" s="3"/>
      <c r="Y526" s="3"/>
      <c r="Z526" s="3"/>
      <c r="AA526" s="3"/>
      <c r="AB526" s="3"/>
      <c r="AC526" s="3"/>
      <c r="AD526" s="3"/>
      <c r="AE526" s="3"/>
      <c r="AF526" s="3"/>
    </row>
    <row r="527" spans="1:32" x14ac:dyDescent="0.15">
      <c r="A527" s="3"/>
      <c r="I527" s="3"/>
      <c r="J527" s="3"/>
      <c r="K527" s="3"/>
      <c r="L527" s="139"/>
      <c r="M527" s="3"/>
      <c r="N527" s="3"/>
      <c r="O527" s="3"/>
      <c r="P527" s="3"/>
      <c r="Q527" s="3"/>
      <c r="R527" s="3"/>
      <c r="S527" s="3"/>
      <c r="T527" s="3"/>
      <c r="U527" s="3"/>
      <c r="V527" s="3"/>
      <c r="W527" s="3"/>
      <c r="X527" s="3"/>
      <c r="Y527" s="3"/>
      <c r="Z527" s="3"/>
      <c r="AA527" s="3"/>
      <c r="AB527" s="3"/>
      <c r="AC527" s="3"/>
      <c r="AD527" s="3"/>
      <c r="AE527" s="3"/>
      <c r="AF527" s="3"/>
    </row>
    <row r="528" spans="1:32" x14ac:dyDescent="0.15">
      <c r="A528" s="3"/>
      <c r="I528" s="3"/>
      <c r="J528" s="3"/>
      <c r="K528" s="3"/>
      <c r="L528" s="139"/>
      <c r="M528" s="3"/>
      <c r="N528" s="3"/>
      <c r="O528" s="3"/>
      <c r="P528" s="3"/>
      <c r="Q528" s="3"/>
      <c r="R528" s="3"/>
      <c r="S528" s="3"/>
      <c r="T528" s="3"/>
      <c r="U528" s="3"/>
      <c r="V528" s="3"/>
      <c r="W528" s="3"/>
      <c r="X528" s="3"/>
      <c r="Y528" s="3"/>
      <c r="Z528" s="3"/>
      <c r="AA528" s="3"/>
      <c r="AB528" s="3"/>
      <c r="AC528" s="3"/>
      <c r="AD528" s="3"/>
      <c r="AE528" s="3"/>
      <c r="AF528" s="3"/>
    </row>
    <row r="529" spans="1:32" x14ac:dyDescent="0.15">
      <c r="A529" s="3"/>
      <c r="I529" s="3"/>
      <c r="J529" s="3"/>
      <c r="K529" s="3"/>
      <c r="L529" s="139"/>
      <c r="M529" s="3"/>
      <c r="N529" s="3"/>
      <c r="O529" s="3"/>
      <c r="P529" s="3"/>
      <c r="Q529" s="3"/>
      <c r="R529" s="3"/>
      <c r="S529" s="3"/>
      <c r="T529" s="3"/>
      <c r="U529" s="3"/>
      <c r="V529" s="3"/>
      <c r="W529" s="3"/>
      <c r="X529" s="3"/>
      <c r="Y529" s="3"/>
      <c r="Z529" s="3"/>
      <c r="AA529" s="3"/>
      <c r="AB529" s="3"/>
      <c r="AC529" s="3"/>
      <c r="AD529" s="3"/>
      <c r="AE529" s="3"/>
      <c r="AF529" s="3"/>
    </row>
    <row r="530" spans="1:32" x14ac:dyDescent="0.15">
      <c r="A530" s="3"/>
      <c r="I530" s="3"/>
      <c r="J530" s="3"/>
      <c r="K530" s="3"/>
      <c r="L530" s="139"/>
      <c r="M530" s="3"/>
      <c r="N530" s="3"/>
      <c r="O530" s="3"/>
      <c r="P530" s="3"/>
      <c r="Q530" s="3"/>
      <c r="R530" s="3"/>
      <c r="S530" s="3"/>
      <c r="T530" s="3"/>
      <c r="U530" s="3"/>
      <c r="V530" s="3"/>
      <c r="W530" s="3"/>
      <c r="X530" s="3"/>
      <c r="Y530" s="3"/>
      <c r="Z530" s="3"/>
      <c r="AA530" s="3"/>
      <c r="AB530" s="3"/>
      <c r="AC530" s="3"/>
      <c r="AD530" s="3"/>
      <c r="AE530" s="3"/>
      <c r="AF530" s="3"/>
    </row>
    <row r="531" spans="1:32" x14ac:dyDescent="0.15">
      <c r="A531" s="3"/>
      <c r="I531" s="3"/>
      <c r="J531" s="3"/>
      <c r="K531" s="3"/>
      <c r="L531" s="139"/>
      <c r="M531" s="3"/>
      <c r="N531" s="3"/>
      <c r="O531" s="3"/>
      <c r="P531" s="3"/>
      <c r="Q531" s="3"/>
      <c r="R531" s="3"/>
      <c r="S531" s="3"/>
      <c r="T531" s="3"/>
      <c r="U531" s="3"/>
      <c r="V531" s="3"/>
      <c r="W531" s="3"/>
      <c r="X531" s="3"/>
      <c r="Y531" s="3"/>
      <c r="Z531" s="3"/>
      <c r="AA531" s="3"/>
      <c r="AB531" s="3"/>
      <c r="AC531" s="3"/>
      <c r="AD531" s="3"/>
      <c r="AE531" s="3"/>
      <c r="AF531" s="3"/>
    </row>
    <row r="532" spans="1:32" x14ac:dyDescent="0.15">
      <c r="A532" s="3"/>
      <c r="I532" s="3"/>
      <c r="J532" s="3"/>
      <c r="K532" s="3"/>
      <c r="L532" s="139"/>
      <c r="M532" s="3"/>
      <c r="N532" s="3"/>
      <c r="O532" s="3"/>
      <c r="P532" s="3"/>
      <c r="Q532" s="3"/>
      <c r="R532" s="3"/>
      <c r="S532" s="3"/>
      <c r="T532" s="3"/>
      <c r="U532" s="3"/>
      <c r="V532" s="3"/>
      <c r="W532" s="3"/>
      <c r="X532" s="3"/>
      <c r="Y532" s="3"/>
      <c r="Z532" s="3"/>
      <c r="AA532" s="3"/>
      <c r="AB532" s="3"/>
      <c r="AC532" s="3"/>
      <c r="AD532" s="3"/>
      <c r="AE532" s="3"/>
      <c r="AF532" s="3"/>
    </row>
    <row r="533" spans="1:32" x14ac:dyDescent="0.15">
      <c r="A533" s="3"/>
      <c r="I533" s="3"/>
      <c r="J533" s="3"/>
      <c r="K533" s="3"/>
      <c r="L533" s="139"/>
      <c r="M533" s="3"/>
      <c r="N533" s="3"/>
      <c r="O533" s="3"/>
      <c r="P533" s="3"/>
      <c r="Q533" s="3"/>
      <c r="R533" s="3"/>
      <c r="S533" s="3"/>
      <c r="T533" s="3"/>
      <c r="U533" s="3"/>
      <c r="V533" s="3"/>
      <c r="W533" s="3"/>
      <c r="X533" s="3"/>
      <c r="Y533" s="3"/>
      <c r="Z533" s="3"/>
      <c r="AA533" s="3"/>
      <c r="AB533" s="3"/>
      <c r="AC533" s="3"/>
      <c r="AD533" s="3"/>
      <c r="AE533" s="3"/>
      <c r="AF533" s="3"/>
    </row>
    <row r="534" spans="1:32" x14ac:dyDescent="0.15">
      <c r="A534" s="3"/>
      <c r="I534" s="3"/>
      <c r="J534" s="3"/>
      <c r="K534" s="3"/>
      <c r="L534" s="139"/>
      <c r="M534" s="3"/>
      <c r="N534" s="3"/>
      <c r="O534" s="3"/>
      <c r="P534" s="3"/>
      <c r="Q534" s="3"/>
      <c r="R534" s="3"/>
      <c r="S534" s="3"/>
      <c r="T534" s="3"/>
      <c r="U534" s="3"/>
      <c r="V534" s="3"/>
      <c r="W534" s="3"/>
      <c r="X534" s="3"/>
      <c r="Y534" s="3"/>
      <c r="Z534" s="3"/>
      <c r="AA534" s="3"/>
      <c r="AB534" s="3"/>
      <c r="AC534" s="3"/>
      <c r="AD534" s="3"/>
      <c r="AE534" s="3"/>
      <c r="AF534" s="3"/>
    </row>
    <row r="535" spans="1:32" x14ac:dyDescent="0.15">
      <c r="A535" s="3"/>
      <c r="I535" s="3"/>
      <c r="J535" s="3"/>
      <c r="K535" s="3"/>
      <c r="L535" s="139"/>
      <c r="M535" s="3"/>
      <c r="N535" s="3"/>
      <c r="O535" s="3"/>
      <c r="P535" s="3"/>
      <c r="Q535" s="3"/>
      <c r="R535" s="3"/>
      <c r="S535" s="3"/>
      <c r="T535" s="3"/>
      <c r="U535" s="3"/>
      <c r="V535" s="3"/>
      <c r="W535" s="3"/>
      <c r="X535" s="3"/>
      <c r="Y535" s="3"/>
      <c r="Z535" s="3"/>
      <c r="AA535" s="3"/>
      <c r="AB535" s="3"/>
      <c r="AC535" s="3"/>
      <c r="AD535" s="3"/>
      <c r="AE535" s="3"/>
      <c r="AF535" s="3"/>
    </row>
    <row r="536" spans="1:32" x14ac:dyDescent="0.15">
      <c r="A536" s="3"/>
      <c r="I536" s="3"/>
      <c r="J536" s="3"/>
      <c r="K536" s="3"/>
      <c r="L536" s="139"/>
      <c r="M536" s="3"/>
      <c r="N536" s="3"/>
      <c r="O536" s="3"/>
      <c r="P536" s="3"/>
      <c r="Q536" s="3"/>
      <c r="R536" s="3"/>
      <c r="S536" s="3"/>
      <c r="T536" s="3"/>
      <c r="U536" s="3"/>
      <c r="V536" s="3"/>
      <c r="W536" s="3"/>
      <c r="X536" s="3"/>
      <c r="Y536" s="3"/>
      <c r="Z536" s="3"/>
      <c r="AA536" s="3"/>
      <c r="AB536" s="3"/>
      <c r="AC536" s="3"/>
      <c r="AD536" s="3"/>
      <c r="AE536" s="3"/>
      <c r="AF536" s="3"/>
    </row>
    <row r="537" spans="1:32" x14ac:dyDescent="0.15">
      <c r="A537" s="3"/>
      <c r="I537" s="3"/>
      <c r="J537" s="3"/>
      <c r="K537" s="3"/>
      <c r="L537" s="139"/>
      <c r="M537" s="3"/>
      <c r="N537" s="3"/>
      <c r="O537" s="3"/>
      <c r="P537" s="3"/>
      <c r="Q537" s="3"/>
      <c r="R537" s="3"/>
      <c r="S537" s="3"/>
      <c r="T537" s="3"/>
      <c r="U537" s="3"/>
      <c r="V537" s="3"/>
      <c r="W537" s="3"/>
      <c r="X537" s="3"/>
      <c r="Y537" s="3"/>
      <c r="Z537" s="3"/>
      <c r="AA537" s="3"/>
      <c r="AB537" s="3"/>
      <c r="AC537" s="3"/>
      <c r="AD537" s="3"/>
      <c r="AE537" s="3"/>
      <c r="AF537" s="3"/>
    </row>
    <row r="538" spans="1:32" x14ac:dyDescent="0.15">
      <c r="A538" s="3"/>
      <c r="I538" s="3"/>
      <c r="J538" s="3"/>
      <c r="K538" s="3"/>
      <c r="L538" s="139"/>
      <c r="M538" s="3"/>
      <c r="N538" s="3"/>
      <c r="O538" s="3"/>
      <c r="P538" s="3"/>
      <c r="Q538" s="3"/>
      <c r="R538" s="3"/>
      <c r="S538" s="3"/>
      <c r="T538" s="3"/>
      <c r="U538" s="3"/>
      <c r="V538" s="3"/>
      <c r="W538" s="3"/>
      <c r="X538" s="3"/>
      <c r="Y538" s="3"/>
      <c r="Z538" s="3"/>
      <c r="AA538" s="3"/>
      <c r="AB538" s="3"/>
      <c r="AC538" s="3"/>
      <c r="AD538" s="3"/>
      <c r="AE538" s="3"/>
      <c r="AF538" s="3"/>
    </row>
    <row r="539" spans="1:32" x14ac:dyDescent="0.15">
      <c r="A539" s="3"/>
      <c r="I539" s="3"/>
      <c r="J539" s="3"/>
      <c r="K539" s="3"/>
      <c r="L539" s="139"/>
      <c r="M539" s="3"/>
      <c r="N539" s="3"/>
      <c r="O539" s="3"/>
      <c r="P539" s="3"/>
      <c r="Q539" s="3"/>
      <c r="R539" s="3"/>
      <c r="S539" s="3"/>
      <c r="T539" s="3"/>
      <c r="U539" s="3"/>
      <c r="V539" s="3"/>
      <c r="W539" s="3"/>
      <c r="X539" s="3"/>
      <c r="Y539" s="3"/>
      <c r="Z539" s="3"/>
      <c r="AA539" s="3"/>
      <c r="AB539" s="3"/>
      <c r="AC539" s="3"/>
      <c r="AD539" s="3"/>
      <c r="AE539" s="3"/>
      <c r="AF539" s="3"/>
    </row>
    <row r="540" spans="1:32" x14ac:dyDescent="0.15">
      <c r="A540" s="3"/>
      <c r="I540" s="3"/>
      <c r="J540" s="3"/>
      <c r="K540" s="3"/>
      <c r="L540" s="139"/>
      <c r="M540" s="3"/>
      <c r="N540" s="3"/>
      <c r="O540" s="3"/>
      <c r="P540" s="3"/>
      <c r="Q540" s="3"/>
      <c r="R540" s="3"/>
      <c r="S540" s="3"/>
      <c r="T540" s="3"/>
      <c r="U540" s="3"/>
      <c r="V540" s="3"/>
      <c r="W540" s="3"/>
      <c r="X540" s="3"/>
      <c r="Y540" s="3"/>
      <c r="Z540" s="3"/>
      <c r="AA540" s="3"/>
      <c r="AB540" s="3"/>
      <c r="AC540" s="3"/>
      <c r="AD540" s="3"/>
      <c r="AE540" s="3"/>
      <c r="AF540" s="3"/>
    </row>
    <row r="541" spans="1:32" x14ac:dyDescent="0.15">
      <c r="A541" s="3"/>
      <c r="I541" s="3"/>
      <c r="J541" s="3"/>
      <c r="K541" s="3"/>
      <c r="L541" s="139"/>
      <c r="M541" s="3"/>
      <c r="N541" s="3"/>
      <c r="O541" s="3"/>
      <c r="P541" s="3"/>
      <c r="Q541" s="3"/>
      <c r="R541" s="3"/>
      <c r="S541" s="3"/>
      <c r="T541" s="3"/>
      <c r="U541" s="3"/>
      <c r="V541" s="3"/>
      <c r="W541" s="3"/>
      <c r="X541" s="3"/>
      <c r="Y541" s="3"/>
      <c r="Z541" s="3"/>
      <c r="AA541" s="3"/>
      <c r="AB541" s="3"/>
      <c r="AC541" s="3"/>
      <c r="AD541" s="3"/>
      <c r="AE541" s="3"/>
      <c r="AF541" s="3"/>
    </row>
    <row r="542" spans="1:32" x14ac:dyDescent="0.15">
      <c r="A542" s="3"/>
      <c r="I542" s="3"/>
      <c r="J542" s="3"/>
      <c r="K542" s="3"/>
      <c r="L542" s="139"/>
      <c r="M542" s="3"/>
      <c r="N542" s="3"/>
      <c r="O542" s="3"/>
      <c r="P542" s="3"/>
      <c r="Q542" s="3"/>
      <c r="R542" s="3"/>
      <c r="S542" s="3"/>
      <c r="T542" s="3"/>
      <c r="U542" s="3"/>
      <c r="V542" s="3"/>
      <c r="W542" s="3"/>
      <c r="X542" s="3"/>
      <c r="Y542" s="3"/>
      <c r="Z542" s="3"/>
      <c r="AA542" s="3"/>
      <c r="AB542" s="3"/>
      <c r="AC542" s="3"/>
      <c r="AD542" s="3"/>
      <c r="AE542" s="3"/>
      <c r="AF542" s="3"/>
    </row>
    <row r="543" spans="1:32" x14ac:dyDescent="0.15">
      <c r="A543" s="3"/>
      <c r="I543" s="3"/>
      <c r="J543" s="3"/>
      <c r="K543" s="3"/>
      <c r="L543" s="139"/>
      <c r="M543" s="3"/>
      <c r="N543" s="3"/>
      <c r="O543" s="3"/>
      <c r="P543" s="3"/>
      <c r="Q543" s="3"/>
      <c r="R543" s="3"/>
      <c r="S543" s="3"/>
      <c r="T543" s="3"/>
      <c r="U543" s="3"/>
      <c r="V543" s="3"/>
      <c r="W543" s="3"/>
      <c r="X543" s="3"/>
      <c r="Y543" s="3"/>
      <c r="Z543" s="3"/>
      <c r="AA543" s="3"/>
      <c r="AB543" s="3"/>
      <c r="AC543" s="3"/>
      <c r="AD543" s="3"/>
      <c r="AE543" s="3"/>
      <c r="AF543" s="3"/>
    </row>
    <row r="544" spans="1:32" x14ac:dyDescent="0.15">
      <c r="A544" s="3"/>
      <c r="I544" s="3"/>
      <c r="J544" s="3"/>
      <c r="K544" s="3"/>
      <c r="L544" s="139"/>
      <c r="M544" s="3"/>
      <c r="N544" s="3"/>
      <c r="O544" s="3"/>
      <c r="P544" s="3"/>
      <c r="Q544" s="3"/>
      <c r="R544" s="3"/>
      <c r="S544" s="3"/>
      <c r="T544" s="3"/>
      <c r="U544" s="3"/>
      <c r="V544" s="3"/>
      <c r="W544" s="3"/>
      <c r="X544" s="3"/>
      <c r="Y544" s="3"/>
      <c r="Z544" s="3"/>
      <c r="AA544" s="3"/>
      <c r="AB544" s="3"/>
      <c r="AC544" s="3"/>
      <c r="AD544" s="3"/>
      <c r="AE544" s="3"/>
      <c r="AF544" s="3"/>
    </row>
    <row r="545" spans="1:32" x14ac:dyDescent="0.15">
      <c r="A545" s="3"/>
      <c r="I545" s="3"/>
      <c r="J545" s="3"/>
      <c r="K545" s="3"/>
      <c r="L545" s="139"/>
      <c r="M545" s="3"/>
      <c r="N545" s="3"/>
      <c r="O545" s="3"/>
      <c r="P545" s="3"/>
      <c r="Q545" s="3"/>
      <c r="R545" s="3"/>
      <c r="S545" s="3"/>
      <c r="T545" s="3"/>
      <c r="U545" s="3"/>
      <c r="V545" s="3"/>
      <c r="W545" s="3"/>
      <c r="X545" s="3"/>
      <c r="Y545" s="3"/>
      <c r="Z545" s="3"/>
      <c r="AA545" s="3"/>
      <c r="AB545" s="3"/>
      <c r="AC545" s="3"/>
      <c r="AD545" s="3"/>
      <c r="AE545" s="3"/>
      <c r="AF545" s="3"/>
    </row>
    <row r="546" spans="1:32" x14ac:dyDescent="0.15">
      <c r="A546" s="3"/>
      <c r="I546" s="3"/>
      <c r="J546" s="3"/>
      <c r="K546" s="3"/>
      <c r="L546" s="139"/>
      <c r="M546" s="3"/>
      <c r="N546" s="3"/>
      <c r="O546" s="3"/>
      <c r="P546" s="3"/>
      <c r="Q546" s="3"/>
      <c r="R546" s="3"/>
      <c r="S546" s="3"/>
      <c r="T546" s="3"/>
      <c r="U546" s="3"/>
      <c r="V546" s="3"/>
      <c r="W546" s="3"/>
      <c r="X546" s="3"/>
      <c r="Y546" s="3"/>
      <c r="Z546" s="3"/>
      <c r="AA546" s="3"/>
      <c r="AB546" s="3"/>
      <c r="AC546" s="3"/>
      <c r="AD546" s="3"/>
      <c r="AE546" s="3"/>
      <c r="AF546" s="3"/>
    </row>
    <row r="547" spans="1:32" x14ac:dyDescent="0.15">
      <c r="A547" s="3"/>
      <c r="I547" s="3"/>
      <c r="J547" s="3"/>
      <c r="K547" s="3"/>
      <c r="L547" s="139"/>
      <c r="M547" s="3"/>
      <c r="N547" s="3"/>
      <c r="O547" s="3"/>
      <c r="P547" s="3"/>
      <c r="Q547" s="3"/>
      <c r="R547" s="3"/>
      <c r="S547" s="3"/>
      <c r="T547" s="3"/>
      <c r="U547" s="3"/>
      <c r="V547" s="3"/>
      <c r="W547" s="3"/>
      <c r="X547" s="3"/>
      <c r="Y547" s="3"/>
      <c r="Z547" s="3"/>
      <c r="AA547" s="3"/>
      <c r="AB547" s="3"/>
      <c r="AC547" s="3"/>
      <c r="AD547" s="3"/>
      <c r="AE547" s="3"/>
      <c r="AF547" s="3"/>
    </row>
    <row r="548" spans="1:32" x14ac:dyDescent="0.15">
      <c r="A548" s="3"/>
      <c r="I548" s="3"/>
      <c r="J548" s="3"/>
      <c r="K548" s="3"/>
      <c r="L548" s="139"/>
      <c r="M548" s="3"/>
      <c r="N548" s="3"/>
      <c r="O548" s="3"/>
      <c r="P548" s="3"/>
      <c r="Q548" s="3"/>
      <c r="R548" s="3"/>
      <c r="S548" s="3"/>
      <c r="T548" s="3"/>
      <c r="U548" s="3"/>
      <c r="V548" s="3"/>
      <c r="W548" s="3"/>
      <c r="X548" s="3"/>
      <c r="Y548" s="3"/>
      <c r="Z548" s="3"/>
      <c r="AA548" s="3"/>
      <c r="AB548" s="3"/>
      <c r="AC548" s="3"/>
      <c r="AD548" s="3"/>
      <c r="AE548" s="3"/>
      <c r="AF548" s="3"/>
    </row>
    <row r="549" spans="1:32" x14ac:dyDescent="0.15">
      <c r="A549" s="3"/>
      <c r="I549" s="3"/>
      <c r="J549" s="3"/>
      <c r="K549" s="3"/>
      <c r="L549" s="139"/>
      <c r="M549" s="3"/>
      <c r="N549" s="3"/>
      <c r="O549" s="3"/>
      <c r="P549" s="3"/>
      <c r="Q549" s="3"/>
      <c r="R549" s="3"/>
      <c r="S549" s="3"/>
      <c r="T549" s="3"/>
      <c r="U549" s="3"/>
      <c r="V549" s="3"/>
      <c r="W549" s="3"/>
      <c r="X549" s="3"/>
      <c r="Y549" s="3"/>
      <c r="Z549" s="3"/>
      <c r="AA549" s="3"/>
      <c r="AB549" s="3"/>
      <c r="AC549" s="3"/>
      <c r="AD549" s="3"/>
      <c r="AE549" s="3"/>
      <c r="AF549" s="3"/>
    </row>
    <row r="550" spans="1:32" x14ac:dyDescent="0.15">
      <c r="A550" s="3"/>
      <c r="I550" s="3"/>
      <c r="J550" s="3"/>
      <c r="K550" s="3"/>
      <c r="L550" s="139"/>
      <c r="M550" s="3"/>
      <c r="N550" s="3"/>
      <c r="O550" s="3"/>
      <c r="P550" s="3"/>
      <c r="Q550" s="3"/>
      <c r="R550" s="3"/>
      <c r="S550" s="3"/>
      <c r="T550" s="3"/>
      <c r="U550" s="3"/>
      <c r="V550" s="3"/>
      <c r="W550" s="3"/>
      <c r="X550" s="3"/>
      <c r="Y550" s="3"/>
      <c r="Z550" s="3"/>
      <c r="AA550" s="3"/>
      <c r="AB550" s="3"/>
      <c r="AC550" s="3"/>
      <c r="AD550" s="3"/>
      <c r="AE550" s="3"/>
      <c r="AF550" s="3"/>
    </row>
    <row r="551" spans="1:32" x14ac:dyDescent="0.15">
      <c r="A551" s="3"/>
      <c r="I551" s="3"/>
      <c r="J551" s="3"/>
      <c r="K551" s="3"/>
      <c r="L551" s="139"/>
      <c r="M551" s="3"/>
      <c r="N551" s="3"/>
      <c r="O551" s="3"/>
      <c r="P551" s="3"/>
      <c r="Q551" s="3"/>
      <c r="R551" s="3"/>
      <c r="S551" s="3"/>
      <c r="T551" s="3"/>
      <c r="U551" s="3"/>
      <c r="V551" s="3"/>
      <c r="W551" s="3"/>
      <c r="X551" s="3"/>
      <c r="Y551" s="3"/>
      <c r="Z551" s="3"/>
      <c r="AA551" s="3"/>
      <c r="AB551" s="3"/>
      <c r="AC551" s="3"/>
      <c r="AD551" s="3"/>
      <c r="AE551" s="3"/>
      <c r="AF551" s="3"/>
    </row>
    <row r="552" spans="1:32" x14ac:dyDescent="0.15">
      <c r="A552" s="3"/>
      <c r="I552" s="3"/>
      <c r="J552" s="3"/>
      <c r="K552" s="3"/>
      <c r="L552" s="139"/>
      <c r="M552" s="3"/>
      <c r="N552" s="3"/>
      <c r="O552" s="3"/>
      <c r="P552" s="3"/>
      <c r="Q552" s="3"/>
      <c r="R552" s="3"/>
      <c r="S552" s="3"/>
      <c r="T552" s="3"/>
      <c r="U552" s="3"/>
      <c r="V552" s="3"/>
      <c r="W552" s="3"/>
      <c r="X552" s="3"/>
      <c r="Y552" s="3"/>
      <c r="Z552" s="3"/>
      <c r="AA552" s="3"/>
      <c r="AB552" s="3"/>
      <c r="AC552" s="3"/>
      <c r="AD552" s="3"/>
      <c r="AE552" s="3"/>
      <c r="AF552" s="3"/>
    </row>
    <row r="553" spans="1:32" x14ac:dyDescent="0.15">
      <c r="A553" s="3"/>
      <c r="I553" s="3"/>
      <c r="J553" s="3"/>
      <c r="K553" s="3"/>
      <c r="L553" s="139"/>
      <c r="M553" s="3"/>
      <c r="N553" s="3"/>
      <c r="O553" s="3"/>
      <c r="P553" s="3"/>
      <c r="Q553" s="3"/>
      <c r="R553" s="3"/>
      <c r="S553" s="3"/>
      <c r="T553" s="3"/>
      <c r="U553" s="3"/>
      <c r="V553" s="3"/>
      <c r="W553" s="3"/>
      <c r="X553" s="3"/>
      <c r="Y553" s="3"/>
      <c r="Z553" s="3"/>
      <c r="AA553" s="3"/>
      <c r="AB553" s="3"/>
      <c r="AC553" s="3"/>
      <c r="AD553" s="3"/>
      <c r="AE553" s="3"/>
      <c r="AF553" s="3"/>
    </row>
    <row r="554" spans="1:32" x14ac:dyDescent="0.15">
      <c r="A554" s="3"/>
      <c r="I554" s="3"/>
      <c r="J554" s="3"/>
      <c r="K554" s="3"/>
      <c r="L554" s="139"/>
      <c r="M554" s="3"/>
      <c r="N554" s="3"/>
      <c r="O554" s="3"/>
      <c r="P554" s="3"/>
      <c r="Q554" s="3"/>
      <c r="R554" s="3"/>
      <c r="S554" s="3"/>
      <c r="T554" s="3"/>
      <c r="U554" s="3"/>
      <c r="V554" s="3"/>
      <c r="W554" s="3"/>
      <c r="X554" s="3"/>
      <c r="Y554" s="3"/>
      <c r="Z554" s="3"/>
      <c r="AA554" s="3"/>
      <c r="AB554" s="3"/>
      <c r="AC554" s="3"/>
      <c r="AD554" s="3"/>
      <c r="AE554" s="3"/>
      <c r="AF554" s="3"/>
    </row>
    <row r="555" spans="1:32" x14ac:dyDescent="0.15">
      <c r="A555" s="3"/>
      <c r="I555" s="3"/>
      <c r="J555" s="3"/>
      <c r="K555" s="3"/>
      <c r="L555" s="139"/>
      <c r="M555" s="3"/>
      <c r="N555" s="3"/>
      <c r="O555" s="3"/>
      <c r="P555" s="3"/>
      <c r="Q555" s="3"/>
      <c r="R555" s="3"/>
      <c r="S555" s="3"/>
      <c r="T555" s="3"/>
      <c r="U555" s="3"/>
      <c r="V555" s="3"/>
      <c r="W555" s="3"/>
      <c r="X555" s="3"/>
      <c r="Y555" s="3"/>
      <c r="Z555" s="3"/>
      <c r="AA555" s="3"/>
      <c r="AB555" s="3"/>
      <c r="AC555" s="3"/>
      <c r="AD555" s="3"/>
      <c r="AE555" s="3"/>
      <c r="AF555" s="3"/>
    </row>
    <row r="556" spans="1:32" x14ac:dyDescent="0.15">
      <c r="A556" s="3"/>
      <c r="I556" s="3"/>
      <c r="J556" s="3"/>
      <c r="K556" s="3"/>
      <c r="L556" s="139"/>
      <c r="M556" s="3"/>
      <c r="N556" s="3"/>
      <c r="O556" s="3"/>
      <c r="P556" s="3"/>
      <c r="Q556" s="3"/>
      <c r="R556" s="3"/>
      <c r="S556" s="3"/>
      <c r="T556" s="3"/>
      <c r="U556" s="3"/>
      <c r="V556" s="3"/>
      <c r="W556" s="3"/>
      <c r="X556" s="3"/>
      <c r="Y556" s="3"/>
      <c r="Z556" s="3"/>
      <c r="AA556" s="3"/>
      <c r="AB556" s="3"/>
      <c r="AC556" s="3"/>
      <c r="AD556" s="3"/>
      <c r="AE556" s="3"/>
      <c r="AF556" s="3"/>
    </row>
    <row r="557" spans="1:32" x14ac:dyDescent="0.15">
      <c r="A557" s="3"/>
      <c r="I557" s="3"/>
      <c r="J557" s="3"/>
      <c r="K557" s="3"/>
      <c r="L557" s="139"/>
      <c r="M557" s="3"/>
      <c r="N557" s="3"/>
      <c r="O557" s="3"/>
      <c r="P557" s="3"/>
      <c r="Q557" s="3"/>
      <c r="R557" s="3"/>
      <c r="S557" s="3"/>
      <c r="T557" s="3"/>
      <c r="U557" s="3"/>
      <c r="V557" s="3"/>
      <c r="W557" s="3"/>
      <c r="X557" s="3"/>
      <c r="Y557" s="3"/>
      <c r="Z557" s="3"/>
      <c r="AA557" s="3"/>
      <c r="AB557" s="3"/>
      <c r="AC557" s="3"/>
      <c r="AD557" s="3"/>
      <c r="AE557" s="3"/>
      <c r="AF557" s="3"/>
    </row>
    <row r="558" spans="1:32" x14ac:dyDescent="0.15">
      <c r="A558" s="3"/>
      <c r="I558" s="3"/>
      <c r="J558" s="3"/>
      <c r="K558" s="3"/>
      <c r="L558" s="139"/>
      <c r="M558" s="3"/>
      <c r="N558" s="3"/>
      <c r="O558" s="3"/>
      <c r="P558" s="3"/>
      <c r="Q558" s="3"/>
      <c r="R558" s="3"/>
      <c r="S558" s="3"/>
      <c r="T558" s="3"/>
      <c r="U558" s="3"/>
      <c r="V558" s="3"/>
      <c r="W558" s="3"/>
      <c r="X558" s="3"/>
      <c r="Y558" s="3"/>
      <c r="Z558" s="3"/>
      <c r="AA558" s="3"/>
      <c r="AB558" s="3"/>
      <c r="AC558" s="3"/>
      <c r="AD558" s="3"/>
      <c r="AE558" s="3"/>
      <c r="AF558" s="3"/>
    </row>
    <row r="559" spans="1:32" x14ac:dyDescent="0.15">
      <c r="A559" s="3"/>
      <c r="I559" s="3"/>
      <c r="J559" s="3"/>
      <c r="K559" s="3"/>
      <c r="L559" s="139"/>
      <c r="M559" s="3"/>
      <c r="N559" s="3"/>
      <c r="O559" s="3"/>
      <c r="P559" s="3"/>
      <c r="Q559" s="3"/>
      <c r="R559" s="3"/>
      <c r="S559" s="3"/>
      <c r="T559" s="3"/>
      <c r="U559" s="3"/>
      <c r="V559" s="3"/>
      <c r="W559" s="3"/>
      <c r="X559" s="3"/>
      <c r="Y559" s="3"/>
      <c r="Z559" s="3"/>
      <c r="AA559" s="3"/>
      <c r="AB559" s="3"/>
      <c r="AC559" s="3"/>
      <c r="AD559" s="3"/>
      <c r="AE559" s="3"/>
      <c r="AF559" s="3"/>
    </row>
    <row r="560" spans="1:32" x14ac:dyDescent="0.15">
      <c r="A560" s="3"/>
      <c r="I560" s="3"/>
      <c r="J560" s="3"/>
      <c r="K560" s="3"/>
      <c r="L560" s="139"/>
      <c r="M560" s="3"/>
      <c r="N560" s="3"/>
      <c r="O560" s="3"/>
      <c r="P560" s="3"/>
      <c r="Q560" s="3"/>
      <c r="R560" s="3"/>
      <c r="S560" s="3"/>
      <c r="T560" s="3"/>
      <c r="U560" s="3"/>
      <c r="V560" s="3"/>
      <c r="W560" s="3"/>
      <c r="X560" s="3"/>
      <c r="Y560" s="3"/>
      <c r="Z560" s="3"/>
      <c r="AA560" s="3"/>
      <c r="AB560" s="3"/>
      <c r="AC560" s="3"/>
      <c r="AD560" s="3"/>
      <c r="AE560" s="3"/>
      <c r="AF560" s="3"/>
    </row>
    <row r="561" spans="1:32" x14ac:dyDescent="0.15">
      <c r="A561" s="3"/>
      <c r="I561" s="3"/>
      <c r="J561" s="3"/>
      <c r="K561" s="3"/>
      <c r="L561" s="139"/>
      <c r="M561" s="3"/>
      <c r="N561" s="3"/>
      <c r="O561" s="3"/>
      <c r="P561" s="3"/>
      <c r="Q561" s="3"/>
      <c r="R561" s="3"/>
      <c r="S561" s="3"/>
      <c r="T561" s="3"/>
      <c r="U561" s="3"/>
      <c r="V561" s="3"/>
      <c r="W561" s="3"/>
      <c r="X561" s="3"/>
      <c r="Y561" s="3"/>
      <c r="Z561" s="3"/>
      <c r="AA561" s="3"/>
      <c r="AB561" s="3"/>
      <c r="AC561" s="3"/>
      <c r="AD561" s="3"/>
      <c r="AE561" s="3"/>
      <c r="AF561" s="3"/>
    </row>
    <row r="562" spans="1:32" x14ac:dyDescent="0.15">
      <c r="A562" s="3"/>
      <c r="I562" s="3"/>
      <c r="J562" s="3"/>
      <c r="K562" s="3"/>
      <c r="L562" s="139"/>
      <c r="M562" s="3"/>
      <c r="N562" s="3"/>
      <c r="O562" s="3"/>
      <c r="P562" s="3"/>
      <c r="Q562" s="3"/>
      <c r="R562" s="3"/>
      <c r="S562" s="3"/>
      <c r="T562" s="3"/>
      <c r="U562" s="3"/>
      <c r="V562" s="3"/>
      <c r="W562" s="3"/>
      <c r="X562" s="3"/>
      <c r="Y562" s="3"/>
      <c r="Z562" s="3"/>
      <c r="AA562" s="3"/>
      <c r="AB562" s="3"/>
      <c r="AC562" s="3"/>
      <c r="AD562" s="3"/>
      <c r="AE562" s="3"/>
      <c r="AF562" s="3"/>
    </row>
    <row r="563" spans="1:32" x14ac:dyDescent="0.15">
      <c r="A563" s="3"/>
      <c r="I563" s="3"/>
      <c r="J563" s="3"/>
      <c r="K563" s="3"/>
      <c r="L563" s="139"/>
      <c r="M563" s="3"/>
      <c r="N563" s="3"/>
      <c r="O563" s="3"/>
      <c r="P563" s="3"/>
      <c r="Q563" s="3"/>
      <c r="R563" s="3"/>
      <c r="S563" s="3"/>
      <c r="T563" s="3"/>
      <c r="U563" s="3"/>
      <c r="V563" s="3"/>
      <c r="W563" s="3"/>
      <c r="X563" s="3"/>
      <c r="Y563" s="3"/>
      <c r="Z563" s="3"/>
      <c r="AA563" s="3"/>
      <c r="AB563" s="3"/>
      <c r="AC563" s="3"/>
      <c r="AD563" s="3"/>
      <c r="AE563" s="3"/>
      <c r="AF563" s="3"/>
    </row>
    <row r="564" spans="1:32" x14ac:dyDescent="0.15">
      <c r="A564" s="3"/>
      <c r="I564" s="3"/>
      <c r="J564" s="3"/>
      <c r="K564" s="3"/>
      <c r="L564" s="139"/>
      <c r="M564" s="3"/>
      <c r="N564" s="3"/>
      <c r="O564" s="3"/>
      <c r="P564" s="3"/>
      <c r="Q564" s="3"/>
      <c r="R564" s="3"/>
      <c r="S564" s="3"/>
      <c r="T564" s="3"/>
      <c r="U564" s="3"/>
      <c r="V564" s="3"/>
      <c r="W564" s="3"/>
      <c r="X564" s="3"/>
      <c r="Y564" s="3"/>
      <c r="Z564" s="3"/>
      <c r="AA564" s="3"/>
      <c r="AB564" s="3"/>
      <c r="AC564" s="3"/>
      <c r="AD564" s="3"/>
      <c r="AE564" s="3"/>
      <c r="AF564" s="3"/>
    </row>
    <row r="565" spans="1:32" x14ac:dyDescent="0.15">
      <c r="A565" s="3"/>
      <c r="I565" s="3"/>
      <c r="J565" s="3"/>
      <c r="K565" s="3"/>
      <c r="L565" s="139"/>
      <c r="M565" s="3"/>
      <c r="N565" s="3"/>
      <c r="O565" s="3"/>
      <c r="P565" s="3"/>
      <c r="Q565" s="3"/>
      <c r="R565" s="3"/>
      <c r="S565" s="3"/>
      <c r="T565" s="3"/>
      <c r="U565" s="3"/>
      <c r="V565" s="3"/>
      <c r="W565" s="3"/>
      <c r="X565" s="3"/>
      <c r="Y565" s="3"/>
      <c r="Z565" s="3"/>
      <c r="AA565" s="3"/>
      <c r="AB565" s="3"/>
      <c r="AC565" s="3"/>
      <c r="AD565" s="3"/>
      <c r="AE565" s="3"/>
      <c r="AF565" s="3"/>
    </row>
    <row r="566" spans="1:32" x14ac:dyDescent="0.15">
      <c r="A566" s="3"/>
      <c r="I566" s="3"/>
      <c r="J566" s="3"/>
      <c r="K566" s="3"/>
      <c r="L566" s="139"/>
      <c r="M566" s="3"/>
      <c r="N566" s="3"/>
      <c r="O566" s="3"/>
      <c r="P566" s="3"/>
      <c r="Q566" s="3"/>
      <c r="R566" s="3"/>
      <c r="S566" s="3"/>
      <c r="T566" s="3"/>
      <c r="U566" s="3"/>
      <c r="V566" s="3"/>
      <c r="W566" s="3"/>
      <c r="X566" s="3"/>
      <c r="Y566" s="3"/>
      <c r="Z566" s="3"/>
      <c r="AA566" s="3"/>
      <c r="AB566" s="3"/>
      <c r="AC566" s="3"/>
      <c r="AD566" s="3"/>
      <c r="AE566" s="3"/>
      <c r="AF566" s="3"/>
    </row>
    <row r="567" spans="1:32" x14ac:dyDescent="0.15">
      <c r="A567" s="3"/>
      <c r="I567" s="3"/>
      <c r="J567" s="3"/>
      <c r="K567" s="3"/>
      <c r="L567" s="139"/>
      <c r="M567" s="3"/>
      <c r="N567" s="3"/>
      <c r="O567" s="3"/>
      <c r="P567" s="3"/>
      <c r="Q567" s="3"/>
      <c r="R567" s="3"/>
      <c r="S567" s="3"/>
      <c r="T567" s="3"/>
      <c r="U567" s="3"/>
      <c r="V567" s="3"/>
      <c r="W567" s="3"/>
      <c r="X567" s="3"/>
      <c r="Y567" s="3"/>
      <c r="Z567" s="3"/>
      <c r="AA567" s="3"/>
      <c r="AB567" s="3"/>
      <c r="AC567" s="3"/>
      <c r="AD567" s="3"/>
      <c r="AE567" s="3"/>
      <c r="AF567" s="3"/>
    </row>
    <row r="568" spans="1:32" x14ac:dyDescent="0.15">
      <c r="A568" s="3"/>
      <c r="I568" s="3"/>
      <c r="J568" s="3"/>
      <c r="K568" s="3"/>
      <c r="L568" s="139"/>
      <c r="M568" s="3"/>
      <c r="N568" s="3"/>
      <c r="O568" s="3"/>
      <c r="P568" s="3"/>
      <c r="Q568" s="3"/>
      <c r="R568" s="3"/>
      <c r="S568" s="3"/>
      <c r="T568" s="3"/>
      <c r="U568" s="3"/>
      <c r="V568" s="3"/>
      <c r="W568" s="3"/>
      <c r="X568" s="3"/>
      <c r="Y568" s="3"/>
      <c r="Z568" s="3"/>
      <c r="AA568" s="3"/>
      <c r="AB568" s="3"/>
      <c r="AC568" s="3"/>
      <c r="AD568" s="3"/>
      <c r="AE568" s="3"/>
      <c r="AF568" s="3"/>
    </row>
    <row r="569" spans="1:32" x14ac:dyDescent="0.15">
      <c r="A569" s="3"/>
      <c r="I569" s="3"/>
      <c r="J569" s="3"/>
      <c r="K569" s="3"/>
      <c r="L569" s="139"/>
      <c r="M569" s="3"/>
      <c r="N569" s="3"/>
      <c r="O569" s="3"/>
      <c r="P569" s="3"/>
      <c r="Q569" s="3"/>
      <c r="R569" s="3"/>
      <c r="S569" s="3"/>
      <c r="T569" s="3"/>
      <c r="U569" s="3"/>
      <c r="V569" s="3"/>
      <c r="W569" s="3"/>
      <c r="X569" s="3"/>
      <c r="Y569" s="3"/>
      <c r="Z569" s="3"/>
      <c r="AA569" s="3"/>
      <c r="AB569" s="3"/>
      <c r="AC569" s="3"/>
      <c r="AD569" s="3"/>
      <c r="AE569" s="3"/>
      <c r="AF569" s="3"/>
    </row>
    <row r="570" spans="1:32" x14ac:dyDescent="0.15">
      <c r="A570" s="3"/>
      <c r="I570" s="3"/>
      <c r="J570" s="3"/>
      <c r="K570" s="3"/>
      <c r="L570" s="139"/>
      <c r="M570" s="3"/>
      <c r="N570" s="3"/>
      <c r="O570" s="3"/>
      <c r="P570" s="3"/>
      <c r="Q570" s="3"/>
      <c r="R570" s="3"/>
      <c r="S570" s="3"/>
      <c r="T570" s="3"/>
      <c r="U570" s="3"/>
      <c r="V570" s="3"/>
      <c r="W570" s="3"/>
      <c r="X570" s="3"/>
      <c r="Y570" s="3"/>
      <c r="Z570" s="3"/>
      <c r="AA570" s="3"/>
      <c r="AB570" s="3"/>
      <c r="AC570" s="3"/>
      <c r="AD570" s="3"/>
      <c r="AE570" s="3"/>
      <c r="AF570" s="3"/>
    </row>
    <row r="571" spans="1:32" x14ac:dyDescent="0.15">
      <c r="A571" s="3"/>
      <c r="I571" s="3"/>
      <c r="J571" s="3"/>
      <c r="K571" s="3"/>
      <c r="L571" s="139"/>
      <c r="M571" s="3"/>
      <c r="N571" s="3"/>
      <c r="O571" s="3"/>
      <c r="P571" s="3"/>
      <c r="Q571" s="3"/>
      <c r="R571" s="3"/>
      <c r="S571" s="3"/>
      <c r="T571" s="3"/>
      <c r="U571" s="3"/>
      <c r="V571" s="3"/>
      <c r="W571" s="3"/>
      <c r="X571" s="3"/>
      <c r="Y571" s="3"/>
      <c r="Z571" s="3"/>
      <c r="AA571" s="3"/>
      <c r="AB571" s="3"/>
      <c r="AC571" s="3"/>
      <c r="AD571" s="3"/>
      <c r="AE571" s="3"/>
      <c r="AF571" s="3"/>
    </row>
    <row r="572" spans="1:32" x14ac:dyDescent="0.15">
      <c r="A572" s="3"/>
      <c r="I572" s="3"/>
      <c r="J572" s="3"/>
      <c r="K572" s="3"/>
      <c r="L572" s="139"/>
      <c r="M572" s="3"/>
      <c r="N572" s="3"/>
      <c r="O572" s="3"/>
      <c r="P572" s="3"/>
      <c r="Q572" s="3"/>
      <c r="R572" s="3"/>
      <c r="S572" s="3"/>
      <c r="T572" s="3"/>
      <c r="U572" s="3"/>
      <c r="V572" s="3"/>
      <c r="W572" s="3"/>
      <c r="X572" s="3"/>
      <c r="Y572" s="3"/>
      <c r="Z572" s="3"/>
      <c r="AA572" s="3"/>
      <c r="AB572" s="3"/>
      <c r="AC572" s="3"/>
      <c r="AD572" s="3"/>
      <c r="AE572" s="3"/>
      <c r="AF572" s="3"/>
    </row>
    <row r="573" spans="1:32" x14ac:dyDescent="0.15">
      <c r="A573" s="3"/>
      <c r="I573" s="3"/>
      <c r="J573" s="3"/>
      <c r="K573" s="3"/>
      <c r="L573" s="139"/>
      <c r="M573" s="3"/>
      <c r="N573" s="3"/>
      <c r="O573" s="3"/>
      <c r="P573" s="3"/>
      <c r="Q573" s="3"/>
      <c r="R573" s="3"/>
      <c r="S573" s="3"/>
      <c r="T573" s="3"/>
      <c r="U573" s="3"/>
      <c r="V573" s="3"/>
      <c r="W573" s="3"/>
      <c r="X573" s="3"/>
      <c r="Y573" s="3"/>
      <c r="Z573" s="3"/>
      <c r="AA573" s="3"/>
      <c r="AB573" s="3"/>
      <c r="AC573" s="3"/>
      <c r="AD573" s="3"/>
      <c r="AE573" s="3"/>
      <c r="AF573" s="3"/>
    </row>
    <row r="574" spans="1:32" x14ac:dyDescent="0.15">
      <c r="A574" s="3"/>
      <c r="I574" s="3"/>
      <c r="J574" s="3"/>
      <c r="K574" s="3"/>
      <c r="L574" s="139"/>
      <c r="M574" s="3"/>
      <c r="N574" s="3"/>
      <c r="O574" s="3"/>
      <c r="P574" s="3"/>
      <c r="Q574" s="3"/>
      <c r="R574" s="3"/>
      <c r="S574" s="3"/>
      <c r="T574" s="3"/>
      <c r="U574" s="3"/>
      <c r="V574" s="3"/>
      <c r="W574" s="3"/>
      <c r="X574" s="3"/>
      <c r="Y574" s="3"/>
      <c r="Z574" s="3"/>
      <c r="AA574" s="3"/>
      <c r="AB574" s="3"/>
      <c r="AC574" s="3"/>
      <c r="AD574" s="3"/>
      <c r="AE574" s="3"/>
      <c r="AF574" s="3"/>
    </row>
    <row r="575" spans="1:32" x14ac:dyDescent="0.15">
      <c r="A575" s="3"/>
      <c r="I575" s="3"/>
      <c r="J575" s="3"/>
      <c r="K575" s="3"/>
      <c r="L575" s="139"/>
      <c r="M575" s="3"/>
      <c r="N575" s="3"/>
      <c r="O575" s="3"/>
      <c r="P575" s="3"/>
      <c r="Q575" s="3"/>
      <c r="R575" s="3"/>
      <c r="S575" s="3"/>
      <c r="T575" s="3"/>
      <c r="U575" s="3"/>
      <c r="V575" s="3"/>
      <c r="W575" s="3"/>
      <c r="X575" s="3"/>
      <c r="Y575" s="3"/>
      <c r="Z575" s="3"/>
      <c r="AA575" s="3"/>
      <c r="AB575" s="3"/>
      <c r="AC575" s="3"/>
      <c r="AD575" s="3"/>
      <c r="AE575" s="3"/>
      <c r="AF575" s="3"/>
    </row>
    <row r="576" spans="1:32" x14ac:dyDescent="0.15">
      <c r="A576" s="3"/>
      <c r="I576" s="3"/>
      <c r="J576" s="3"/>
      <c r="K576" s="3"/>
      <c r="L576" s="139"/>
      <c r="M576" s="3"/>
      <c r="N576" s="3"/>
      <c r="O576" s="3"/>
      <c r="P576" s="3"/>
      <c r="Q576" s="3"/>
      <c r="R576" s="3"/>
      <c r="S576" s="3"/>
      <c r="T576" s="3"/>
      <c r="U576" s="3"/>
      <c r="V576" s="3"/>
      <c r="W576" s="3"/>
      <c r="X576" s="3"/>
      <c r="Y576" s="3"/>
      <c r="Z576" s="3"/>
      <c r="AA576" s="3"/>
      <c r="AB576" s="3"/>
      <c r="AC576" s="3"/>
      <c r="AD576" s="3"/>
      <c r="AE576" s="3"/>
      <c r="AF576" s="3"/>
    </row>
    <row r="577" spans="1:32" x14ac:dyDescent="0.15">
      <c r="A577" s="3"/>
      <c r="I577" s="3"/>
      <c r="J577" s="3"/>
      <c r="K577" s="3"/>
      <c r="L577" s="139"/>
      <c r="M577" s="3"/>
      <c r="N577" s="3"/>
      <c r="O577" s="3"/>
      <c r="P577" s="3"/>
      <c r="Q577" s="3"/>
      <c r="R577" s="3"/>
      <c r="S577" s="3"/>
      <c r="T577" s="3"/>
      <c r="U577" s="3"/>
      <c r="V577" s="3"/>
      <c r="W577" s="3"/>
      <c r="X577" s="3"/>
      <c r="Y577" s="3"/>
      <c r="Z577" s="3"/>
      <c r="AA577" s="3"/>
      <c r="AB577" s="3"/>
      <c r="AC577" s="3"/>
      <c r="AD577" s="3"/>
      <c r="AE577" s="3"/>
      <c r="AF577" s="3"/>
    </row>
    <row r="578" spans="1:32" x14ac:dyDescent="0.15">
      <c r="A578" s="3"/>
      <c r="I578" s="3"/>
      <c r="J578" s="3"/>
      <c r="K578" s="3"/>
      <c r="L578" s="139"/>
      <c r="M578" s="3"/>
      <c r="N578" s="3"/>
      <c r="O578" s="3"/>
      <c r="P578" s="3"/>
      <c r="Q578" s="3"/>
      <c r="R578" s="3"/>
      <c r="S578" s="3"/>
      <c r="T578" s="3"/>
      <c r="U578" s="3"/>
      <c r="V578" s="3"/>
      <c r="W578" s="3"/>
      <c r="X578" s="3"/>
      <c r="Y578" s="3"/>
      <c r="Z578" s="3"/>
      <c r="AA578" s="3"/>
      <c r="AB578" s="3"/>
      <c r="AC578" s="3"/>
      <c r="AD578" s="3"/>
      <c r="AE578" s="3"/>
      <c r="AF578" s="3"/>
    </row>
    <row r="579" spans="1:32" x14ac:dyDescent="0.15">
      <c r="A579" s="3"/>
      <c r="I579" s="3"/>
      <c r="J579" s="3"/>
      <c r="K579" s="3"/>
      <c r="L579" s="139"/>
      <c r="M579" s="3"/>
      <c r="N579" s="3"/>
      <c r="O579" s="3"/>
      <c r="P579" s="3"/>
      <c r="Q579" s="3"/>
      <c r="R579" s="3"/>
      <c r="S579" s="3"/>
      <c r="T579" s="3"/>
      <c r="U579" s="3"/>
      <c r="V579" s="3"/>
      <c r="W579" s="3"/>
      <c r="X579" s="3"/>
      <c r="Y579" s="3"/>
      <c r="Z579" s="3"/>
      <c r="AA579" s="3"/>
      <c r="AB579" s="3"/>
      <c r="AC579" s="3"/>
      <c r="AD579" s="3"/>
      <c r="AE579" s="3"/>
      <c r="AF579" s="3"/>
    </row>
    <row r="580" spans="1:32" x14ac:dyDescent="0.15">
      <c r="A580" s="3"/>
      <c r="I580" s="3"/>
      <c r="J580" s="3"/>
      <c r="K580" s="3"/>
      <c r="L580" s="139"/>
      <c r="M580" s="3"/>
      <c r="N580" s="3"/>
      <c r="O580" s="3"/>
      <c r="P580" s="3"/>
      <c r="Q580" s="3"/>
      <c r="R580" s="3"/>
      <c r="S580" s="3"/>
      <c r="T580" s="3"/>
      <c r="U580" s="3"/>
      <c r="V580" s="3"/>
      <c r="W580" s="3"/>
      <c r="X580" s="3"/>
      <c r="Y580" s="3"/>
      <c r="Z580" s="3"/>
      <c r="AA580" s="3"/>
      <c r="AB580" s="3"/>
      <c r="AC580" s="3"/>
      <c r="AD580" s="3"/>
      <c r="AE580" s="3"/>
      <c r="AF580" s="3"/>
    </row>
    <row r="581" spans="1:32" x14ac:dyDescent="0.15">
      <c r="A581" s="3"/>
      <c r="I581" s="3"/>
      <c r="J581" s="3"/>
      <c r="K581" s="3"/>
      <c r="L581" s="139"/>
      <c r="M581" s="3"/>
      <c r="N581" s="3"/>
      <c r="O581" s="3"/>
      <c r="P581" s="3"/>
      <c r="Q581" s="3"/>
      <c r="R581" s="3"/>
      <c r="S581" s="3"/>
      <c r="T581" s="3"/>
      <c r="U581" s="3"/>
      <c r="V581" s="3"/>
      <c r="W581" s="3"/>
      <c r="X581" s="3"/>
      <c r="Y581" s="3"/>
      <c r="Z581" s="3"/>
      <c r="AA581" s="3"/>
      <c r="AB581" s="3"/>
      <c r="AC581" s="3"/>
      <c r="AD581" s="3"/>
      <c r="AE581" s="3"/>
      <c r="AF581" s="3"/>
    </row>
    <row r="582" spans="1:32" x14ac:dyDescent="0.15">
      <c r="A582" s="3"/>
      <c r="I582" s="3"/>
      <c r="J582" s="3"/>
      <c r="K582" s="3"/>
      <c r="L582" s="139"/>
      <c r="M582" s="3"/>
      <c r="N582" s="3"/>
      <c r="O582" s="3"/>
      <c r="P582" s="3"/>
      <c r="Q582" s="3"/>
      <c r="R582" s="3"/>
      <c r="S582" s="3"/>
      <c r="T582" s="3"/>
      <c r="U582" s="3"/>
      <c r="V582" s="3"/>
      <c r="W582" s="3"/>
      <c r="X582" s="3"/>
      <c r="Y582" s="3"/>
      <c r="Z582" s="3"/>
      <c r="AA582" s="3"/>
      <c r="AB582" s="3"/>
      <c r="AC582" s="3"/>
      <c r="AD582" s="3"/>
      <c r="AE582" s="3"/>
      <c r="AF582" s="3"/>
    </row>
    <row r="583" spans="1:32" x14ac:dyDescent="0.15">
      <c r="A583" s="3"/>
      <c r="I583" s="3"/>
      <c r="J583" s="3"/>
      <c r="K583" s="3"/>
      <c r="L583" s="139"/>
      <c r="M583" s="3"/>
      <c r="N583" s="3"/>
      <c r="O583" s="3"/>
      <c r="P583" s="3"/>
      <c r="Q583" s="3"/>
      <c r="R583" s="3"/>
      <c r="S583" s="3"/>
      <c r="T583" s="3"/>
      <c r="U583" s="3"/>
      <c r="V583" s="3"/>
      <c r="W583" s="3"/>
      <c r="X583" s="3"/>
      <c r="Y583" s="3"/>
      <c r="Z583" s="3"/>
      <c r="AA583" s="3"/>
      <c r="AB583" s="3"/>
      <c r="AC583" s="3"/>
      <c r="AD583" s="3"/>
      <c r="AE583" s="3"/>
      <c r="AF583" s="3"/>
    </row>
    <row r="584" spans="1:32" x14ac:dyDescent="0.15">
      <c r="A584" s="3"/>
      <c r="I584" s="3"/>
      <c r="J584" s="3"/>
      <c r="K584" s="3"/>
      <c r="L584" s="139"/>
      <c r="M584" s="3"/>
      <c r="N584" s="3"/>
      <c r="O584" s="3"/>
      <c r="P584" s="3"/>
      <c r="Q584" s="3"/>
      <c r="R584" s="3"/>
      <c r="S584" s="3"/>
      <c r="T584" s="3"/>
      <c r="U584" s="3"/>
      <c r="V584" s="3"/>
      <c r="W584" s="3"/>
      <c r="X584" s="3"/>
      <c r="Y584" s="3"/>
      <c r="Z584" s="3"/>
      <c r="AA584" s="3"/>
      <c r="AB584" s="3"/>
      <c r="AC584" s="3"/>
      <c r="AD584" s="3"/>
      <c r="AE584" s="3"/>
      <c r="AF584" s="3"/>
    </row>
    <row r="585" spans="1:32" x14ac:dyDescent="0.15">
      <c r="A585" s="3"/>
      <c r="I585" s="3"/>
      <c r="J585" s="3"/>
      <c r="K585" s="3"/>
      <c r="L585" s="139"/>
      <c r="M585" s="3"/>
      <c r="N585" s="3"/>
      <c r="O585" s="3"/>
      <c r="P585" s="3"/>
      <c r="Q585" s="3"/>
      <c r="R585" s="3"/>
      <c r="S585" s="3"/>
      <c r="T585" s="3"/>
      <c r="U585" s="3"/>
      <c r="V585" s="3"/>
      <c r="W585" s="3"/>
      <c r="X585" s="3"/>
      <c r="Y585" s="3"/>
      <c r="Z585" s="3"/>
      <c r="AA585" s="3"/>
      <c r="AB585" s="3"/>
      <c r="AC585" s="3"/>
      <c r="AD585" s="3"/>
      <c r="AE585" s="3"/>
      <c r="AF585" s="3"/>
    </row>
    <row r="586" spans="1:32" x14ac:dyDescent="0.15">
      <c r="A586" s="3"/>
      <c r="I586" s="3"/>
      <c r="J586" s="3"/>
      <c r="K586" s="3"/>
      <c r="L586" s="139"/>
      <c r="M586" s="3"/>
      <c r="N586" s="3"/>
      <c r="O586" s="3"/>
      <c r="P586" s="3"/>
      <c r="Q586" s="3"/>
      <c r="R586" s="3"/>
      <c r="S586" s="3"/>
      <c r="T586" s="3"/>
      <c r="U586" s="3"/>
      <c r="V586" s="3"/>
      <c r="W586" s="3"/>
      <c r="X586" s="3"/>
      <c r="Y586" s="3"/>
      <c r="Z586" s="3"/>
      <c r="AA586" s="3"/>
      <c r="AB586" s="3"/>
      <c r="AC586" s="3"/>
      <c r="AD586" s="3"/>
      <c r="AE586" s="3"/>
      <c r="AF586" s="3"/>
    </row>
    <row r="587" spans="1:32" x14ac:dyDescent="0.15">
      <c r="A587" s="3"/>
      <c r="I587" s="3"/>
      <c r="J587" s="3"/>
      <c r="K587" s="3"/>
      <c r="L587" s="139"/>
      <c r="M587" s="3"/>
      <c r="N587" s="3"/>
      <c r="O587" s="3"/>
      <c r="P587" s="3"/>
      <c r="Q587" s="3"/>
      <c r="R587" s="3"/>
      <c r="S587" s="3"/>
      <c r="T587" s="3"/>
      <c r="U587" s="3"/>
      <c r="V587" s="3"/>
      <c r="W587" s="3"/>
      <c r="X587" s="3"/>
      <c r="Y587" s="3"/>
      <c r="Z587" s="3"/>
      <c r="AA587" s="3"/>
      <c r="AB587" s="3"/>
      <c r="AC587" s="3"/>
      <c r="AD587" s="3"/>
      <c r="AE587" s="3"/>
      <c r="AF587" s="3"/>
    </row>
    <row r="588" spans="1:32" x14ac:dyDescent="0.15">
      <c r="A588" s="3"/>
      <c r="I588" s="3"/>
      <c r="J588" s="3"/>
      <c r="K588" s="3"/>
      <c r="L588" s="139"/>
      <c r="M588" s="3"/>
      <c r="N588" s="3"/>
      <c r="O588" s="3"/>
      <c r="P588" s="3"/>
      <c r="Q588" s="3"/>
      <c r="R588" s="3"/>
      <c r="S588" s="3"/>
      <c r="T588" s="3"/>
      <c r="U588" s="3"/>
      <c r="V588" s="3"/>
      <c r="W588" s="3"/>
      <c r="X588" s="3"/>
      <c r="Y588" s="3"/>
      <c r="Z588" s="3"/>
      <c r="AA588" s="3"/>
      <c r="AB588" s="3"/>
      <c r="AC588" s="3"/>
      <c r="AD588" s="3"/>
      <c r="AE588" s="3"/>
      <c r="AF588" s="3"/>
    </row>
    <row r="589" spans="1:32" x14ac:dyDescent="0.15">
      <c r="A589" s="3"/>
      <c r="I589" s="3"/>
      <c r="J589" s="3"/>
      <c r="K589" s="3"/>
      <c r="L589" s="139"/>
      <c r="M589" s="3"/>
      <c r="N589" s="3"/>
      <c r="O589" s="3"/>
      <c r="P589" s="3"/>
      <c r="Q589" s="3"/>
      <c r="R589" s="3"/>
      <c r="S589" s="3"/>
      <c r="T589" s="3"/>
      <c r="U589" s="3"/>
      <c r="V589" s="3"/>
      <c r="W589" s="3"/>
      <c r="X589" s="3"/>
      <c r="Y589" s="3"/>
      <c r="Z589" s="3"/>
      <c r="AA589" s="3"/>
      <c r="AB589" s="3"/>
      <c r="AC589" s="3"/>
      <c r="AD589" s="3"/>
      <c r="AE589" s="3"/>
      <c r="AF589" s="3"/>
    </row>
    <row r="590" spans="1:32" x14ac:dyDescent="0.15">
      <c r="A590" s="3"/>
      <c r="I590" s="3"/>
      <c r="J590" s="3"/>
      <c r="K590" s="3"/>
      <c r="L590" s="139"/>
      <c r="M590" s="3"/>
      <c r="N590" s="3"/>
      <c r="O590" s="3"/>
      <c r="P590" s="3"/>
      <c r="Q590" s="3"/>
      <c r="R590" s="3"/>
      <c r="S590" s="3"/>
      <c r="T590" s="3"/>
      <c r="U590" s="3"/>
      <c r="V590" s="3"/>
      <c r="W590" s="3"/>
      <c r="X590" s="3"/>
      <c r="Y590" s="3"/>
      <c r="Z590" s="3"/>
      <c r="AA590" s="3"/>
      <c r="AB590" s="3"/>
      <c r="AC590" s="3"/>
      <c r="AD590" s="3"/>
      <c r="AE590" s="3"/>
      <c r="AF590" s="3"/>
    </row>
    <row r="591" spans="1:32" x14ac:dyDescent="0.15">
      <c r="A591" s="3"/>
      <c r="I591" s="3"/>
      <c r="J591" s="3"/>
      <c r="K591" s="3"/>
      <c r="L591" s="139"/>
      <c r="M591" s="3"/>
      <c r="N591" s="3"/>
      <c r="O591" s="3"/>
      <c r="P591" s="3"/>
      <c r="Q591" s="3"/>
      <c r="R591" s="3"/>
      <c r="S591" s="3"/>
      <c r="T591" s="3"/>
      <c r="U591" s="3"/>
      <c r="V591" s="3"/>
      <c r="W591" s="3"/>
      <c r="X591" s="3"/>
      <c r="Y591" s="3"/>
      <c r="Z591" s="3"/>
      <c r="AA591" s="3"/>
      <c r="AB591" s="3"/>
      <c r="AC591" s="3"/>
      <c r="AD591" s="3"/>
      <c r="AE591" s="3"/>
      <c r="AF591" s="3"/>
    </row>
    <row r="592" spans="1:32" x14ac:dyDescent="0.15">
      <c r="A592" s="3"/>
      <c r="I592" s="3"/>
      <c r="J592" s="3"/>
      <c r="K592" s="3"/>
      <c r="L592" s="139"/>
      <c r="M592" s="3"/>
      <c r="N592" s="3"/>
      <c r="O592" s="3"/>
      <c r="P592" s="3"/>
      <c r="Q592" s="3"/>
      <c r="R592" s="3"/>
      <c r="S592" s="3"/>
      <c r="T592" s="3"/>
      <c r="U592" s="3"/>
      <c r="V592" s="3"/>
      <c r="W592" s="3"/>
      <c r="X592" s="3"/>
      <c r="Y592" s="3"/>
      <c r="Z592" s="3"/>
      <c r="AA592" s="3"/>
      <c r="AB592" s="3"/>
      <c r="AC592" s="3"/>
      <c r="AD592" s="3"/>
      <c r="AE592" s="3"/>
      <c r="AF592" s="3"/>
    </row>
    <row r="593" spans="1:32" x14ac:dyDescent="0.15">
      <c r="A593" s="3"/>
      <c r="I593" s="3"/>
      <c r="J593" s="3"/>
      <c r="K593" s="3"/>
      <c r="L593" s="139"/>
      <c r="M593" s="3"/>
      <c r="N593" s="3"/>
      <c r="O593" s="3"/>
      <c r="P593" s="3"/>
      <c r="Q593" s="3"/>
      <c r="R593" s="3"/>
      <c r="S593" s="3"/>
      <c r="T593" s="3"/>
      <c r="U593" s="3"/>
      <c r="V593" s="3"/>
      <c r="W593" s="3"/>
      <c r="X593" s="3"/>
      <c r="Y593" s="3"/>
      <c r="Z593" s="3"/>
      <c r="AA593" s="3"/>
      <c r="AB593" s="3"/>
      <c r="AC593" s="3"/>
      <c r="AD593" s="3"/>
      <c r="AE593" s="3"/>
      <c r="AF593" s="3"/>
    </row>
    <row r="594" spans="1:32" x14ac:dyDescent="0.15">
      <c r="A594" s="3"/>
      <c r="I594" s="3"/>
      <c r="J594" s="3"/>
      <c r="K594" s="3"/>
      <c r="L594" s="139"/>
      <c r="M594" s="3"/>
      <c r="N594" s="3"/>
      <c r="O594" s="3"/>
      <c r="P594" s="3"/>
      <c r="Q594" s="3"/>
      <c r="R594" s="3"/>
      <c r="S594" s="3"/>
      <c r="T594" s="3"/>
      <c r="U594" s="3"/>
      <c r="V594" s="3"/>
      <c r="W594" s="3"/>
      <c r="X594" s="3"/>
      <c r="Y594" s="3"/>
      <c r="Z594" s="3"/>
      <c r="AA594" s="3"/>
      <c r="AB594" s="3"/>
      <c r="AC594" s="3"/>
      <c r="AD594" s="3"/>
      <c r="AE594" s="3"/>
      <c r="AF594" s="3"/>
    </row>
    <row r="595" spans="1:32" x14ac:dyDescent="0.15">
      <c r="A595" s="3"/>
      <c r="I595" s="3"/>
      <c r="J595" s="3"/>
      <c r="K595" s="3"/>
      <c r="L595" s="139"/>
      <c r="M595" s="3"/>
      <c r="N595" s="3"/>
      <c r="O595" s="3"/>
      <c r="P595" s="3"/>
      <c r="Q595" s="3"/>
      <c r="R595" s="3"/>
      <c r="S595" s="3"/>
      <c r="T595" s="3"/>
      <c r="U595" s="3"/>
      <c r="V595" s="3"/>
      <c r="W595" s="3"/>
      <c r="X595" s="3"/>
      <c r="Y595" s="3"/>
      <c r="Z595" s="3"/>
      <c r="AA595" s="3"/>
      <c r="AB595" s="3"/>
      <c r="AC595" s="3"/>
      <c r="AD595" s="3"/>
      <c r="AE595" s="3"/>
      <c r="AF595" s="3"/>
    </row>
    <row r="596" spans="1:32" x14ac:dyDescent="0.15">
      <c r="A596" s="3"/>
      <c r="I596" s="3"/>
      <c r="J596" s="3"/>
      <c r="K596" s="3"/>
      <c r="L596" s="139"/>
      <c r="M596" s="3"/>
      <c r="N596" s="3"/>
      <c r="O596" s="3"/>
      <c r="P596" s="3"/>
      <c r="Q596" s="3"/>
      <c r="R596" s="3"/>
      <c r="S596" s="3"/>
      <c r="T596" s="3"/>
      <c r="U596" s="3"/>
      <c r="V596" s="3"/>
      <c r="W596" s="3"/>
      <c r="X596" s="3"/>
      <c r="Y596" s="3"/>
      <c r="Z596" s="3"/>
      <c r="AA596" s="3"/>
      <c r="AB596" s="3"/>
      <c r="AC596" s="3"/>
      <c r="AD596" s="3"/>
      <c r="AE596" s="3"/>
      <c r="AF596" s="3"/>
    </row>
    <row r="597" spans="1:32" x14ac:dyDescent="0.15">
      <c r="A597" s="3"/>
      <c r="I597" s="3"/>
      <c r="J597" s="3"/>
      <c r="K597" s="3"/>
      <c r="L597" s="139"/>
      <c r="M597" s="3"/>
      <c r="N597" s="3"/>
      <c r="O597" s="3"/>
      <c r="P597" s="3"/>
      <c r="Q597" s="3"/>
      <c r="R597" s="3"/>
      <c r="S597" s="3"/>
      <c r="T597" s="3"/>
      <c r="U597" s="3"/>
      <c r="V597" s="3"/>
      <c r="W597" s="3"/>
      <c r="X597" s="3"/>
      <c r="Y597" s="3"/>
      <c r="Z597" s="3"/>
      <c r="AA597" s="3"/>
      <c r="AB597" s="3"/>
      <c r="AC597" s="3"/>
      <c r="AD597" s="3"/>
      <c r="AE597" s="3"/>
      <c r="AF597" s="3"/>
    </row>
    <row r="598" spans="1:32" x14ac:dyDescent="0.15">
      <c r="A598" s="3"/>
      <c r="I598" s="3"/>
      <c r="J598" s="3"/>
      <c r="K598" s="3"/>
      <c r="L598" s="139"/>
      <c r="M598" s="3"/>
      <c r="N598" s="3"/>
      <c r="O598" s="3"/>
      <c r="P598" s="3"/>
      <c r="Q598" s="3"/>
      <c r="R598" s="3"/>
      <c r="S598" s="3"/>
      <c r="T598" s="3"/>
      <c r="U598" s="3"/>
      <c r="V598" s="3"/>
      <c r="W598" s="3"/>
      <c r="X598" s="3"/>
      <c r="Y598" s="3"/>
      <c r="Z598" s="3"/>
      <c r="AA598" s="3"/>
      <c r="AB598" s="3"/>
      <c r="AC598" s="3"/>
      <c r="AD598" s="3"/>
      <c r="AE598" s="3"/>
      <c r="AF598" s="3"/>
    </row>
    <row r="599" spans="1:32" x14ac:dyDescent="0.15">
      <c r="A599" s="3"/>
      <c r="I599" s="3"/>
      <c r="J599" s="3"/>
      <c r="K599" s="3"/>
      <c r="L599" s="139"/>
      <c r="M599" s="3"/>
      <c r="N599" s="3"/>
      <c r="O599" s="3"/>
      <c r="P599" s="3"/>
      <c r="Q599" s="3"/>
      <c r="R599" s="3"/>
      <c r="S599" s="3"/>
      <c r="T599" s="3"/>
      <c r="U599" s="3"/>
      <c r="V599" s="3"/>
      <c r="W599" s="3"/>
      <c r="X599" s="3"/>
      <c r="Y599" s="3"/>
      <c r="Z599" s="3"/>
      <c r="AA599" s="3"/>
      <c r="AB599" s="3"/>
      <c r="AC599" s="3"/>
      <c r="AD599" s="3"/>
      <c r="AE599" s="3"/>
      <c r="AF599" s="3"/>
    </row>
    <row r="600" spans="1:32" x14ac:dyDescent="0.15">
      <c r="A600" s="3"/>
      <c r="I600" s="3"/>
      <c r="J600" s="3"/>
      <c r="K600" s="3"/>
      <c r="L600" s="139"/>
      <c r="M600" s="3"/>
      <c r="N600" s="3"/>
      <c r="O600" s="3"/>
      <c r="P600" s="3"/>
      <c r="Q600" s="3"/>
      <c r="R600" s="3"/>
      <c r="S600" s="3"/>
      <c r="T600" s="3"/>
      <c r="U600" s="3"/>
      <c r="V600" s="3"/>
      <c r="W600" s="3"/>
      <c r="X600" s="3"/>
      <c r="Y600" s="3"/>
      <c r="Z600" s="3"/>
      <c r="AA600" s="3"/>
      <c r="AB600" s="3"/>
      <c r="AC600" s="3"/>
      <c r="AD600" s="3"/>
      <c r="AE600" s="3"/>
      <c r="AF600" s="3"/>
    </row>
    <row r="601" spans="1:32" x14ac:dyDescent="0.15">
      <c r="A601" s="3"/>
      <c r="I601" s="3"/>
      <c r="J601" s="3"/>
      <c r="K601" s="3"/>
      <c r="L601" s="139"/>
      <c r="M601" s="3"/>
      <c r="N601" s="3"/>
      <c r="O601" s="3"/>
      <c r="P601" s="3"/>
      <c r="Q601" s="3"/>
      <c r="R601" s="3"/>
      <c r="S601" s="3"/>
      <c r="T601" s="3"/>
      <c r="U601" s="3"/>
      <c r="V601" s="3"/>
      <c r="W601" s="3"/>
      <c r="X601" s="3"/>
      <c r="Y601" s="3"/>
      <c r="Z601" s="3"/>
      <c r="AA601" s="3"/>
      <c r="AB601" s="3"/>
      <c r="AC601" s="3"/>
      <c r="AD601" s="3"/>
      <c r="AE601" s="3"/>
      <c r="AF601" s="3"/>
    </row>
    <row r="602" spans="1:32" x14ac:dyDescent="0.15">
      <c r="A602" s="3"/>
      <c r="I602" s="3"/>
      <c r="J602" s="3"/>
      <c r="K602" s="3"/>
      <c r="L602" s="139"/>
      <c r="M602" s="3"/>
      <c r="N602" s="3"/>
      <c r="O602" s="3"/>
      <c r="P602" s="3"/>
      <c r="Q602" s="3"/>
      <c r="R602" s="3"/>
      <c r="S602" s="3"/>
      <c r="T602" s="3"/>
      <c r="U602" s="3"/>
      <c r="V602" s="3"/>
      <c r="W602" s="3"/>
      <c r="X602" s="3"/>
      <c r="Y602" s="3"/>
      <c r="Z602" s="3"/>
      <c r="AA602" s="3"/>
      <c r="AB602" s="3"/>
      <c r="AC602" s="3"/>
      <c r="AD602" s="3"/>
      <c r="AE602" s="3"/>
      <c r="AF602" s="3"/>
    </row>
    <row r="603" spans="1:32" x14ac:dyDescent="0.15">
      <c r="A603" s="3"/>
      <c r="I603" s="3"/>
      <c r="J603" s="3"/>
      <c r="K603" s="3"/>
      <c r="L603" s="139"/>
      <c r="M603" s="3"/>
      <c r="N603" s="3"/>
      <c r="O603" s="3"/>
      <c r="P603" s="3"/>
      <c r="Q603" s="3"/>
      <c r="R603" s="3"/>
      <c r="S603" s="3"/>
      <c r="T603" s="3"/>
      <c r="U603" s="3"/>
      <c r="V603" s="3"/>
      <c r="W603" s="3"/>
      <c r="X603" s="3"/>
      <c r="Y603" s="3"/>
      <c r="Z603" s="3"/>
      <c r="AA603" s="3"/>
      <c r="AB603" s="3"/>
      <c r="AC603" s="3"/>
      <c r="AD603" s="3"/>
      <c r="AE603" s="3"/>
      <c r="AF603" s="3"/>
    </row>
    <row r="604" spans="1:32" x14ac:dyDescent="0.15">
      <c r="A604" s="3"/>
      <c r="I604" s="3"/>
      <c r="J604" s="3"/>
      <c r="K604" s="3"/>
      <c r="L604" s="139"/>
      <c r="M604" s="3"/>
      <c r="N604" s="3"/>
      <c r="O604" s="3"/>
      <c r="P604" s="3"/>
      <c r="Q604" s="3"/>
      <c r="R604" s="3"/>
      <c r="S604" s="3"/>
      <c r="T604" s="3"/>
      <c r="U604" s="3"/>
      <c r="V604" s="3"/>
      <c r="W604" s="3"/>
      <c r="X604" s="3"/>
      <c r="Y604" s="3"/>
      <c r="Z604" s="3"/>
      <c r="AA604" s="3"/>
      <c r="AB604" s="3"/>
      <c r="AC604" s="3"/>
      <c r="AD604" s="3"/>
      <c r="AE604" s="3"/>
      <c r="AF604" s="3"/>
    </row>
    <row r="605" spans="1:32" x14ac:dyDescent="0.15">
      <c r="A605" s="3"/>
      <c r="I605" s="3"/>
      <c r="J605" s="3"/>
      <c r="K605" s="3"/>
      <c r="L605" s="139"/>
      <c r="M605" s="3"/>
      <c r="N605" s="3"/>
      <c r="O605" s="3"/>
      <c r="P605" s="3"/>
      <c r="Q605" s="3"/>
      <c r="R605" s="3"/>
      <c r="S605" s="3"/>
      <c r="T605" s="3"/>
      <c r="U605" s="3"/>
      <c r="V605" s="3"/>
      <c r="W605" s="3"/>
      <c r="X605" s="3"/>
      <c r="Y605" s="3"/>
      <c r="Z605" s="3"/>
      <c r="AA605" s="3"/>
      <c r="AB605" s="3"/>
      <c r="AC605" s="3"/>
      <c r="AD605" s="3"/>
      <c r="AE605" s="3"/>
      <c r="AF605" s="3"/>
    </row>
    <row r="606" spans="1:32" x14ac:dyDescent="0.15">
      <c r="A606" s="3"/>
      <c r="I606" s="3"/>
      <c r="J606" s="3"/>
      <c r="K606" s="3"/>
      <c r="L606" s="139"/>
      <c r="M606" s="3"/>
      <c r="N606" s="3"/>
      <c r="O606" s="3"/>
      <c r="P606" s="3"/>
      <c r="Q606" s="3"/>
      <c r="R606" s="3"/>
      <c r="S606" s="3"/>
      <c r="T606" s="3"/>
      <c r="U606" s="3"/>
      <c r="V606" s="3"/>
      <c r="W606" s="3"/>
      <c r="X606" s="3"/>
      <c r="Y606" s="3"/>
      <c r="Z606" s="3"/>
      <c r="AA606" s="3"/>
      <c r="AB606" s="3"/>
      <c r="AC606" s="3"/>
      <c r="AD606" s="3"/>
      <c r="AE606" s="3"/>
      <c r="AF606" s="3"/>
    </row>
    <row r="607" spans="1:32" x14ac:dyDescent="0.15">
      <c r="A607" s="3"/>
      <c r="I607" s="3"/>
      <c r="J607" s="3"/>
      <c r="K607" s="3"/>
      <c r="L607" s="139"/>
      <c r="M607" s="3"/>
      <c r="N607" s="3"/>
      <c r="O607" s="3"/>
      <c r="P607" s="3"/>
      <c r="Q607" s="3"/>
      <c r="R607" s="3"/>
      <c r="S607" s="3"/>
      <c r="T607" s="3"/>
      <c r="U607" s="3"/>
      <c r="V607" s="3"/>
      <c r="W607" s="3"/>
      <c r="X607" s="3"/>
      <c r="Y607" s="3"/>
      <c r="Z607" s="3"/>
      <c r="AA607" s="3"/>
      <c r="AB607" s="3"/>
      <c r="AC607" s="3"/>
      <c r="AD607" s="3"/>
      <c r="AE607" s="3"/>
      <c r="AF607" s="3"/>
    </row>
    <row r="608" spans="1:32" x14ac:dyDescent="0.15">
      <c r="A608" s="3"/>
      <c r="I608" s="3"/>
      <c r="J608" s="3"/>
      <c r="K608" s="3"/>
      <c r="L608" s="139"/>
      <c r="M608" s="3"/>
      <c r="N608" s="3"/>
      <c r="O608" s="3"/>
      <c r="P608" s="3"/>
      <c r="Q608" s="3"/>
      <c r="R608" s="3"/>
      <c r="S608" s="3"/>
      <c r="T608" s="3"/>
      <c r="U608" s="3"/>
      <c r="V608" s="3"/>
      <c r="W608" s="3"/>
      <c r="X608" s="3"/>
      <c r="Y608" s="3"/>
      <c r="Z608" s="3"/>
      <c r="AA608" s="3"/>
      <c r="AB608" s="3"/>
      <c r="AC608" s="3"/>
      <c r="AD608" s="3"/>
      <c r="AE608" s="3"/>
      <c r="AF608" s="3"/>
    </row>
    <row r="609" spans="1:32" x14ac:dyDescent="0.15">
      <c r="A609" s="3"/>
      <c r="I609" s="3"/>
      <c r="J609" s="3"/>
      <c r="K609" s="3"/>
      <c r="L609" s="139"/>
      <c r="M609" s="3"/>
      <c r="N609" s="3"/>
      <c r="O609" s="3"/>
      <c r="P609" s="3"/>
      <c r="Q609" s="3"/>
      <c r="R609" s="3"/>
      <c r="S609" s="3"/>
      <c r="T609" s="3"/>
      <c r="U609" s="3"/>
      <c r="V609" s="3"/>
      <c r="W609" s="3"/>
      <c r="X609" s="3"/>
      <c r="Y609" s="3"/>
      <c r="Z609" s="3"/>
      <c r="AA609" s="3"/>
      <c r="AB609" s="3"/>
      <c r="AC609" s="3"/>
      <c r="AD609" s="3"/>
      <c r="AE609" s="3"/>
      <c r="AF609" s="3"/>
    </row>
    <row r="610" spans="1:32" x14ac:dyDescent="0.15">
      <c r="A610" s="3"/>
      <c r="I610" s="3"/>
      <c r="J610" s="3"/>
      <c r="K610" s="3"/>
      <c r="L610" s="139"/>
      <c r="M610" s="3"/>
      <c r="N610" s="3"/>
      <c r="O610" s="3"/>
      <c r="P610" s="3"/>
      <c r="Q610" s="3"/>
      <c r="R610" s="3"/>
      <c r="S610" s="3"/>
      <c r="T610" s="3"/>
      <c r="U610" s="3"/>
      <c r="V610" s="3"/>
      <c r="W610" s="3"/>
      <c r="X610" s="3"/>
      <c r="Y610" s="3"/>
      <c r="Z610" s="3"/>
      <c r="AA610" s="3"/>
      <c r="AB610" s="3"/>
      <c r="AC610" s="3"/>
      <c r="AD610" s="3"/>
      <c r="AE610" s="3"/>
      <c r="AF610" s="3"/>
    </row>
    <row r="611" spans="1:32" x14ac:dyDescent="0.15">
      <c r="A611" s="3"/>
      <c r="I611" s="3"/>
      <c r="J611" s="3"/>
      <c r="K611" s="3"/>
      <c r="L611" s="139"/>
      <c r="M611" s="3"/>
      <c r="N611" s="3"/>
      <c r="O611" s="3"/>
      <c r="P611" s="3"/>
      <c r="Q611" s="3"/>
      <c r="R611" s="3"/>
      <c r="S611" s="3"/>
      <c r="T611" s="3"/>
      <c r="U611" s="3"/>
      <c r="V611" s="3"/>
      <c r="W611" s="3"/>
      <c r="X611" s="3"/>
      <c r="Y611" s="3"/>
      <c r="Z611" s="3"/>
      <c r="AA611" s="3"/>
      <c r="AB611" s="3"/>
      <c r="AC611" s="3"/>
      <c r="AD611" s="3"/>
      <c r="AE611" s="3"/>
      <c r="AF611" s="3"/>
    </row>
    <row r="612" spans="1:32" x14ac:dyDescent="0.15">
      <c r="A612" s="3"/>
      <c r="I612" s="3"/>
      <c r="J612" s="3"/>
      <c r="K612" s="3"/>
      <c r="L612" s="139"/>
      <c r="M612" s="3"/>
      <c r="N612" s="3"/>
      <c r="O612" s="3"/>
      <c r="P612" s="3"/>
      <c r="Q612" s="3"/>
      <c r="R612" s="3"/>
      <c r="S612" s="3"/>
      <c r="T612" s="3"/>
      <c r="U612" s="3"/>
      <c r="V612" s="3"/>
      <c r="W612" s="3"/>
      <c r="X612" s="3"/>
      <c r="Y612" s="3"/>
      <c r="Z612" s="3"/>
      <c r="AA612" s="3"/>
      <c r="AB612" s="3"/>
      <c r="AC612" s="3"/>
      <c r="AD612" s="3"/>
      <c r="AE612" s="3"/>
      <c r="AF612" s="3"/>
    </row>
    <row r="613" spans="1:32" x14ac:dyDescent="0.15">
      <c r="A613" s="3"/>
      <c r="I613" s="3"/>
      <c r="J613" s="3"/>
      <c r="K613" s="3"/>
      <c r="L613" s="139"/>
      <c r="M613" s="3"/>
      <c r="N613" s="3"/>
      <c r="O613" s="3"/>
      <c r="P613" s="3"/>
      <c r="Q613" s="3"/>
      <c r="R613" s="3"/>
      <c r="S613" s="3"/>
      <c r="T613" s="3"/>
      <c r="U613" s="3"/>
      <c r="V613" s="3"/>
      <c r="W613" s="3"/>
      <c r="X613" s="3"/>
      <c r="Y613" s="3"/>
      <c r="Z613" s="3"/>
      <c r="AA613" s="3"/>
      <c r="AB613" s="3"/>
      <c r="AC613" s="3"/>
      <c r="AD613" s="3"/>
      <c r="AE613" s="3"/>
      <c r="AF613" s="3"/>
    </row>
    <row r="614" spans="1:32" x14ac:dyDescent="0.15">
      <c r="A614" s="3"/>
      <c r="I614" s="3"/>
      <c r="J614" s="3"/>
      <c r="K614" s="3"/>
      <c r="L614" s="139"/>
      <c r="M614" s="3"/>
      <c r="N614" s="3"/>
      <c r="O614" s="3"/>
      <c r="P614" s="3"/>
      <c r="Q614" s="3"/>
      <c r="R614" s="3"/>
      <c r="S614" s="3"/>
      <c r="T614" s="3"/>
      <c r="U614" s="3"/>
      <c r="V614" s="3"/>
      <c r="W614" s="3"/>
      <c r="X614" s="3"/>
      <c r="Y614" s="3"/>
      <c r="Z614" s="3"/>
      <c r="AA614" s="3"/>
      <c r="AB614" s="3"/>
      <c r="AC614" s="3"/>
      <c r="AD614" s="3"/>
      <c r="AE614" s="3"/>
      <c r="AF614" s="3"/>
    </row>
    <row r="615" spans="1:32" x14ac:dyDescent="0.15">
      <c r="A615" s="3"/>
      <c r="I615" s="3"/>
      <c r="J615" s="3"/>
      <c r="K615" s="3"/>
      <c r="L615" s="139"/>
      <c r="M615" s="3"/>
      <c r="N615" s="3"/>
      <c r="O615" s="3"/>
      <c r="P615" s="3"/>
      <c r="Q615" s="3"/>
      <c r="R615" s="3"/>
      <c r="S615" s="3"/>
      <c r="T615" s="3"/>
      <c r="U615" s="3"/>
      <c r="V615" s="3"/>
      <c r="W615" s="3"/>
      <c r="X615" s="3"/>
      <c r="Y615" s="3"/>
      <c r="Z615" s="3"/>
      <c r="AA615" s="3"/>
      <c r="AB615" s="3"/>
      <c r="AC615" s="3"/>
      <c r="AD615" s="3"/>
      <c r="AE615" s="3"/>
      <c r="AF615" s="3"/>
    </row>
    <row r="616" spans="1:32" x14ac:dyDescent="0.15">
      <c r="A616" s="3"/>
      <c r="I616" s="3"/>
      <c r="J616" s="3"/>
      <c r="K616" s="3"/>
      <c r="L616" s="139"/>
      <c r="M616" s="3"/>
      <c r="N616" s="3"/>
      <c r="O616" s="3"/>
      <c r="P616" s="3"/>
      <c r="Q616" s="3"/>
      <c r="R616" s="3"/>
      <c r="S616" s="3"/>
      <c r="T616" s="3"/>
      <c r="U616" s="3"/>
      <c r="V616" s="3"/>
      <c r="W616" s="3"/>
      <c r="X616" s="3"/>
      <c r="Y616" s="3"/>
      <c r="Z616" s="3"/>
      <c r="AA616" s="3"/>
      <c r="AB616" s="3"/>
      <c r="AC616" s="3"/>
      <c r="AD616" s="3"/>
      <c r="AE616" s="3"/>
      <c r="AF616" s="3"/>
    </row>
    <row r="617" spans="1:32" x14ac:dyDescent="0.15">
      <c r="A617" s="3"/>
      <c r="I617" s="3"/>
      <c r="J617" s="3"/>
      <c r="K617" s="3"/>
      <c r="L617" s="139"/>
      <c r="M617" s="3"/>
      <c r="N617" s="3"/>
      <c r="O617" s="3"/>
      <c r="P617" s="3"/>
      <c r="Q617" s="3"/>
      <c r="R617" s="3"/>
      <c r="S617" s="3"/>
      <c r="T617" s="3"/>
      <c r="U617" s="3"/>
      <c r="V617" s="3"/>
      <c r="W617" s="3"/>
      <c r="X617" s="3"/>
      <c r="Y617" s="3"/>
      <c r="Z617" s="3"/>
      <c r="AA617" s="3"/>
      <c r="AB617" s="3"/>
      <c r="AC617" s="3"/>
      <c r="AD617" s="3"/>
      <c r="AE617" s="3"/>
      <c r="AF617" s="3"/>
    </row>
    <row r="618" spans="1:32" x14ac:dyDescent="0.15">
      <c r="A618" s="3"/>
      <c r="I618" s="3"/>
      <c r="J618" s="3"/>
      <c r="K618" s="3"/>
      <c r="L618" s="139"/>
      <c r="M618" s="3"/>
      <c r="N618" s="3"/>
      <c r="O618" s="3"/>
      <c r="P618" s="3"/>
      <c r="Q618" s="3"/>
      <c r="R618" s="3"/>
      <c r="S618" s="3"/>
      <c r="T618" s="3"/>
      <c r="U618" s="3"/>
      <c r="V618" s="3"/>
      <c r="W618" s="3"/>
      <c r="X618" s="3"/>
      <c r="Y618" s="3"/>
      <c r="Z618" s="3"/>
      <c r="AA618" s="3"/>
      <c r="AB618" s="3"/>
      <c r="AC618" s="3"/>
      <c r="AD618" s="3"/>
      <c r="AE618" s="3"/>
      <c r="AF618" s="3"/>
    </row>
    <row r="619" spans="1:32" x14ac:dyDescent="0.15">
      <c r="A619" s="3"/>
      <c r="I619" s="3"/>
      <c r="J619" s="3"/>
      <c r="K619" s="3"/>
      <c r="L619" s="139"/>
      <c r="M619" s="3"/>
      <c r="N619" s="3"/>
      <c r="O619" s="3"/>
      <c r="P619" s="3"/>
      <c r="Q619" s="3"/>
      <c r="R619" s="3"/>
      <c r="S619" s="3"/>
      <c r="T619" s="3"/>
      <c r="U619" s="3"/>
      <c r="V619" s="3"/>
      <c r="W619" s="3"/>
      <c r="X619" s="3"/>
      <c r="Y619" s="3"/>
      <c r="Z619" s="3"/>
      <c r="AA619" s="3"/>
      <c r="AB619" s="3"/>
      <c r="AC619" s="3"/>
      <c r="AD619" s="3"/>
      <c r="AE619" s="3"/>
      <c r="AF619" s="3"/>
    </row>
    <row r="620" spans="1:32" x14ac:dyDescent="0.15">
      <c r="A620" s="3"/>
      <c r="I620" s="3"/>
      <c r="J620" s="3"/>
      <c r="K620" s="3"/>
      <c r="L620" s="139"/>
      <c r="M620" s="3"/>
      <c r="N620" s="3"/>
      <c r="O620" s="3"/>
      <c r="P620" s="3"/>
      <c r="Q620" s="3"/>
      <c r="R620" s="3"/>
      <c r="S620" s="3"/>
      <c r="T620" s="3"/>
      <c r="U620" s="3"/>
      <c r="V620" s="3"/>
      <c r="W620" s="3"/>
      <c r="X620" s="3"/>
      <c r="Y620" s="3"/>
      <c r="Z620" s="3"/>
      <c r="AA620" s="3"/>
      <c r="AB620" s="3"/>
      <c r="AC620" s="3"/>
      <c r="AD620" s="3"/>
      <c r="AE620" s="3"/>
      <c r="AF620" s="3"/>
    </row>
    <row r="621" spans="1:32" x14ac:dyDescent="0.15">
      <c r="A621" s="3"/>
      <c r="I621" s="3"/>
      <c r="J621" s="3"/>
      <c r="K621" s="3"/>
      <c r="L621" s="139"/>
      <c r="M621" s="3"/>
      <c r="N621" s="3"/>
      <c r="O621" s="3"/>
      <c r="P621" s="3"/>
      <c r="Q621" s="3"/>
      <c r="R621" s="3"/>
      <c r="S621" s="3"/>
      <c r="T621" s="3"/>
      <c r="U621" s="3"/>
      <c r="V621" s="3"/>
      <c r="W621" s="3"/>
      <c r="X621" s="3"/>
      <c r="Y621" s="3"/>
      <c r="Z621" s="3"/>
      <c r="AA621" s="3"/>
      <c r="AB621" s="3"/>
      <c r="AC621" s="3"/>
      <c r="AD621" s="3"/>
      <c r="AE621" s="3"/>
      <c r="AF621" s="3"/>
    </row>
    <row r="622" spans="1:32" x14ac:dyDescent="0.15">
      <c r="A622" s="3"/>
      <c r="I622" s="3"/>
      <c r="J622" s="3"/>
      <c r="K622" s="3"/>
      <c r="L622" s="139"/>
      <c r="M622" s="3"/>
      <c r="N622" s="3"/>
      <c r="O622" s="3"/>
      <c r="P622" s="3"/>
      <c r="Q622" s="3"/>
      <c r="R622" s="3"/>
      <c r="S622" s="3"/>
      <c r="T622" s="3"/>
      <c r="U622" s="3"/>
      <c r="V622" s="3"/>
      <c r="W622" s="3"/>
      <c r="X622" s="3"/>
      <c r="Y622" s="3"/>
      <c r="Z622" s="3"/>
      <c r="AA622" s="3"/>
      <c r="AB622" s="3"/>
      <c r="AC622" s="3"/>
      <c r="AD622" s="3"/>
      <c r="AE622" s="3"/>
      <c r="AF622" s="3"/>
    </row>
    <row r="623" spans="1:32" x14ac:dyDescent="0.15">
      <c r="A623" s="3"/>
      <c r="I623" s="3"/>
      <c r="J623" s="3"/>
      <c r="K623" s="3"/>
      <c r="L623" s="139"/>
      <c r="M623" s="3"/>
      <c r="N623" s="3"/>
      <c r="O623" s="3"/>
      <c r="P623" s="3"/>
      <c r="Q623" s="3"/>
      <c r="R623" s="3"/>
      <c r="S623" s="3"/>
      <c r="T623" s="3"/>
      <c r="U623" s="3"/>
      <c r="V623" s="3"/>
      <c r="W623" s="3"/>
      <c r="X623" s="3"/>
      <c r="Y623" s="3"/>
      <c r="Z623" s="3"/>
      <c r="AA623" s="3"/>
      <c r="AB623" s="3"/>
      <c r="AC623" s="3"/>
      <c r="AD623" s="3"/>
      <c r="AE623" s="3"/>
      <c r="AF623" s="3"/>
    </row>
    <row r="624" spans="1:32" x14ac:dyDescent="0.15">
      <c r="A624" s="3"/>
      <c r="I624" s="3"/>
      <c r="J624" s="3"/>
      <c r="K624" s="3"/>
      <c r="L624" s="139"/>
      <c r="M624" s="3"/>
      <c r="N624" s="3"/>
      <c r="O624" s="3"/>
      <c r="P624" s="3"/>
      <c r="Q624" s="3"/>
      <c r="R624" s="3"/>
      <c r="S624" s="3"/>
      <c r="T624" s="3"/>
      <c r="U624" s="3"/>
      <c r="V624" s="3"/>
      <c r="W624" s="3"/>
      <c r="X624" s="3"/>
      <c r="Y624" s="3"/>
      <c r="Z624" s="3"/>
      <c r="AA624" s="3"/>
      <c r="AB624" s="3"/>
      <c r="AC624" s="3"/>
      <c r="AD624" s="3"/>
      <c r="AE624" s="3"/>
      <c r="AF624" s="3"/>
    </row>
    <row r="625" spans="1:32" x14ac:dyDescent="0.15">
      <c r="A625" s="3"/>
      <c r="I625" s="3"/>
      <c r="J625" s="3"/>
      <c r="K625" s="3"/>
      <c r="L625" s="139"/>
      <c r="M625" s="3"/>
      <c r="N625" s="3"/>
      <c r="O625" s="3"/>
      <c r="P625" s="3"/>
      <c r="Q625" s="3"/>
      <c r="R625" s="3"/>
      <c r="S625" s="3"/>
      <c r="T625" s="3"/>
      <c r="U625" s="3"/>
      <c r="V625" s="3"/>
      <c r="W625" s="3"/>
      <c r="X625" s="3"/>
      <c r="Y625" s="3"/>
      <c r="Z625" s="3"/>
      <c r="AA625" s="3"/>
      <c r="AB625" s="3"/>
      <c r="AC625" s="3"/>
      <c r="AD625" s="3"/>
      <c r="AE625" s="3"/>
      <c r="AF625" s="3"/>
    </row>
    <row r="626" spans="1:32" x14ac:dyDescent="0.15">
      <c r="A626" s="3"/>
      <c r="I626" s="3"/>
      <c r="J626" s="3"/>
      <c r="K626" s="3"/>
      <c r="L626" s="139"/>
      <c r="M626" s="3"/>
      <c r="N626" s="3"/>
      <c r="O626" s="3"/>
      <c r="P626" s="3"/>
      <c r="Q626" s="3"/>
      <c r="R626" s="3"/>
      <c r="S626" s="3"/>
      <c r="T626" s="3"/>
      <c r="U626" s="3"/>
      <c r="V626" s="3"/>
      <c r="W626" s="3"/>
      <c r="X626" s="3"/>
      <c r="Y626" s="3"/>
      <c r="Z626" s="3"/>
      <c r="AA626" s="3"/>
      <c r="AB626" s="3"/>
      <c r="AC626" s="3"/>
      <c r="AD626" s="3"/>
      <c r="AE626" s="3"/>
      <c r="AF626" s="3"/>
    </row>
    <row r="627" spans="1:32" x14ac:dyDescent="0.15">
      <c r="A627" s="3"/>
      <c r="I627" s="3"/>
      <c r="J627" s="3"/>
      <c r="K627" s="3"/>
      <c r="L627" s="139"/>
      <c r="M627" s="3"/>
      <c r="N627" s="3"/>
      <c r="O627" s="3"/>
      <c r="P627" s="3"/>
      <c r="Q627" s="3"/>
      <c r="R627" s="3"/>
      <c r="S627" s="3"/>
      <c r="T627" s="3"/>
      <c r="U627" s="3"/>
      <c r="V627" s="3"/>
      <c r="W627" s="3"/>
      <c r="X627" s="3"/>
      <c r="Y627" s="3"/>
      <c r="Z627" s="3"/>
      <c r="AA627" s="3"/>
      <c r="AB627" s="3"/>
      <c r="AC627" s="3"/>
      <c r="AD627" s="3"/>
      <c r="AE627" s="3"/>
      <c r="AF627" s="3"/>
    </row>
    <row r="628" spans="1:32" x14ac:dyDescent="0.15">
      <c r="A628" s="3"/>
      <c r="I628" s="3"/>
      <c r="J628" s="3"/>
      <c r="K628" s="3"/>
      <c r="L628" s="139"/>
      <c r="M628" s="3"/>
      <c r="N628" s="3"/>
      <c r="O628" s="3"/>
      <c r="P628" s="3"/>
      <c r="Q628" s="3"/>
      <c r="R628" s="3"/>
      <c r="S628" s="3"/>
      <c r="T628" s="3"/>
      <c r="U628" s="3"/>
      <c r="V628" s="3"/>
      <c r="W628" s="3"/>
      <c r="X628" s="3"/>
      <c r="Y628" s="3"/>
      <c r="Z628" s="3"/>
      <c r="AA628" s="3"/>
      <c r="AB628" s="3"/>
      <c r="AC628" s="3"/>
      <c r="AD628" s="3"/>
      <c r="AE628" s="3"/>
      <c r="AF628" s="3"/>
    </row>
    <row r="629" spans="1:32" x14ac:dyDescent="0.15">
      <c r="A629" s="3"/>
      <c r="I629" s="3"/>
      <c r="J629" s="3"/>
      <c r="K629" s="3"/>
      <c r="L629" s="139"/>
      <c r="M629" s="3"/>
      <c r="N629" s="3"/>
      <c r="O629" s="3"/>
      <c r="P629" s="3"/>
      <c r="Q629" s="3"/>
      <c r="R629" s="3"/>
      <c r="S629" s="3"/>
      <c r="T629" s="3"/>
      <c r="U629" s="3"/>
      <c r="V629" s="3"/>
      <c r="W629" s="3"/>
      <c r="X629" s="3"/>
      <c r="Y629" s="3"/>
      <c r="Z629" s="3"/>
      <c r="AA629" s="3"/>
      <c r="AB629" s="3"/>
      <c r="AC629" s="3"/>
      <c r="AD629" s="3"/>
      <c r="AE629" s="3"/>
      <c r="AF629" s="3"/>
    </row>
    <row r="630" spans="1:32" x14ac:dyDescent="0.15">
      <c r="A630" s="3"/>
      <c r="I630" s="3"/>
      <c r="J630" s="3"/>
      <c r="K630" s="3"/>
      <c r="L630" s="139"/>
      <c r="M630" s="3"/>
      <c r="N630" s="3"/>
      <c r="O630" s="3"/>
      <c r="P630" s="3"/>
      <c r="Q630" s="3"/>
      <c r="R630" s="3"/>
      <c r="S630" s="3"/>
      <c r="T630" s="3"/>
      <c r="U630" s="3"/>
      <c r="V630" s="3"/>
      <c r="W630" s="3"/>
      <c r="X630" s="3"/>
      <c r="Y630" s="3"/>
      <c r="Z630" s="3"/>
      <c r="AA630" s="3"/>
      <c r="AB630" s="3"/>
      <c r="AC630" s="3"/>
      <c r="AD630" s="3"/>
      <c r="AE630" s="3"/>
      <c r="AF630" s="3"/>
    </row>
    <row r="631" spans="1:32" x14ac:dyDescent="0.15">
      <c r="A631" s="3"/>
      <c r="I631" s="3"/>
      <c r="J631" s="3"/>
      <c r="K631" s="3"/>
      <c r="L631" s="139"/>
      <c r="M631" s="3"/>
      <c r="N631" s="3"/>
      <c r="O631" s="3"/>
      <c r="P631" s="3"/>
      <c r="Q631" s="3"/>
      <c r="R631" s="3"/>
      <c r="S631" s="3"/>
      <c r="T631" s="3"/>
      <c r="U631" s="3"/>
      <c r="V631" s="3"/>
      <c r="W631" s="3"/>
      <c r="X631" s="3"/>
      <c r="Y631" s="3"/>
      <c r="Z631" s="3"/>
      <c r="AA631" s="3"/>
      <c r="AB631" s="3"/>
      <c r="AC631" s="3"/>
      <c r="AD631" s="3"/>
      <c r="AE631" s="3"/>
      <c r="AF631" s="3"/>
    </row>
    <row r="632" spans="1:32" x14ac:dyDescent="0.15">
      <c r="A632" s="3"/>
      <c r="I632" s="3"/>
      <c r="J632" s="3"/>
      <c r="K632" s="3"/>
      <c r="L632" s="139"/>
      <c r="M632" s="3"/>
      <c r="N632" s="3"/>
      <c r="O632" s="3"/>
      <c r="P632" s="3"/>
      <c r="Q632" s="3"/>
      <c r="R632" s="3"/>
      <c r="S632" s="3"/>
      <c r="T632" s="3"/>
      <c r="U632" s="3"/>
      <c r="V632" s="3"/>
      <c r="W632" s="3"/>
      <c r="X632" s="3"/>
      <c r="Y632" s="3"/>
      <c r="Z632" s="3"/>
      <c r="AA632" s="3"/>
      <c r="AB632" s="3"/>
      <c r="AC632" s="3"/>
      <c r="AD632" s="3"/>
      <c r="AE632" s="3"/>
      <c r="AF632" s="3"/>
    </row>
    <row r="633" spans="1:32" x14ac:dyDescent="0.15">
      <c r="A633" s="3"/>
      <c r="I633" s="3"/>
      <c r="J633" s="3"/>
      <c r="K633" s="3"/>
      <c r="L633" s="139"/>
      <c r="M633" s="3"/>
      <c r="N633" s="3"/>
      <c r="O633" s="3"/>
      <c r="P633" s="3"/>
      <c r="Q633" s="3"/>
      <c r="R633" s="3"/>
      <c r="S633" s="3"/>
      <c r="T633" s="3"/>
      <c r="U633" s="3"/>
      <c r="V633" s="3"/>
      <c r="W633" s="3"/>
      <c r="X633" s="3"/>
      <c r="Y633" s="3"/>
      <c r="Z633" s="3"/>
      <c r="AA633" s="3"/>
      <c r="AB633" s="3"/>
      <c r="AC633" s="3"/>
      <c r="AD633" s="3"/>
      <c r="AE633" s="3"/>
      <c r="AF633" s="3"/>
    </row>
    <row r="634" spans="1:32" x14ac:dyDescent="0.15">
      <c r="A634" s="3"/>
      <c r="I634" s="3"/>
      <c r="J634" s="3"/>
      <c r="K634" s="3"/>
      <c r="L634" s="139"/>
      <c r="M634" s="3"/>
      <c r="N634" s="3"/>
      <c r="O634" s="3"/>
      <c r="P634" s="3"/>
      <c r="Q634" s="3"/>
      <c r="R634" s="3"/>
      <c r="S634" s="3"/>
      <c r="T634" s="3"/>
      <c r="U634" s="3"/>
      <c r="V634" s="3"/>
      <c r="W634" s="3"/>
      <c r="X634" s="3"/>
      <c r="Y634" s="3"/>
      <c r="Z634" s="3"/>
      <c r="AA634" s="3"/>
      <c r="AB634" s="3"/>
      <c r="AC634" s="3"/>
      <c r="AD634" s="3"/>
      <c r="AE634" s="3"/>
      <c r="AF634" s="3"/>
    </row>
    <row r="635" spans="1:32" x14ac:dyDescent="0.15">
      <c r="A635" s="3"/>
      <c r="I635" s="3"/>
      <c r="J635" s="3"/>
      <c r="K635" s="3"/>
      <c r="L635" s="139"/>
      <c r="M635" s="3"/>
      <c r="N635" s="3"/>
      <c r="O635" s="3"/>
      <c r="P635" s="3"/>
      <c r="Q635" s="3"/>
      <c r="R635" s="3"/>
      <c r="S635" s="3"/>
      <c r="T635" s="3"/>
      <c r="U635" s="3"/>
      <c r="V635" s="3"/>
      <c r="W635" s="3"/>
      <c r="X635" s="3"/>
      <c r="Y635" s="3"/>
      <c r="Z635" s="3"/>
      <c r="AA635" s="3"/>
      <c r="AB635" s="3"/>
      <c r="AC635" s="3"/>
      <c r="AD635" s="3"/>
      <c r="AE635" s="3"/>
      <c r="AF635" s="3"/>
    </row>
    <row r="636" spans="1:32" x14ac:dyDescent="0.15">
      <c r="A636" s="3"/>
      <c r="I636" s="3"/>
      <c r="J636" s="3"/>
      <c r="K636" s="3"/>
      <c r="L636" s="139"/>
      <c r="M636" s="3"/>
      <c r="N636" s="3"/>
      <c r="O636" s="3"/>
      <c r="P636" s="3"/>
      <c r="Q636" s="3"/>
      <c r="R636" s="3"/>
      <c r="S636" s="3"/>
      <c r="T636" s="3"/>
      <c r="U636" s="3"/>
      <c r="V636" s="3"/>
      <c r="W636" s="3"/>
      <c r="X636" s="3"/>
      <c r="Y636" s="3"/>
      <c r="Z636" s="3"/>
      <c r="AA636" s="3"/>
      <c r="AB636" s="3"/>
      <c r="AC636" s="3"/>
      <c r="AD636" s="3"/>
      <c r="AE636" s="3"/>
      <c r="AF636" s="3"/>
    </row>
    <row r="637" spans="1:32" x14ac:dyDescent="0.15">
      <c r="A637" s="3"/>
      <c r="I637" s="3"/>
      <c r="J637" s="3"/>
      <c r="K637" s="3"/>
      <c r="L637" s="139"/>
      <c r="M637" s="3"/>
      <c r="N637" s="3"/>
      <c r="O637" s="3"/>
      <c r="P637" s="3"/>
      <c r="Q637" s="3"/>
      <c r="R637" s="3"/>
      <c r="S637" s="3"/>
      <c r="T637" s="3"/>
      <c r="U637" s="3"/>
      <c r="V637" s="3"/>
      <c r="W637" s="3"/>
      <c r="X637" s="3"/>
      <c r="Y637" s="3"/>
      <c r="Z637" s="3"/>
      <c r="AA637" s="3"/>
      <c r="AB637" s="3"/>
      <c r="AC637" s="3"/>
      <c r="AD637" s="3"/>
      <c r="AE637" s="3"/>
      <c r="AF637" s="3"/>
    </row>
    <row r="638" spans="1:32" x14ac:dyDescent="0.15">
      <c r="A638" s="3"/>
      <c r="I638" s="3"/>
      <c r="J638" s="3"/>
      <c r="K638" s="3"/>
      <c r="L638" s="139"/>
      <c r="M638" s="3"/>
      <c r="N638" s="3"/>
      <c r="O638" s="3"/>
      <c r="P638" s="3"/>
      <c r="Q638" s="3"/>
      <c r="R638" s="3"/>
      <c r="S638" s="3"/>
      <c r="T638" s="3"/>
      <c r="U638" s="3"/>
      <c r="V638" s="3"/>
      <c r="W638" s="3"/>
      <c r="X638" s="3"/>
      <c r="Y638" s="3"/>
      <c r="Z638" s="3"/>
      <c r="AA638" s="3"/>
      <c r="AB638" s="3"/>
      <c r="AC638" s="3"/>
      <c r="AD638" s="3"/>
      <c r="AE638" s="3"/>
      <c r="AF638" s="3"/>
    </row>
    <row r="639" spans="1:32" x14ac:dyDescent="0.15">
      <c r="A639" s="3"/>
      <c r="I639" s="3"/>
      <c r="J639" s="3"/>
      <c r="K639" s="3"/>
      <c r="L639" s="139"/>
      <c r="M639" s="3"/>
      <c r="N639" s="3"/>
      <c r="O639" s="3"/>
      <c r="P639" s="3"/>
      <c r="Q639" s="3"/>
      <c r="R639" s="3"/>
      <c r="S639" s="3"/>
      <c r="T639" s="3"/>
      <c r="U639" s="3"/>
      <c r="V639" s="3"/>
      <c r="W639" s="3"/>
      <c r="X639" s="3"/>
      <c r="Y639" s="3"/>
      <c r="Z639" s="3"/>
      <c r="AA639" s="3"/>
      <c r="AB639" s="3"/>
      <c r="AC639" s="3"/>
      <c r="AD639" s="3"/>
      <c r="AE639" s="3"/>
      <c r="AF639" s="3"/>
    </row>
    <row r="640" spans="1:32" x14ac:dyDescent="0.15">
      <c r="A640" s="3"/>
      <c r="I640" s="3"/>
      <c r="J640" s="3"/>
      <c r="K640" s="3"/>
      <c r="L640" s="139"/>
      <c r="M640" s="3"/>
      <c r="N640" s="3"/>
      <c r="O640" s="3"/>
      <c r="P640" s="3"/>
      <c r="Q640" s="3"/>
      <c r="R640" s="3"/>
      <c r="S640" s="3"/>
      <c r="T640" s="3"/>
      <c r="U640" s="3"/>
      <c r="V640" s="3"/>
      <c r="W640" s="3"/>
      <c r="X640" s="3"/>
      <c r="Y640" s="3"/>
      <c r="Z640" s="3"/>
      <c r="AA640" s="3"/>
      <c r="AB640" s="3"/>
      <c r="AC640" s="3"/>
      <c r="AD640" s="3"/>
      <c r="AE640" s="3"/>
      <c r="AF640" s="3"/>
    </row>
    <row r="641" spans="1:32" x14ac:dyDescent="0.15">
      <c r="A641" s="3"/>
      <c r="I641" s="3"/>
      <c r="J641" s="3"/>
      <c r="K641" s="3"/>
      <c r="L641" s="139"/>
      <c r="M641" s="3"/>
      <c r="N641" s="3"/>
      <c r="O641" s="3"/>
      <c r="P641" s="3"/>
      <c r="Q641" s="3"/>
      <c r="R641" s="3"/>
      <c r="S641" s="3"/>
      <c r="T641" s="3"/>
      <c r="U641" s="3"/>
      <c r="V641" s="3"/>
      <c r="W641" s="3"/>
      <c r="X641" s="3"/>
      <c r="Y641" s="3"/>
      <c r="Z641" s="3"/>
      <c r="AA641" s="3"/>
      <c r="AB641" s="3"/>
      <c r="AC641" s="3"/>
      <c r="AD641" s="3"/>
      <c r="AE641" s="3"/>
      <c r="AF641" s="3"/>
    </row>
    <row r="642" spans="1:32" x14ac:dyDescent="0.15">
      <c r="A642" s="3"/>
      <c r="I642" s="3"/>
      <c r="J642" s="3"/>
      <c r="K642" s="3"/>
      <c r="L642" s="139"/>
      <c r="M642" s="3"/>
      <c r="N642" s="3"/>
      <c r="O642" s="3"/>
      <c r="P642" s="3"/>
      <c r="Q642" s="3"/>
      <c r="R642" s="3"/>
      <c r="S642" s="3"/>
      <c r="T642" s="3"/>
      <c r="U642" s="3"/>
      <c r="V642" s="3"/>
      <c r="W642" s="3"/>
      <c r="X642" s="3"/>
      <c r="Y642" s="3"/>
      <c r="Z642" s="3"/>
      <c r="AA642" s="3"/>
      <c r="AB642" s="3"/>
      <c r="AC642" s="3"/>
      <c r="AD642" s="3"/>
      <c r="AE642" s="3"/>
      <c r="AF642" s="3"/>
    </row>
    <row r="643" spans="1:32" x14ac:dyDescent="0.15">
      <c r="A643" s="3"/>
      <c r="I643" s="3"/>
      <c r="J643" s="3"/>
      <c r="K643" s="3"/>
      <c r="L643" s="139"/>
      <c r="M643" s="3"/>
      <c r="N643" s="3"/>
      <c r="O643" s="3"/>
      <c r="P643" s="3"/>
      <c r="Q643" s="3"/>
      <c r="R643" s="3"/>
      <c r="S643" s="3"/>
      <c r="T643" s="3"/>
      <c r="U643" s="3"/>
      <c r="V643" s="3"/>
      <c r="W643" s="3"/>
      <c r="X643" s="3"/>
      <c r="Y643" s="3"/>
      <c r="Z643" s="3"/>
      <c r="AA643" s="3"/>
      <c r="AB643" s="3"/>
      <c r="AC643" s="3"/>
      <c r="AD643" s="3"/>
      <c r="AE643" s="3"/>
      <c r="AF643" s="3"/>
    </row>
    <row r="644" spans="1:32" x14ac:dyDescent="0.15">
      <c r="A644" s="3"/>
      <c r="I644" s="3"/>
      <c r="J644" s="3"/>
      <c r="K644" s="3"/>
      <c r="L644" s="139"/>
      <c r="M644" s="3"/>
      <c r="N644" s="3"/>
      <c r="O644" s="3"/>
      <c r="P644" s="3"/>
      <c r="Q644" s="3"/>
      <c r="R644" s="3"/>
      <c r="S644" s="3"/>
      <c r="T644" s="3"/>
      <c r="U644" s="3"/>
      <c r="V644" s="3"/>
      <c r="W644" s="3"/>
      <c r="X644" s="3"/>
      <c r="Y644" s="3"/>
      <c r="Z644" s="3"/>
      <c r="AA644" s="3"/>
      <c r="AB644" s="3"/>
      <c r="AC644" s="3"/>
      <c r="AD644" s="3"/>
      <c r="AE644" s="3"/>
      <c r="AF644" s="3"/>
    </row>
    <row r="645" spans="1:32" x14ac:dyDescent="0.15">
      <c r="A645" s="3"/>
      <c r="I645" s="3"/>
      <c r="J645" s="3"/>
      <c r="K645" s="3"/>
      <c r="L645" s="139"/>
      <c r="M645" s="3"/>
      <c r="N645" s="3"/>
      <c r="O645" s="3"/>
      <c r="P645" s="3"/>
      <c r="Q645" s="3"/>
      <c r="R645" s="3"/>
      <c r="S645" s="3"/>
      <c r="T645" s="3"/>
      <c r="U645" s="3"/>
      <c r="V645" s="3"/>
      <c r="W645" s="3"/>
      <c r="X645" s="3"/>
      <c r="Y645" s="3"/>
      <c r="Z645" s="3"/>
      <c r="AA645" s="3"/>
      <c r="AB645" s="3"/>
      <c r="AC645" s="3"/>
      <c r="AD645" s="3"/>
      <c r="AE645" s="3"/>
      <c r="AF645" s="3"/>
    </row>
    <row r="646" spans="1:32" x14ac:dyDescent="0.15">
      <c r="A646" s="3"/>
      <c r="I646" s="3"/>
      <c r="J646" s="3"/>
      <c r="K646" s="3"/>
      <c r="L646" s="139"/>
      <c r="M646" s="3"/>
      <c r="N646" s="3"/>
      <c r="O646" s="3"/>
      <c r="P646" s="3"/>
      <c r="Q646" s="3"/>
      <c r="R646" s="3"/>
      <c r="S646" s="3"/>
      <c r="T646" s="3"/>
      <c r="U646" s="3"/>
      <c r="V646" s="3"/>
      <c r="W646" s="3"/>
      <c r="X646" s="3"/>
      <c r="Y646" s="3"/>
      <c r="Z646" s="3"/>
      <c r="AA646" s="3"/>
      <c r="AB646" s="3"/>
      <c r="AC646" s="3"/>
      <c r="AD646" s="3"/>
      <c r="AE646" s="3"/>
      <c r="AF646" s="3"/>
    </row>
    <row r="647" spans="1:32" x14ac:dyDescent="0.15">
      <c r="A647" s="3"/>
      <c r="I647" s="3"/>
      <c r="J647" s="3"/>
      <c r="K647" s="3"/>
      <c r="L647" s="139"/>
      <c r="M647" s="3"/>
      <c r="N647" s="3"/>
      <c r="O647" s="3"/>
      <c r="P647" s="3"/>
      <c r="Q647" s="3"/>
      <c r="R647" s="3"/>
      <c r="S647" s="3"/>
      <c r="T647" s="3"/>
      <c r="U647" s="3"/>
      <c r="V647" s="3"/>
      <c r="W647" s="3"/>
      <c r="X647" s="3"/>
      <c r="Y647" s="3"/>
      <c r="Z647" s="3"/>
      <c r="AA647" s="3"/>
      <c r="AB647" s="3"/>
      <c r="AC647" s="3"/>
      <c r="AD647" s="3"/>
      <c r="AE647" s="3"/>
      <c r="AF647" s="3"/>
    </row>
    <row r="648" spans="1:32" x14ac:dyDescent="0.15">
      <c r="A648" s="3"/>
      <c r="I648" s="3"/>
      <c r="J648" s="3"/>
      <c r="K648" s="3"/>
      <c r="L648" s="139"/>
      <c r="M648" s="3"/>
      <c r="N648" s="3"/>
      <c r="O648" s="3"/>
      <c r="P648" s="3"/>
      <c r="Q648" s="3"/>
      <c r="R648" s="3"/>
      <c r="S648" s="3"/>
      <c r="T648" s="3"/>
      <c r="U648" s="3"/>
      <c r="V648" s="3"/>
      <c r="W648" s="3"/>
      <c r="X648" s="3"/>
      <c r="Y648" s="3"/>
      <c r="Z648" s="3"/>
      <c r="AA648" s="3"/>
      <c r="AB648" s="3"/>
      <c r="AC648" s="3"/>
      <c r="AD648" s="3"/>
      <c r="AE648" s="3"/>
      <c r="AF648" s="3"/>
    </row>
    <row r="649" spans="1:32" x14ac:dyDescent="0.15">
      <c r="A649" s="3"/>
      <c r="I649" s="3"/>
      <c r="J649" s="3"/>
      <c r="K649" s="3"/>
      <c r="L649" s="139"/>
      <c r="M649" s="3"/>
      <c r="N649" s="3"/>
      <c r="O649" s="3"/>
      <c r="P649" s="3"/>
      <c r="Q649" s="3"/>
      <c r="R649" s="3"/>
      <c r="S649" s="3"/>
      <c r="T649" s="3"/>
      <c r="U649" s="3"/>
      <c r="V649" s="3"/>
      <c r="W649" s="3"/>
      <c r="X649" s="3"/>
      <c r="Y649" s="3"/>
      <c r="Z649" s="3"/>
      <c r="AA649" s="3"/>
      <c r="AB649" s="3"/>
      <c r="AC649" s="3"/>
      <c r="AD649" s="3"/>
      <c r="AE649" s="3"/>
      <c r="AF649" s="3"/>
    </row>
    <row r="650" spans="1:32" x14ac:dyDescent="0.15">
      <c r="A650" s="3"/>
      <c r="I650" s="3"/>
      <c r="J650" s="3"/>
      <c r="K650" s="3"/>
      <c r="L650" s="139"/>
      <c r="M650" s="3"/>
      <c r="N650" s="3"/>
      <c r="O650" s="3"/>
      <c r="P650" s="3"/>
      <c r="Q650" s="3"/>
      <c r="R650" s="3"/>
      <c r="S650" s="3"/>
      <c r="T650" s="3"/>
      <c r="U650" s="3"/>
      <c r="V650" s="3"/>
      <c r="W650" s="3"/>
      <c r="X650" s="3"/>
      <c r="Y650" s="3"/>
      <c r="Z650" s="3"/>
      <c r="AA650" s="3"/>
      <c r="AB650" s="3"/>
      <c r="AC650" s="3"/>
      <c r="AD650" s="3"/>
      <c r="AE650" s="3"/>
      <c r="AF650" s="3"/>
    </row>
    <row r="651" spans="1:32" x14ac:dyDescent="0.15">
      <c r="A651" s="3"/>
      <c r="I651" s="3"/>
      <c r="J651" s="3"/>
      <c r="K651" s="3"/>
      <c r="L651" s="139"/>
      <c r="M651" s="3"/>
      <c r="N651" s="3"/>
      <c r="O651" s="3"/>
      <c r="P651" s="3"/>
      <c r="Q651" s="3"/>
      <c r="R651" s="3"/>
      <c r="S651" s="3"/>
      <c r="T651" s="3"/>
      <c r="U651" s="3"/>
      <c r="V651" s="3"/>
      <c r="W651" s="3"/>
      <c r="X651" s="3"/>
      <c r="Y651" s="3"/>
      <c r="Z651" s="3"/>
      <c r="AA651" s="3"/>
      <c r="AB651" s="3"/>
      <c r="AC651" s="3"/>
      <c r="AD651" s="3"/>
      <c r="AE651" s="3"/>
      <c r="AF651" s="3"/>
    </row>
    <row r="652" spans="1:32" x14ac:dyDescent="0.15">
      <c r="A652" s="3"/>
      <c r="I652" s="3"/>
      <c r="J652" s="3"/>
      <c r="K652" s="3"/>
      <c r="L652" s="139"/>
      <c r="M652" s="3"/>
      <c r="N652" s="3"/>
      <c r="O652" s="3"/>
      <c r="P652" s="3"/>
      <c r="Q652" s="3"/>
      <c r="R652" s="3"/>
      <c r="S652" s="3"/>
      <c r="T652" s="3"/>
      <c r="U652" s="3"/>
      <c r="V652" s="3"/>
      <c r="W652" s="3"/>
      <c r="X652" s="3"/>
      <c r="Y652" s="3"/>
      <c r="Z652" s="3"/>
      <c r="AA652" s="3"/>
      <c r="AB652" s="3"/>
      <c r="AC652" s="3"/>
      <c r="AD652" s="3"/>
      <c r="AE652" s="3"/>
      <c r="AF652" s="3"/>
    </row>
    <row r="653" spans="1:32" x14ac:dyDescent="0.15">
      <c r="A653" s="3"/>
      <c r="I653" s="3"/>
      <c r="J653" s="3"/>
      <c r="K653" s="3"/>
      <c r="L653" s="139"/>
      <c r="M653" s="3"/>
      <c r="N653" s="3"/>
      <c r="O653" s="3"/>
      <c r="P653" s="3"/>
      <c r="Q653" s="3"/>
      <c r="R653" s="3"/>
      <c r="S653" s="3"/>
      <c r="T653" s="3"/>
      <c r="U653" s="3"/>
      <c r="V653" s="3"/>
      <c r="W653" s="3"/>
      <c r="X653" s="3"/>
      <c r="Y653" s="3"/>
      <c r="Z653" s="3"/>
      <c r="AA653" s="3"/>
      <c r="AB653" s="3"/>
      <c r="AC653" s="3"/>
      <c r="AD653" s="3"/>
      <c r="AE653" s="3"/>
      <c r="AF653" s="3"/>
    </row>
    <row r="654" spans="1:32" x14ac:dyDescent="0.15">
      <c r="A654" s="3"/>
      <c r="I654" s="3"/>
      <c r="J654" s="3"/>
      <c r="K654" s="3"/>
      <c r="L654" s="139"/>
      <c r="M654" s="3"/>
      <c r="N654" s="3"/>
      <c r="O654" s="3"/>
      <c r="P654" s="3"/>
      <c r="Q654" s="3"/>
      <c r="R654" s="3"/>
      <c r="S654" s="3"/>
      <c r="T654" s="3"/>
      <c r="U654" s="3"/>
      <c r="V654" s="3"/>
      <c r="W654" s="3"/>
      <c r="X654" s="3"/>
      <c r="Y654" s="3"/>
      <c r="Z654" s="3"/>
      <c r="AA654" s="3"/>
      <c r="AB654" s="3"/>
      <c r="AC654" s="3"/>
      <c r="AD654" s="3"/>
      <c r="AE654" s="3"/>
      <c r="AF654" s="3"/>
    </row>
    <row r="655" spans="1:32" x14ac:dyDescent="0.15">
      <c r="A655" s="3"/>
      <c r="I655" s="3"/>
      <c r="J655" s="3"/>
      <c r="K655" s="3"/>
      <c r="L655" s="139"/>
      <c r="M655" s="3"/>
      <c r="N655" s="3"/>
      <c r="O655" s="3"/>
      <c r="P655" s="3"/>
      <c r="Q655" s="3"/>
      <c r="R655" s="3"/>
      <c r="S655" s="3"/>
      <c r="T655" s="3"/>
      <c r="U655" s="3"/>
      <c r="V655" s="3"/>
      <c r="W655" s="3"/>
      <c r="X655" s="3"/>
      <c r="Y655" s="3"/>
      <c r="Z655" s="3"/>
      <c r="AA655" s="3"/>
      <c r="AB655" s="3"/>
      <c r="AC655" s="3"/>
      <c r="AD655" s="3"/>
      <c r="AE655" s="3"/>
      <c r="AF655" s="3"/>
    </row>
    <row r="656" spans="1:32" x14ac:dyDescent="0.15">
      <c r="A656" s="3"/>
      <c r="I656" s="3"/>
      <c r="J656" s="3"/>
      <c r="K656" s="3"/>
      <c r="L656" s="139"/>
      <c r="M656" s="3"/>
      <c r="N656" s="3"/>
      <c r="O656" s="3"/>
      <c r="P656" s="3"/>
      <c r="Q656" s="3"/>
      <c r="R656" s="3"/>
      <c r="S656" s="3"/>
      <c r="T656" s="3"/>
      <c r="U656" s="3"/>
      <c r="V656" s="3"/>
      <c r="W656" s="3"/>
      <c r="X656" s="3"/>
      <c r="Y656" s="3"/>
      <c r="Z656" s="3"/>
      <c r="AA656" s="3"/>
      <c r="AB656" s="3"/>
      <c r="AC656" s="3"/>
      <c r="AD656" s="3"/>
      <c r="AE656" s="3"/>
      <c r="AF656" s="3"/>
    </row>
    <row r="657" spans="1:32" x14ac:dyDescent="0.15">
      <c r="A657" s="3"/>
      <c r="I657" s="3"/>
      <c r="J657" s="3"/>
      <c r="K657" s="3"/>
      <c r="L657" s="139"/>
      <c r="M657" s="3"/>
      <c r="N657" s="3"/>
      <c r="O657" s="3"/>
      <c r="P657" s="3"/>
      <c r="Q657" s="3"/>
      <c r="R657" s="3"/>
      <c r="S657" s="3"/>
      <c r="T657" s="3"/>
      <c r="U657" s="3"/>
      <c r="V657" s="3"/>
      <c r="W657" s="3"/>
      <c r="X657" s="3"/>
      <c r="Y657" s="3"/>
      <c r="Z657" s="3"/>
      <c r="AA657" s="3"/>
      <c r="AB657" s="3"/>
      <c r="AC657" s="3"/>
      <c r="AD657" s="3"/>
      <c r="AE657" s="3"/>
      <c r="AF657" s="3"/>
    </row>
    <row r="658" spans="1:32" x14ac:dyDescent="0.15">
      <c r="A658" s="3"/>
      <c r="I658" s="3"/>
      <c r="J658" s="3"/>
      <c r="K658" s="3"/>
      <c r="L658" s="139"/>
      <c r="M658" s="3"/>
      <c r="N658" s="3"/>
      <c r="O658" s="3"/>
      <c r="P658" s="3"/>
      <c r="Q658" s="3"/>
      <c r="R658" s="3"/>
      <c r="S658" s="3"/>
      <c r="T658" s="3"/>
      <c r="U658" s="3"/>
      <c r="V658" s="3"/>
      <c r="W658" s="3"/>
      <c r="X658" s="3"/>
      <c r="Y658" s="3"/>
      <c r="Z658" s="3"/>
      <c r="AA658" s="3"/>
      <c r="AB658" s="3"/>
      <c r="AC658" s="3"/>
      <c r="AD658" s="3"/>
      <c r="AE658" s="3"/>
      <c r="AF658" s="3"/>
    </row>
    <row r="659" spans="1:32" x14ac:dyDescent="0.15">
      <c r="A659" s="3"/>
      <c r="I659" s="3"/>
      <c r="J659" s="3"/>
      <c r="K659" s="3"/>
      <c r="L659" s="139"/>
      <c r="M659" s="3"/>
      <c r="N659" s="3"/>
      <c r="O659" s="3"/>
      <c r="P659" s="3"/>
      <c r="Q659" s="3"/>
      <c r="R659" s="3"/>
      <c r="S659" s="3"/>
      <c r="T659" s="3"/>
      <c r="U659" s="3"/>
      <c r="V659" s="3"/>
      <c r="W659" s="3"/>
      <c r="X659" s="3"/>
      <c r="Y659" s="3"/>
      <c r="Z659" s="3"/>
      <c r="AA659" s="3"/>
      <c r="AB659" s="3"/>
      <c r="AC659" s="3"/>
      <c r="AD659" s="3"/>
      <c r="AE659" s="3"/>
      <c r="AF659" s="3"/>
    </row>
    <row r="660" spans="1:32" x14ac:dyDescent="0.15">
      <c r="A660" s="3"/>
      <c r="I660" s="3"/>
      <c r="J660" s="3"/>
      <c r="K660" s="3"/>
      <c r="L660" s="139"/>
      <c r="M660" s="3"/>
      <c r="N660" s="3"/>
      <c r="O660" s="3"/>
      <c r="P660" s="3"/>
      <c r="Q660" s="3"/>
      <c r="R660" s="3"/>
      <c r="S660" s="3"/>
      <c r="T660" s="3"/>
      <c r="U660" s="3"/>
      <c r="V660" s="3"/>
      <c r="W660" s="3"/>
      <c r="X660" s="3"/>
      <c r="Y660" s="3"/>
      <c r="Z660" s="3"/>
      <c r="AA660" s="3"/>
      <c r="AB660" s="3"/>
      <c r="AC660" s="3"/>
      <c r="AD660" s="3"/>
      <c r="AE660" s="3"/>
      <c r="AF660" s="3"/>
    </row>
    <row r="661" spans="1:32" x14ac:dyDescent="0.15">
      <c r="A661" s="3"/>
      <c r="I661" s="3"/>
      <c r="J661" s="3"/>
      <c r="K661" s="3"/>
      <c r="L661" s="139"/>
      <c r="M661" s="3"/>
      <c r="N661" s="3"/>
      <c r="O661" s="3"/>
      <c r="P661" s="3"/>
      <c r="Q661" s="3"/>
      <c r="R661" s="3"/>
      <c r="S661" s="3"/>
      <c r="T661" s="3"/>
      <c r="U661" s="3"/>
      <c r="V661" s="3"/>
      <c r="W661" s="3"/>
      <c r="X661" s="3"/>
      <c r="Y661" s="3"/>
      <c r="Z661" s="3"/>
      <c r="AA661" s="3"/>
      <c r="AB661" s="3"/>
      <c r="AC661" s="3"/>
      <c r="AD661" s="3"/>
      <c r="AE661" s="3"/>
      <c r="AF661" s="3"/>
    </row>
    <row r="662" spans="1:32" x14ac:dyDescent="0.15">
      <c r="A662" s="3"/>
      <c r="I662" s="3"/>
      <c r="J662" s="3"/>
      <c r="K662" s="3"/>
      <c r="L662" s="139"/>
      <c r="M662" s="3"/>
      <c r="N662" s="3"/>
      <c r="O662" s="3"/>
      <c r="P662" s="3"/>
      <c r="Q662" s="3"/>
      <c r="R662" s="3"/>
      <c r="S662" s="3"/>
      <c r="T662" s="3"/>
      <c r="U662" s="3"/>
      <c r="V662" s="3"/>
      <c r="W662" s="3"/>
      <c r="X662" s="3"/>
      <c r="Y662" s="3"/>
      <c r="Z662" s="3"/>
      <c r="AA662" s="3"/>
      <c r="AB662" s="3"/>
      <c r="AC662" s="3"/>
      <c r="AD662" s="3"/>
      <c r="AE662" s="3"/>
      <c r="AF662" s="3"/>
    </row>
    <row r="663" spans="1:32" x14ac:dyDescent="0.15">
      <c r="A663" s="3"/>
      <c r="I663" s="3"/>
      <c r="J663" s="3"/>
      <c r="K663" s="3"/>
      <c r="L663" s="139"/>
      <c r="M663" s="3"/>
      <c r="N663" s="3"/>
      <c r="O663" s="3"/>
      <c r="P663" s="3"/>
      <c r="Q663" s="3"/>
      <c r="R663" s="3"/>
      <c r="S663" s="3"/>
      <c r="T663" s="3"/>
      <c r="U663" s="3"/>
      <c r="V663" s="3"/>
      <c r="W663" s="3"/>
      <c r="X663" s="3"/>
      <c r="Y663" s="3"/>
      <c r="Z663" s="3"/>
      <c r="AA663" s="3"/>
      <c r="AB663" s="3"/>
      <c r="AC663" s="3"/>
      <c r="AD663" s="3"/>
      <c r="AE663" s="3"/>
      <c r="AF663" s="3"/>
    </row>
    <row r="664" spans="1:32" x14ac:dyDescent="0.15">
      <c r="A664" s="3"/>
      <c r="I664" s="3"/>
      <c r="J664" s="3"/>
      <c r="K664" s="3"/>
      <c r="L664" s="139"/>
      <c r="M664" s="3"/>
      <c r="N664" s="3"/>
      <c r="O664" s="3"/>
      <c r="P664" s="3"/>
      <c r="Q664" s="3"/>
      <c r="R664" s="3"/>
      <c r="S664" s="3"/>
      <c r="T664" s="3"/>
      <c r="U664" s="3"/>
      <c r="V664" s="3"/>
      <c r="W664" s="3"/>
      <c r="X664" s="3"/>
      <c r="Y664" s="3"/>
      <c r="Z664" s="3"/>
      <c r="AA664" s="3"/>
      <c r="AB664" s="3"/>
      <c r="AC664" s="3"/>
      <c r="AD664" s="3"/>
      <c r="AE664" s="3"/>
      <c r="AF664" s="3"/>
    </row>
    <row r="665" spans="1:32" x14ac:dyDescent="0.15">
      <c r="A665" s="3"/>
      <c r="I665" s="3"/>
      <c r="J665" s="3"/>
      <c r="K665" s="3"/>
      <c r="L665" s="139"/>
      <c r="M665" s="3"/>
      <c r="N665" s="3"/>
      <c r="O665" s="3"/>
      <c r="P665" s="3"/>
      <c r="Q665" s="3"/>
      <c r="R665" s="3"/>
      <c r="S665" s="3"/>
      <c r="T665" s="3"/>
      <c r="U665" s="3"/>
      <c r="V665" s="3"/>
      <c r="W665" s="3"/>
      <c r="X665" s="3"/>
      <c r="Y665" s="3"/>
      <c r="Z665" s="3"/>
      <c r="AA665" s="3"/>
      <c r="AB665" s="3"/>
      <c r="AC665" s="3"/>
      <c r="AD665" s="3"/>
      <c r="AE665" s="3"/>
      <c r="AF665" s="3"/>
    </row>
    <row r="666" spans="1:32" x14ac:dyDescent="0.15">
      <c r="A666" s="3"/>
      <c r="I666" s="3"/>
      <c r="J666" s="3"/>
      <c r="K666" s="3"/>
      <c r="L666" s="139"/>
      <c r="M666" s="3"/>
      <c r="N666" s="3"/>
      <c r="O666" s="3"/>
      <c r="P666" s="3"/>
      <c r="Q666" s="3"/>
      <c r="R666" s="3"/>
      <c r="S666" s="3"/>
      <c r="T666" s="3"/>
      <c r="U666" s="3"/>
      <c r="V666" s="3"/>
      <c r="W666" s="3"/>
      <c r="X666" s="3"/>
      <c r="Y666" s="3"/>
      <c r="Z666" s="3"/>
      <c r="AA666" s="3"/>
      <c r="AB666" s="3"/>
      <c r="AC666" s="3"/>
      <c r="AD666" s="3"/>
      <c r="AE666" s="3"/>
      <c r="AF666" s="3"/>
    </row>
    <row r="667" spans="1:32" x14ac:dyDescent="0.15">
      <c r="A667" s="3"/>
      <c r="I667" s="3"/>
      <c r="J667" s="3"/>
      <c r="K667" s="3"/>
      <c r="L667" s="139"/>
      <c r="M667" s="3"/>
      <c r="N667" s="3"/>
      <c r="O667" s="3"/>
      <c r="P667" s="3"/>
      <c r="Q667" s="3"/>
      <c r="R667" s="3"/>
      <c r="S667" s="3"/>
      <c r="T667" s="3"/>
      <c r="U667" s="3"/>
      <c r="V667" s="3"/>
      <c r="W667" s="3"/>
      <c r="X667" s="3"/>
      <c r="Y667" s="3"/>
      <c r="Z667" s="3"/>
      <c r="AA667" s="3"/>
      <c r="AB667" s="3"/>
      <c r="AC667" s="3"/>
      <c r="AD667" s="3"/>
      <c r="AE667" s="3"/>
      <c r="AF667" s="3"/>
    </row>
    <row r="668" spans="1:32" x14ac:dyDescent="0.15">
      <c r="A668" s="3"/>
      <c r="I668" s="3"/>
      <c r="J668" s="3"/>
      <c r="K668" s="3"/>
      <c r="L668" s="139"/>
      <c r="M668" s="3"/>
      <c r="N668" s="3"/>
      <c r="O668" s="3"/>
      <c r="P668" s="3"/>
      <c r="Q668" s="3"/>
      <c r="R668" s="3"/>
      <c r="S668" s="3"/>
      <c r="T668" s="3"/>
      <c r="U668" s="3"/>
      <c r="V668" s="3"/>
      <c r="W668" s="3"/>
      <c r="X668" s="3"/>
      <c r="Y668" s="3"/>
      <c r="Z668" s="3"/>
      <c r="AA668" s="3"/>
      <c r="AB668" s="3"/>
      <c r="AC668" s="3"/>
      <c r="AD668" s="3"/>
      <c r="AE668" s="3"/>
      <c r="AF668" s="3"/>
    </row>
    <row r="669" spans="1:32" x14ac:dyDescent="0.15">
      <c r="A669" s="3"/>
      <c r="I669" s="3"/>
      <c r="J669" s="3"/>
      <c r="K669" s="3"/>
      <c r="L669" s="139"/>
      <c r="M669" s="3"/>
      <c r="N669" s="3"/>
      <c r="O669" s="3"/>
      <c r="P669" s="3"/>
      <c r="Q669" s="3"/>
      <c r="R669" s="3"/>
      <c r="S669" s="3"/>
      <c r="T669" s="3"/>
      <c r="U669" s="3"/>
      <c r="V669" s="3"/>
      <c r="W669" s="3"/>
      <c r="X669" s="3"/>
      <c r="Y669" s="3"/>
      <c r="Z669" s="3"/>
      <c r="AA669" s="3"/>
      <c r="AB669" s="3"/>
      <c r="AC669" s="3"/>
      <c r="AD669" s="3"/>
      <c r="AE669" s="3"/>
      <c r="AF669" s="3"/>
    </row>
    <row r="670" spans="1:32" x14ac:dyDescent="0.15">
      <c r="A670" s="3"/>
      <c r="I670" s="3"/>
      <c r="J670" s="3"/>
      <c r="K670" s="3"/>
      <c r="L670" s="139"/>
      <c r="M670" s="3"/>
      <c r="N670" s="3"/>
      <c r="O670" s="3"/>
      <c r="P670" s="3"/>
      <c r="Q670" s="3"/>
      <c r="R670" s="3"/>
      <c r="S670" s="3"/>
      <c r="T670" s="3"/>
      <c r="U670" s="3"/>
      <c r="V670" s="3"/>
      <c r="W670" s="3"/>
      <c r="X670" s="3"/>
      <c r="Y670" s="3"/>
      <c r="Z670" s="3"/>
      <c r="AA670" s="3"/>
      <c r="AB670" s="3"/>
      <c r="AC670" s="3"/>
      <c r="AD670" s="3"/>
      <c r="AE670" s="3"/>
      <c r="AF670" s="3"/>
    </row>
    <row r="671" spans="1:32" x14ac:dyDescent="0.15">
      <c r="A671" s="3"/>
      <c r="I671" s="3"/>
      <c r="J671" s="3"/>
      <c r="K671" s="3"/>
      <c r="L671" s="139"/>
      <c r="M671" s="3"/>
      <c r="N671" s="3"/>
      <c r="O671" s="3"/>
      <c r="P671" s="3"/>
      <c r="Q671" s="3"/>
      <c r="R671" s="3"/>
      <c r="S671" s="3"/>
      <c r="T671" s="3"/>
      <c r="U671" s="3"/>
      <c r="V671" s="3"/>
      <c r="W671" s="3"/>
      <c r="X671" s="3"/>
      <c r="Y671" s="3"/>
      <c r="Z671" s="3"/>
      <c r="AA671" s="3"/>
      <c r="AB671" s="3"/>
      <c r="AC671" s="3"/>
      <c r="AD671" s="3"/>
      <c r="AE671" s="3"/>
      <c r="AF671" s="3"/>
    </row>
    <row r="672" spans="1:32" x14ac:dyDescent="0.15">
      <c r="A672" s="3"/>
      <c r="I672" s="3"/>
      <c r="J672" s="3"/>
      <c r="K672" s="3"/>
      <c r="L672" s="139"/>
      <c r="M672" s="3"/>
      <c r="N672" s="3"/>
      <c r="O672" s="3"/>
      <c r="P672" s="3"/>
      <c r="Q672" s="3"/>
      <c r="R672" s="3"/>
      <c r="S672" s="3"/>
      <c r="T672" s="3"/>
      <c r="U672" s="3"/>
      <c r="V672" s="3"/>
      <c r="W672" s="3"/>
      <c r="X672" s="3"/>
      <c r="Y672" s="3"/>
      <c r="Z672" s="3"/>
      <c r="AA672" s="3"/>
      <c r="AB672" s="3"/>
      <c r="AC672" s="3"/>
      <c r="AD672" s="3"/>
      <c r="AE672" s="3"/>
      <c r="AF672" s="3"/>
    </row>
    <row r="673" spans="1:32" x14ac:dyDescent="0.15">
      <c r="A673" s="3"/>
      <c r="I673" s="3"/>
      <c r="J673" s="3"/>
      <c r="K673" s="3"/>
      <c r="L673" s="139"/>
      <c r="M673" s="3"/>
      <c r="N673" s="3"/>
      <c r="O673" s="3"/>
      <c r="P673" s="3"/>
      <c r="Q673" s="3"/>
      <c r="R673" s="3"/>
      <c r="S673" s="3"/>
      <c r="T673" s="3"/>
      <c r="U673" s="3"/>
      <c r="V673" s="3"/>
      <c r="W673" s="3"/>
      <c r="X673" s="3"/>
      <c r="Y673" s="3"/>
      <c r="Z673" s="3"/>
      <c r="AA673" s="3"/>
      <c r="AB673" s="3"/>
      <c r="AC673" s="3"/>
      <c r="AD673" s="3"/>
      <c r="AE673" s="3"/>
      <c r="AF673" s="3"/>
    </row>
    <row r="674" spans="1:32" x14ac:dyDescent="0.15">
      <c r="A674" s="3"/>
      <c r="I674" s="3"/>
      <c r="J674" s="3"/>
      <c r="K674" s="3"/>
      <c r="L674" s="139"/>
      <c r="M674" s="3"/>
      <c r="N674" s="3"/>
      <c r="O674" s="3"/>
      <c r="P674" s="3"/>
      <c r="Q674" s="3"/>
      <c r="R674" s="3"/>
      <c r="S674" s="3"/>
      <c r="T674" s="3"/>
      <c r="U674" s="3"/>
      <c r="V674" s="3"/>
      <c r="W674" s="3"/>
      <c r="X674" s="3"/>
      <c r="Y674" s="3"/>
      <c r="Z674" s="3"/>
      <c r="AA674" s="3"/>
      <c r="AB674" s="3"/>
      <c r="AC674" s="3"/>
      <c r="AD674" s="3"/>
      <c r="AE674" s="3"/>
      <c r="AF674" s="3"/>
    </row>
    <row r="675" spans="1:32" x14ac:dyDescent="0.15">
      <c r="A675" s="3"/>
      <c r="I675" s="3"/>
      <c r="J675" s="3"/>
      <c r="K675" s="3"/>
      <c r="L675" s="139"/>
      <c r="M675" s="3"/>
      <c r="N675" s="3"/>
      <c r="O675" s="3"/>
      <c r="P675" s="3"/>
      <c r="Q675" s="3"/>
      <c r="R675" s="3"/>
      <c r="S675" s="3"/>
      <c r="T675" s="3"/>
      <c r="U675" s="3"/>
      <c r="V675" s="3"/>
      <c r="W675" s="3"/>
      <c r="X675" s="3"/>
      <c r="Y675" s="3"/>
      <c r="Z675" s="3"/>
      <c r="AA675" s="3"/>
      <c r="AB675" s="3"/>
      <c r="AC675" s="3"/>
      <c r="AD675" s="3"/>
      <c r="AE675" s="3"/>
      <c r="AF675" s="3"/>
    </row>
    <row r="676" spans="1:32" x14ac:dyDescent="0.15">
      <c r="A676" s="3"/>
      <c r="I676" s="3"/>
      <c r="J676" s="3"/>
      <c r="K676" s="3"/>
      <c r="L676" s="139"/>
      <c r="M676" s="3"/>
      <c r="N676" s="3"/>
      <c r="O676" s="3"/>
      <c r="P676" s="3"/>
      <c r="Q676" s="3"/>
      <c r="R676" s="3"/>
      <c r="S676" s="3"/>
      <c r="T676" s="3"/>
      <c r="U676" s="3"/>
      <c r="V676" s="3"/>
      <c r="W676" s="3"/>
      <c r="X676" s="3"/>
      <c r="Y676" s="3"/>
      <c r="Z676" s="3"/>
      <c r="AA676" s="3"/>
      <c r="AB676" s="3"/>
      <c r="AC676" s="3"/>
      <c r="AD676" s="3"/>
      <c r="AE676" s="3"/>
      <c r="AF676" s="3"/>
    </row>
    <row r="677" spans="1:32" x14ac:dyDescent="0.15">
      <c r="A677" s="3"/>
      <c r="I677" s="3"/>
      <c r="J677" s="3"/>
      <c r="K677" s="3"/>
      <c r="L677" s="139"/>
      <c r="M677" s="3"/>
      <c r="N677" s="3"/>
      <c r="O677" s="3"/>
      <c r="P677" s="3"/>
      <c r="Q677" s="3"/>
      <c r="R677" s="3"/>
      <c r="S677" s="3"/>
      <c r="T677" s="3"/>
      <c r="U677" s="3"/>
      <c r="V677" s="3"/>
      <c r="W677" s="3"/>
      <c r="X677" s="3"/>
      <c r="Y677" s="3"/>
      <c r="Z677" s="3"/>
      <c r="AA677" s="3"/>
      <c r="AB677" s="3"/>
      <c r="AC677" s="3"/>
      <c r="AD677" s="3"/>
      <c r="AE677" s="3"/>
      <c r="AF677" s="3"/>
    </row>
    <row r="678" spans="1:32" x14ac:dyDescent="0.15">
      <c r="A678" s="3"/>
      <c r="I678" s="3"/>
      <c r="J678" s="3"/>
      <c r="K678" s="3"/>
      <c r="L678" s="139"/>
      <c r="M678" s="3"/>
      <c r="N678" s="3"/>
      <c r="O678" s="3"/>
      <c r="P678" s="3"/>
      <c r="Q678" s="3"/>
      <c r="R678" s="3"/>
      <c r="S678" s="3"/>
      <c r="T678" s="3"/>
      <c r="U678" s="3"/>
      <c r="V678" s="3"/>
      <c r="W678" s="3"/>
      <c r="X678" s="3"/>
      <c r="Y678" s="3"/>
      <c r="Z678" s="3"/>
      <c r="AA678" s="3"/>
      <c r="AB678" s="3"/>
      <c r="AC678" s="3"/>
      <c r="AD678" s="3"/>
      <c r="AE678" s="3"/>
      <c r="AF678" s="3"/>
    </row>
    <row r="679" spans="1:32" x14ac:dyDescent="0.15">
      <c r="A679" s="3"/>
      <c r="I679" s="3"/>
      <c r="J679" s="3"/>
      <c r="K679" s="3"/>
      <c r="L679" s="139"/>
      <c r="M679" s="3"/>
      <c r="N679" s="3"/>
      <c r="O679" s="3"/>
      <c r="P679" s="3"/>
      <c r="Q679" s="3"/>
      <c r="R679" s="3"/>
      <c r="S679" s="3"/>
      <c r="T679" s="3"/>
      <c r="U679" s="3"/>
      <c r="V679" s="3"/>
      <c r="W679" s="3"/>
      <c r="X679" s="3"/>
      <c r="Y679" s="3"/>
      <c r="Z679" s="3"/>
      <c r="AA679" s="3"/>
      <c r="AB679" s="3"/>
      <c r="AC679" s="3"/>
      <c r="AD679" s="3"/>
      <c r="AE679" s="3"/>
      <c r="AF679" s="3"/>
    </row>
    <row r="680" spans="1:32" x14ac:dyDescent="0.15">
      <c r="A680" s="3"/>
      <c r="I680" s="3"/>
      <c r="J680" s="3"/>
      <c r="K680" s="3"/>
      <c r="L680" s="139"/>
      <c r="M680" s="3"/>
      <c r="N680" s="3"/>
      <c r="O680" s="3"/>
      <c r="P680" s="3"/>
      <c r="Q680" s="3"/>
      <c r="R680" s="3"/>
      <c r="S680" s="3"/>
      <c r="T680" s="3"/>
      <c r="U680" s="3"/>
      <c r="V680" s="3"/>
      <c r="W680" s="3"/>
      <c r="X680" s="3"/>
      <c r="Y680" s="3"/>
      <c r="Z680" s="3"/>
      <c r="AA680" s="3"/>
      <c r="AB680" s="3"/>
      <c r="AC680" s="3"/>
      <c r="AD680" s="3"/>
      <c r="AE680" s="3"/>
      <c r="AF680" s="3"/>
    </row>
    <row r="681" spans="1:32" x14ac:dyDescent="0.15">
      <c r="A681" s="3"/>
      <c r="I681" s="3"/>
      <c r="J681" s="3"/>
      <c r="K681" s="3"/>
      <c r="L681" s="139"/>
      <c r="M681" s="3"/>
      <c r="N681" s="3"/>
      <c r="O681" s="3"/>
      <c r="P681" s="3"/>
      <c r="Q681" s="3"/>
      <c r="R681" s="3"/>
      <c r="S681" s="3"/>
      <c r="T681" s="3"/>
      <c r="U681" s="3"/>
      <c r="V681" s="3"/>
      <c r="W681" s="3"/>
      <c r="X681" s="3"/>
      <c r="Y681" s="3"/>
      <c r="Z681" s="3"/>
      <c r="AA681" s="3"/>
      <c r="AB681" s="3"/>
      <c r="AC681" s="3"/>
      <c r="AD681" s="3"/>
      <c r="AE681" s="3"/>
      <c r="AF681" s="3"/>
    </row>
    <row r="682" spans="1:32" x14ac:dyDescent="0.15">
      <c r="A682" s="3"/>
      <c r="I682" s="3"/>
      <c r="J682" s="3"/>
      <c r="K682" s="3"/>
      <c r="L682" s="139"/>
      <c r="M682" s="3"/>
      <c r="N682" s="3"/>
      <c r="O682" s="3"/>
      <c r="P682" s="3"/>
      <c r="Q682" s="3"/>
      <c r="R682" s="3"/>
      <c r="S682" s="3"/>
      <c r="T682" s="3"/>
      <c r="U682" s="3"/>
      <c r="V682" s="3"/>
      <c r="W682" s="3"/>
      <c r="X682" s="3"/>
      <c r="Y682" s="3"/>
      <c r="Z682" s="3"/>
      <c r="AA682" s="3"/>
      <c r="AB682" s="3"/>
      <c r="AC682" s="3"/>
      <c r="AD682" s="3"/>
      <c r="AE682" s="3"/>
      <c r="AF682" s="3"/>
    </row>
    <row r="683" spans="1:32" x14ac:dyDescent="0.15">
      <c r="A683" s="3"/>
      <c r="I683" s="3"/>
      <c r="J683" s="3"/>
      <c r="K683" s="3"/>
      <c r="L683" s="139"/>
      <c r="M683" s="3"/>
      <c r="N683" s="3"/>
      <c r="O683" s="3"/>
      <c r="P683" s="3"/>
      <c r="Q683" s="3"/>
      <c r="R683" s="3"/>
      <c r="S683" s="3"/>
      <c r="T683" s="3"/>
      <c r="U683" s="3"/>
      <c r="V683" s="3"/>
      <c r="W683" s="3"/>
      <c r="X683" s="3"/>
      <c r="Y683" s="3"/>
      <c r="Z683" s="3"/>
      <c r="AA683" s="3"/>
      <c r="AB683" s="3"/>
      <c r="AC683" s="3"/>
      <c r="AD683" s="3"/>
      <c r="AE683" s="3"/>
      <c r="AF683" s="3"/>
    </row>
    <row r="684" spans="1:32" x14ac:dyDescent="0.15">
      <c r="A684" s="3"/>
      <c r="I684" s="3"/>
      <c r="J684" s="3"/>
      <c r="K684" s="3"/>
      <c r="L684" s="139"/>
      <c r="M684" s="3"/>
      <c r="N684" s="3"/>
      <c r="O684" s="3"/>
      <c r="P684" s="3"/>
      <c r="Q684" s="3"/>
      <c r="R684" s="3"/>
      <c r="S684" s="3"/>
      <c r="T684" s="3"/>
      <c r="U684" s="3"/>
      <c r="V684" s="3"/>
      <c r="W684" s="3"/>
      <c r="X684" s="3"/>
      <c r="Y684" s="3"/>
      <c r="Z684" s="3"/>
      <c r="AA684" s="3"/>
      <c r="AB684" s="3"/>
      <c r="AC684" s="3"/>
      <c r="AD684" s="3"/>
      <c r="AE684" s="3"/>
      <c r="AF684" s="3"/>
    </row>
    <row r="685" spans="1:32" x14ac:dyDescent="0.15">
      <c r="A685" s="3"/>
      <c r="I685" s="3"/>
      <c r="J685" s="3"/>
      <c r="K685" s="3"/>
      <c r="L685" s="139"/>
      <c r="M685" s="3"/>
      <c r="N685" s="3"/>
      <c r="O685" s="3"/>
      <c r="P685" s="3"/>
      <c r="Q685" s="3"/>
      <c r="R685" s="3"/>
      <c r="S685" s="3"/>
      <c r="T685" s="3"/>
      <c r="U685" s="3"/>
      <c r="V685" s="3"/>
      <c r="W685" s="3"/>
      <c r="X685" s="3"/>
      <c r="Y685" s="3"/>
      <c r="Z685" s="3"/>
      <c r="AA685" s="3"/>
      <c r="AB685" s="3"/>
      <c r="AC685" s="3"/>
      <c r="AD685" s="3"/>
      <c r="AE685" s="3"/>
      <c r="AF685" s="3"/>
    </row>
    <row r="686" spans="1:32" x14ac:dyDescent="0.15">
      <c r="A686" s="3"/>
      <c r="I686" s="3"/>
      <c r="J686" s="3"/>
      <c r="K686" s="3"/>
      <c r="L686" s="139"/>
      <c r="M686" s="3"/>
      <c r="N686" s="3"/>
      <c r="O686" s="3"/>
      <c r="P686" s="3"/>
      <c r="Q686" s="3"/>
      <c r="R686" s="3"/>
      <c r="S686" s="3"/>
      <c r="T686" s="3"/>
      <c r="U686" s="3"/>
      <c r="V686" s="3"/>
      <c r="W686" s="3"/>
      <c r="X686" s="3"/>
      <c r="Y686" s="3"/>
      <c r="Z686" s="3"/>
      <c r="AA686" s="3"/>
      <c r="AB686" s="3"/>
      <c r="AC686" s="3"/>
      <c r="AD686" s="3"/>
      <c r="AE686" s="3"/>
      <c r="AF686" s="3"/>
    </row>
    <row r="687" spans="1:32" x14ac:dyDescent="0.15">
      <c r="A687" s="3"/>
      <c r="I687" s="3"/>
      <c r="J687" s="3"/>
      <c r="K687" s="3"/>
      <c r="L687" s="139"/>
      <c r="M687" s="3"/>
      <c r="N687" s="3"/>
      <c r="O687" s="3"/>
      <c r="P687" s="3"/>
      <c r="Q687" s="3"/>
      <c r="R687" s="3"/>
      <c r="S687" s="3"/>
      <c r="T687" s="3"/>
      <c r="U687" s="3"/>
      <c r="V687" s="3"/>
      <c r="W687" s="3"/>
      <c r="X687" s="3"/>
      <c r="Y687" s="3"/>
      <c r="Z687" s="3"/>
      <c r="AA687" s="3"/>
      <c r="AB687" s="3"/>
      <c r="AC687" s="3"/>
      <c r="AD687" s="3"/>
      <c r="AE687" s="3"/>
      <c r="AF687" s="3"/>
    </row>
    <row r="688" spans="1:32" x14ac:dyDescent="0.15">
      <c r="A688" s="3"/>
      <c r="I688" s="3"/>
      <c r="J688" s="3"/>
      <c r="K688" s="3"/>
      <c r="L688" s="139"/>
      <c r="M688" s="3"/>
      <c r="N688" s="3"/>
      <c r="O688" s="3"/>
      <c r="P688" s="3"/>
      <c r="Q688" s="3"/>
      <c r="R688" s="3"/>
      <c r="S688" s="3"/>
      <c r="T688" s="3"/>
      <c r="U688" s="3"/>
      <c r="V688" s="3"/>
      <c r="W688" s="3"/>
      <c r="X688" s="3"/>
      <c r="Y688" s="3"/>
      <c r="Z688" s="3"/>
      <c r="AA688" s="3"/>
      <c r="AB688" s="3"/>
      <c r="AC688" s="3"/>
      <c r="AD688" s="3"/>
      <c r="AE688" s="3"/>
      <c r="AF688" s="3"/>
    </row>
    <row r="689" spans="1:32" x14ac:dyDescent="0.15">
      <c r="A689" s="3"/>
      <c r="I689" s="3"/>
      <c r="J689" s="3"/>
      <c r="K689" s="3"/>
      <c r="L689" s="139"/>
      <c r="M689" s="3"/>
      <c r="N689" s="3"/>
      <c r="O689" s="3"/>
      <c r="P689" s="3"/>
      <c r="Q689" s="3"/>
      <c r="R689" s="3"/>
      <c r="S689" s="3"/>
      <c r="T689" s="3"/>
      <c r="U689" s="3"/>
      <c r="V689" s="3"/>
      <c r="W689" s="3"/>
      <c r="X689" s="3"/>
      <c r="Y689" s="3"/>
      <c r="Z689" s="3"/>
      <c r="AA689" s="3"/>
      <c r="AB689" s="3"/>
      <c r="AC689" s="3"/>
      <c r="AD689" s="3"/>
      <c r="AE689" s="3"/>
      <c r="AF689" s="3"/>
    </row>
    <row r="690" spans="1:32" x14ac:dyDescent="0.15">
      <c r="A690" s="3"/>
      <c r="I690" s="3"/>
      <c r="J690" s="3"/>
      <c r="K690" s="3"/>
      <c r="L690" s="139"/>
      <c r="M690" s="3"/>
      <c r="N690" s="3"/>
      <c r="O690" s="3"/>
      <c r="P690" s="3"/>
      <c r="Q690" s="3"/>
      <c r="R690" s="3"/>
      <c r="S690" s="3"/>
      <c r="T690" s="3"/>
      <c r="U690" s="3"/>
      <c r="V690" s="3"/>
      <c r="W690" s="3"/>
      <c r="X690" s="3"/>
      <c r="Y690" s="3"/>
      <c r="Z690" s="3"/>
      <c r="AA690" s="3"/>
      <c r="AB690" s="3"/>
      <c r="AC690" s="3"/>
      <c r="AD690" s="3"/>
      <c r="AE690" s="3"/>
      <c r="AF690" s="3"/>
    </row>
    <row r="691" spans="1:32" x14ac:dyDescent="0.15">
      <c r="A691" s="3"/>
      <c r="I691" s="3"/>
      <c r="J691" s="3"/>
      <c r="K691" s="3"/>
      <c r="L691" s="139"/>
      <c r="M691" s="3"/>
      <c r="N691" s="3"/>
      <c r="O691" s="3"/>
      <c r="P691" s="3"/>
      <c r="Q691" s="3"/>
      <c r="R691" s="3"/>
      <c r="S691" s="3"/>
      <c r="T691" s="3"/>
      <c r="U691" s="3"/>
      <c r="V691" s="3"/>
      <c r="W691" s="3"/>
      <c r="X691" s="3"/>
      <c r="Y691" s="3"/>
      <c r="Z691" s="3"/>
      <c r="AA691" s="3"/>
      <c r="AB691" s="3"/>
      <c r="AC691" s="3"/>
      <c r="AD691" s="3"/>
      <c r="AE691" s="3"/>
      <c r="AF691" s="3"/>
    </row>
    <row r="692" spans="1:32" x14ac:dyDescent="0.15">
      <c r="A692" s="3"/>
      <c r="I692" s="3"/>
      <c r="J692" s="3"/>
      <c r="K692" s="3"/>
      <c r="L692" s="139"/>
      <c r="M692" s="3"/>
      <c r="N692" s="3"/>
      <c r="O692" s="3"/>
      <c r="P692" s="3"/>
      <c r="Q692" s="3"/>
      <c r="R692" s="3"/>
      <c r="S692" s="3"/>
      <c r="T692" s="3"/>
      <c r="U692" s="3"/>
      <c r="V692" s="3"/>
      <c r="W692" s="3"/>
      <c r="X692" s="3"/>
      <c r="Y692" s="3"/>
      <c r="Z692" s="3"/>
      <c r="AA692" s="3"/>
      <c r="AB692" s="3"/>
      <c r="AC692" s="3"/>
      <c r="AD692" s="3"/>
      <c r="AE692" s="3"/>
      <c r="AF692" s="3"/>
    </row>
    <row r="693" spans="1:32" x14ac:dyDescent="0.15">
      <c r="A693" s="3"/>
      <c r="I693" s="3"/>
      <c r="J693" s="3"/>
      <c r="K693" s="3"/>
      <c r="L693" s="139"/>
      <c r="M693" s="3"/>
      <c r="N693" s="3"/>
      <c r="O693" s="3"/>
      <c r="P693" s="3"/>
      <c r="Q693" s="3"/>
      <c r="R693" s="3"/>
      <c r="S693" s="3"/>
      <c r="T693" s="3"/>
      <c r="U693" s="3"/>
      <c r="V693" s="3"/>
      <c r="W693" s="3"/>
      <c r="X693" s="3"/>
      <c r="Y693" s="3"/>
      <c r="Z693" s="3"/>
      <c r="AA693" s="3"/>
      <c r="AB693" s="3"/>
      <c r="AC693" s="3"/>
      <c r="AD693" s="3"/>
      <c r="AE693" s="3"/>
      <c r="AF693" s="3"/>
    </row>
    <row r="694" spans="1:32" x14ac:dyDescent="0.15">
      <c r="A694" s="3"/>
      <c r="I694" s="3"/>
      <c r="J694" s="3"/>
      <c r="K694" s="3"/>
      <c r="L694" s="139"/>
      <c r="M694" s="3"/>
      <c r="N694" s="3"/>
      <c r="O694" s="3"/>
      <c r="P694" s="3"/>
      <c r="Q694" s="3"/>
      <c r="R694" s="3"/>
      <c r="S694" s="3"/>
      <c r="T694" s="3"/>
      <c r="U694" s="3"/>
      <c r="V694" s="3"/>
      <c r="W694" s="3"/>
      <c r="X694" s="3"/>
      <c r="Y694" s="3"/>
      <c r="Z694" s="3"/>
      <c r="AA694" s="3"/>
      <c r="AB694" s="3"/>
      <c r="AC694" s="3"/>
      <c r="AD694" s="3"/>
      <c r="AE694" s="3"/>
      <c r="AF694" s="3"/>
    </row>
    <row r="695" spans="1:32" x14ac:dyDescent="0.15">
      <c r="A695" s="3"/>
      <c r="I695" s="3"/>
      <c r="J695" s="3"/>
      <c r="K695" s="3"/>
      <c r="L695" s="139"/>
      <c r="M695" s="3"/>
      <c r="N695" s="3"/>
      <c r="O695" s="3"/>
      <c r="P695" s="3"/>
      <c r="Q695" s="3"/>
      <c r="R695" s="3"/>
      <c r="S695" s="3"/>
      <c r="T695" s="3"/>
      <c r="U695" s="3"/>
      <c r="V695" s="3"/>
      <c r="W695" s="3"/>
      <c r="X695" s="3"/>
      <c r="Y695" s="3"/>
      <c r="Z695" s="3"/>
      <c r="AA695" s="3"/>
      <c r="AB695" s="3"/>
      <c r="AC695" s="3"/>
      <c r="AD695" s="3"/>
      <c r="AE695" s="3"/>
      <c r="AF695" s="3"/>
    </row>
    <row r="696" spans="1:32" x14ac:dyDescent="0.15">
      <c r="A696" s="3"/>
      <c r="I696" s="3"/>
      <c r="J696" s="3"/>
      <c r="K696" s="3"/>
      <c r="L696" s="139"/>
      <c r="M696" s="3"/>
      <c r="N696" s="3"/>
      <c r="O696" s="3"/>
      <c r="P696" s="3"/>
      <c r="Q696" s="3"/>
      <c r="R696" s="3"/>
      <c r="S696" s="3"/>
      <c r="T696" s="3"/>
      <c r="U696" s="3"/>
      <c r="V696" s="3"/>
      <c r="W696" s="3"/>
      <c r="X696" s="3"/>
      <c r="Y696" s="3"/>
      <c r="Z696" s="3"/>
      <c r="AA696" s="3"/>
      <c r="AB696" s="3"/>
      <c r="AC696" s="3"/>
      <c r="AD696" s="3"/>
      <c r="AE696" s="3"/>
      <c r="AF696" s="3"/>
    </row>
    <row r="697" spans="1:32" x14ac:dyDescent="0.15">
      <c r="A697" s="3"/>
      <c r="I697" s="3"/>
      <c r="J697" s="3"/>
      <c r="K697" s="3"/>
      <c r="L697" s="139"/>
      <c r="M697" s="3"/>
      <c r="N697" s="3"/>
      <c r="O697" s="3"/>
      <c r="P697" s="3"/>
      <c r="Q697" s="3"/>
      <c r="R697" s="3"/>
      <c r="S697" s="3"/>
      <c r="T697" s="3"/>
      <c r="U697" s="3"/>
      <c r="V697" s="3"/>
      <c r="W697" s="3"/>
      <c r="X697" s="3"/>
      <c r="Y697" s="3"/>
      <c r="Z697" s="3"/>
      <c r="AA697" s="3"/>
      <c r="AB697" s="3"/>
      <c r="AC697" s="3"/>
      <c r="AD697" s="3"/>
      <c r="AE697" s="3"/>
      <c r="AF697" s="3"/>
    </row>
    <row r="698" spans="1:32" x14ac:dyDescent="0.15">
      <c r="A698" s="3"/>
      <c r="I698" s="3"/>
      <c r="J698" s="3"/>
      <c r="K698" s="3"/>
      <c r="L698" s="139"/>
      <c r="M698" s="3"/>
      <c r="N698" s="3"/>
      <c r="O698" s="3"/>
      <c r="P698" s="3"/>
      <c r="Q698" s="3"/>
      <c r="R698" s="3"/>
      <c r="S698" s="3"/>
      <c r="T698" s="3"/>
      <c r="U698" s="3"/>
      <c r="V698" s="3"/>
      <c r="W698" s="3"/>
      <c r="X698" s="3"/>
      <c r="Y698" s="3"/>
      <c r="Z698" s="3"/>
      <c r="AA698" s="3"/>
      <c r="AB698" s="3"/>
      <c r="AC698" s="3"/>
      <c r="AD698" s="3"/>
      <c r="AE698" s="3"/>
      <c r="AF698" s="3"/>
    </row>
    <row r="699" spans="1:32" x14ac:dyDescent="0.15">
      <c r="A699" s="3"/>
      <c r="I699" s="3"/>
      <c r="J699" s="3"/>
      <c r="K699" s="3"/>
      <c r="L699" s="139"/>
      <c r="M699" s="3"/>
      <c r="N699" s="3"/>
      <c r="O699" s="3"/>
      <c r="P699" s="3"/>
      <c r="Q699" s="3"/>
      <c r="R699" s="3"/>
      <c r="S699" s="3"/>
      <c r="T699" s="3"/>
      <c r="U699" s="3"/>
      <c r="V699" s="3"/>
      <c r="W699" s="3"/>
      <c r="X699" s="3"/>
      <c r="Y699" s="3"/>
      <c r="Z699" s="3"/>
      <c r="AA699" s="3"/>
      <c r="AB699" s="3"/>
      <c r="AC699" s="3"/>
      <c r="AD699" s="3"/>
      <c r="AE699" s="3"/>
      <c r="AF699" s="3"/>
    </row>
    <row r="700" spans="1:32" x14ac:dyDescent="0.15">
      <c r="A700" s="3"/>
      <c r="I700" s="3"/>
      <c r="J700" s="3"/>
      <c r="K700" s="3"/>
      <c r="L700" s="139"/>
      <c r="M700" s="3"/>
      <c r="N700" s="3"/>
      <c r="O700" s="3"/>
      <c r="P700" s="3"/>
      <c r="Q700" s="3"/>
      <c r="R700" s="3"/>
      <c r="S700" s="3"/>
      <c r="T700" s="3"/>
      <c r="U700" s="3"/>
      <c r="V700" s="3"/>
      <c r="W700" s="3"/>
      <c r="X700" s="3"/>
      <c r="Y700" s="3"/>
      <c r="Z700" s="3"/>
      <c r="AA700" s="3"/>
      <c r="AB700" s="3"/>
      <c r="AC700" s="3"/>
      <c r="AD700" s="3"/>
      <c r="AE700" s="3"/>
      <c r="AF700" s="3"/>
    </row>
    <row r="701" spans="1:32" x14ac:dyDescent="0.15">
      <c r="A701" s="3"/>
      <c r="I701" s="3"/>
      <c r="J701" s="3"/>
      <c r="K701" s="3"/>
      <c r="L701" s="139"/>
      <c r="M701" s="3"/>
      <c r="N701" s="3"/>
      <c r="O701" s="3"/>
      <c r="P701" s="3"/>
      <c r="Q701" s="3"/>
      <c r="R701" s="3"/>
      <c r="S701" s="3"/>
      <c r="T701" s="3"/>
      <c r="U701" s="3"/>
      <c r="V701" s="3"/>
      <c r="W701" s="3"/>
      <c r="X701" s="3"/>
      <c r="Y701" s="3"/>
      <c r="Z701" s="3"/>
      <c r="AA701" s="3"/>
      <c r="AB701" s="3"/>
      <c r="AC701" s="3"/>
      <c r="AD701" s="3"/>
      <c r="AE701" s="3"/>
      <c r="AF701" s="3"/>
    </row>
    <row r="702" spans="1:32" x14ac:dyDescent="0.15">
      <c r="A702" s="3"/>
      <c r="I702" s="3"/>
      <c r="J702" s="3"/>
      <c r="K702" s="3"/>
      <c r="L702" s="139"/>
      <c r="M702" s="3"/>
      <c r="N702" s="3"/>
      <c r="O702" s="3"/>
      <c r="P702" s="3"/>
      <c r="Q702" s="3"/>
      <c r="R702" s="3"/>
      <c r="S702" s="3"/>
      <c r="T702" s="3"/>
      <c r="U702" s="3"/>
      <c r="V702" s="3"/>
      <c r="W702" s="3"/>
      <c r="X702" s="3"/>
      <c r="Y702" s="3"/>
      <c r="Z702" s="3"/>
      <c r="AA702" s="3"/>
      <c r="AB702" s="3"/>
      <c r="AC702" s="3"/>
      <c r="AD702" s="3"/>
      <c r="AE702" s="3"/>
      <c r="AF702" s="3"/>
    </row>
    <row r="703" spans="1:32" x14ac:dyDescent="0.15">
      <c r="A703" s="3"/>
      <c r="I703" s="3"/>
      <c r="J703" s="3"/>
      <c r="K703" s="3"/>
      <c r="L703" s="139"/>
      <c r="M703" s="3"/>
      <c r="N703" s="3"/>
      <c r="O703" s="3"/>
      <c r="P703" s="3"/>
      <c r="Q703" s="3"/>
      <c r="R703" s="3"/>
      <c r="S703" s="3"/>
      <c r="T703" s="3"/>
      <c r="U703" s="3"/>
      <c r="V703" s="3"/>
      <c r="W703" s="3"/>
      <c r="X703" s="3"/>
      <c r="Y703" s="3"/>
      <c r="Z703" s="3"/>
      <c r="AA703" s="3"/>
      <c r="AB703" s="3"/>
      <c r="AC703" s="3"/>
      <c r="AD703" s="3"/>
      <c r="AE703" s="3"/>
      <c r="AF703" s="3"/>
    </row>
    <row r="704" spans="1:32" x14ac:dyDescent="0.15">
      <c r="A704" s="3"/>
      <c r="I704" s="3"/>
      <c r="J704" s="3"/>
      <c r="K704" s="3"/>
      <c r="L704" s="139"/>
      <c r="M704" s="3"/>
      <c r="N704" s="3"/>
      <c r="O704" s="3"/>
      <c r="P704" s="3"/>
      <c r="Q704" s="3"/>
      <c r="R704" s="3"/>
      <c r="S704" s="3"/>
      <c r="T704" s="3"/>
      <c r="U704" s="3"/>
      <c r="V704" s="3"/>
      <c r="W704" s="3"/>
      <c r="X704" s="3"/>
      <c r="Y704" s="3"/>
      <c r="Z704" s="3"/>
      <c r="AA704" s="3"/>
      <c r="AB704" s="3"/>
      <c r="AC704" s="3"/>
      <c r="AD704" s="3"/>
      <c r="AE704" s="3"/>
      <c r="AF704" s="3"/>
    </row>
    <row r="705" spans="1:32" x14ac:dyDescent="0.15">
      <c r="A705" s="3"/>
      <c r="I705" s="3"/>
      <c r="J705" s="3"/>
      <c r="K705" s="3"/>
      <c r="L705" s="139"/>
      <c r="M705" s="3"/>
      <c r="N705" s="3"/>
      <c r="O705" s="3"/>
      <c r="P705" s="3"/>
      <c r="Q705" s="3"/>
      <c r="R705" s="3"/>
      <c r="S705" s="3"/>
      <c r="T705" s="3"/>
      <c r="U705" s="3"/>
      <c r="V705" s="3"/>
      <c r="W705" s="3"/>
      <c r="X705" s="3"/>
      <c r="Y705" s="3"/>
      <c r="Z705" s="3"/>
      <c r="AA705" s="3"/>
      <c r="AB705" s="3"/>
      <c r="AC705" s="3"/>
      <c r="AD705" s="3"/>
      <c r="AE705" s="3"/>
      <c r="AF705" s="3"/>
    </row>
    <row r="706" spans="1:32" x14ac:dyDescent="0.15">
      <c r="A706" s="3"/>
      <c r="I706" s="3"/>
      <c r="J706" s="3"/>
      <c r="K706" s="3"/>
      <c r="L706" s="139"/>
      <c r="M706" s="3"/>
      <c r="N706" s="3"/>
      <c r="O706" s="3"/>
      <c r="P706" s="3"/>
      <c r="Q706" s="3"/>
      <c r="R706" s="3"/>
      <c r="S706" s="3"/>
      <c r="T706" s="3"/>
      <c r="U706" s="3"/>
      <c r="V706" s="3"/>
      <c r="W706" s="3"/>
      <c r="X706" s="3"/>
      <c r="Y706" s="3"/>
      <c r="Z706" s="3"/>
      <c r="AA706" s="3"/>
      <c r="AB706" s="3"/>
      <c r="AC706" s="3"/>
      <c r="AD706" s="3"/>
      <c r="AE706" s="3"/>
      <c r="AF706" s="3"/>
    </row>
    <row r="707" spans="1:32" x14ac:dyDescent="0.15">
      <c r="A707" s="3"/>
      <c r="I707" s="3"/>
      <c r="J707" s="3"/>
      <c r="K707" s="3"/>
      <c r="L707" s="139"/>
      <c r="M707" s="3"/>
      <c r="N707" s="3"/>
      <c r="O707" s="3"/>
      <c r="P707" s="3"/>
      <c r="Q707" s="3"/>
      <c r="R707" s="3"/>
      <c r="S707" s="3"/>
      <c r="T707" s="3"/>
      <c r="U707" s="3"/>
      <c r="V707" s="3"/>
      <c r="W707" s="3"/>
      <c r="X707" s="3"/>
      <c r="Y707" s="3"/>
      <c r="Z707" s="3"/>
      <c r="AA707" s="3"/>
      <c r="AB707" s="3"/>
      <c r="AC707" s="3"/>
      <c r="AD707" s="3"/>
      <c r="AE707" s="3"/>
      <c r="AF707" s="3"/>
    </row>
    <row r="708" spans="1:32" x14ac:dyDescent="0.15">
      <c r="A708" s="3"/>
      <c r="I708" s="3"/>
      <c r="J708" s="3"/>
      <c r="K708" s="3"/>
      <c r="L708" s="139"/>
      <c r="M708" s="3"/>
      <c r="N708" s="3"/>
      <c r="O708" s="3"/>
      <c r="P708" s="3"/>
      <c r="Q708" s="3"/>
      <c r="R708" s="3"/>
      <c r="S708" s="3"/>
      <c r="T708" s="3"/>
      <c r="U708" s="3"/>
      <c r="V708" s="3"/>
      <c r="W708" s="3"/>
      <c r="X708" s="3"/>
      <c r="Y708" s="3"/>
      <c r="Z708" s="3"/>
      <c r="AA708" s="3"/>
      <c r="AB708" s="3"/>
      <c r="AC708" s="3"/>
      <c r="AD708" s="3"/>
      <c r="AE708" s="3"/>
      <c r="AF708" s="3"/>
    </row>
    <row r="709" spans="1:32" x14ac:dyDescent="0.15">
      <c r="A709" s="3"/>
      <c r="I709" s="3"/>
      <c r="J709" s="3"/>
      <c r="K709" s="3"/>
      <c r="L709" s="139"/>
      <c r="M709" s="3"/>
      <c r="N709" s="3"/>
      <c r="O709" s="3"/>
      <c r="P709" s="3"/>
      <c r="Q709" s="3"/>
      <c r="R709" s="3"/>
      <c r="S709" s="3"/>
      <c r="T709" s="3"/>
      <c r="U709" s="3"/>
      <c r="V709" s="3"/>
      <c r="W709" s="3"/>
      <c r="X709" s="3"/>
      <c r="Y709" s="3"/>
      <c r="Z709" s="3"/>
      <c r="AA709" s="3"/>
      <c r="AB709" s="3"/>
      <c r="AC709" s="3"/>
      <c r="AD709" s="3"/>
      <c r="AE709" s="3"/>
      <c r="AF709" s="3"/>
    </row>
    <row r="710" spans="1:32" x14ac:dyDescent="0.15">
      <c r="A710" s="3"/>
      <c r="I710" s="3"/>
      <c r="J710" s="3"/>
      <c r="K710" s="3"/>
      <c r="L710" s="139"/>
      <c r="M710" s="3"/>
      <c r="N710" s="3"/>
      <c r="O710" s="3"/>
      <c r="P710" s="3"/>
      <c r="Q710" s="3"/>
      <c r="R710" s="3"/>
      <c r="S710" s="3"/>
      <c r="T710" s="3"/>
      <c r="U710" s="3"/>
      <c r="V710" s="3"/>
      <c r="W710" s="3"/>
      <c r="X710" s="3"/>
      <c r="Y710" s="3"/>
      <c r="Z710" s="3"/>
      <c r="AA710" s="3"/>
      <c r="AB710" s="3"/>
      <c r="AC710" s="3"/>
      <c r="AD710" s="3"/>
      <c r="AE710" s="3"/>
      <c r="AF710" s="3"/>
    </row>
    <row r="711" spans="1:32" x14ac:dyDescent="0.15">
      <c r="A711" s="3"/>
      <c r="I711" s="3"/>
      <c r="J711" s="3"/>
      <c r="K711" s="3"/>
      <c r="L711" s="139"/>
      <c r="M711" s="3"/>
      <c r="N711" s="3"/>
      <c r="O711" s="3"/>
      <c r="P711" s="3"/>
      <c r="Q711" s="3"/>
      <c r="R711" s="3"/>
      <c r="S711" s="3"/>
      <c r="T711" s="3"/>
      <c r="U711" s="3"/>
      <c r="V711" s="3"/>
      <c r="W711" s="3"/>
      <c r="X711" s="3"/>
      <c r="Y711" s="3"/>
      <c r="Z711" s="3"/>
      <c r="AA711" s="3"/>
      <c r="AB711" s="3"/>
      <c r="AC711" s="3"/>
      <c r="AD711" s="3"/>
      <c r="AE711" s="3"/>
      <c r="AF711" s="3"/>
    </row>
    <row r="712" spans="1:32" x14ac:dyDescent="0.15">
      <c r="A712" s="3"/>
      <c r="I712" s="3"/>
      <c r="J712" s="3"/>
      <c r="K712" s="3"/>
      <c r="L712" s="139"/>
      <c r="M712" s="3"/>
      <c r="N712" s="3"/>
      <c r="O712" s="3"/>
      <c r="P712" s="3"/>
      <c r="Q712" s="3"/>
      <c r="R712" s="3"/>
      <c r="S712" s="3"/>
      <c r="T712" s="3"/>
      <c r="U712" s="3"/>
      <c r="V712" s="3"/>
      <c r="W712" s="3"/>
      <c r="X712" s="3"/>
      <c r="Y712" s="3"/>
      <c r="Z712" s="3"/>
      <c r="AA712" s="3"/>
      <c r="AB712" s="3"/>
      <c r="AC712" s="3"/>
      <c r="AD712" s="3"/>
      <c r="AE712" s="3"/>
      <c r="AF712" s="3"/>
    </row>
    <row r="713" spans="1:32" x14ac:dyDescent="0.15">
      <c r="A713" s="3"/>
      <c r="I713" s="3"/>
      <c r="J713" s="3"/>
      <c r="K713" s="3"/>
      <c r="L713" s="139"/>
      <c r="M713" s="3"/>
      <c r="N713" s="3"/>
      <c r="O713" s="3"/>
      <c r="P713" s="3"/>
      <c r="Q713" s="3"/>
      <c r="R713" s="3"/>
      <c r="S713" s="3"/>
      <c r="T713" s="3"/>
      <c r="U713" s="3"/>
      <c r="V713" s="3"/>
      <c r="W713" s="3"/>
      <c r="X713" s="3"/>
      <c r="Y713" s="3"/>
      <c r="Z713" s="3"/>
      <c r="AA713" s="3"/>
      <c r="AB713" s="3"/>
      <c r="AC713" s="3"/>
      <c r="AD713" s="3"/>
      <c r="AE713" s="3"/>
      <c r="AF713" s="3"/>
    </row>
    <row r="714" spans="1:32" x14ac:dyDescent="0.15">
      <c r="A714" s="3"/>
      <c r="I714" s="3"/>
      <c r="J714" s="3"/>
      <c r="K714" s="3"/>
      <c r="L714" s="139"/>
      <c r="M714" s="3"/>
      <c r="N714" s="3"/>
      <c r="O714" s="3"/>
      <c r="P714" s="3"/>
      <c r="Q714" s="3"/>
      <c r="R714" s="3"/>
      <c r="S714" s="3"/>
      <c r="T714" s="3"/>
      <c r="U714" s="3"/>
      <c r="V714" s="3"/>
      <c r="W714" s="3"/>
      <c r="X714" s="3"/>
      <c r="Y714" s="3"/>
      <c r="Z714" s="3"/>
      <c r="AA714" s="3"/>
      <c r="AB714" s="3"/>
      <c r="AC714" s="3"/>
      <c r="AD714" s="3"/>
      <c r="AE714" s="3"/>
      <c r="AF714" s="3"/>
    </row>
    <row r="715" spans="1:32" x14ac:dyDescent="0.15">
      <c r="A715" s="3"/>
      <c r="I715" s="3"/>
      <c r="J715" s="3"/>
      <c r="K715" s="3"/>
      <c r="L715" s="139"/>
      <c r="M715" s="3"/>
      <c r="N715" s="3"/>
      <c r="O715" s="3"/>
      <c r="P715" s="3"/>
      <c r="Q715" s="3"/>
      <c r="R715" s="3"/>
      <c r="S715" s="3"/>
      <c r="T715" s="3"/>
      <c r="U715" s="3"/>
      <c r="V715" s="3"/>
      <c r="W715" s="3"/>
      <c r="X715" s="3"/>
      <c r="Y715" s="3"/>
      <c r="Z715" s="3"/>
      <c r="AA715" s="3"/>
      <c r="AB715" s="3"/>
      <c r="AC715" s="3"/>
      <c r="AD715" s="3"/>
      <c r="AE715" s="3"/>
      <c r="AF715" s="3"/>
    </row>
    <row r="716" spans="1:32" x14ac:dyDescent="0.15">
      <c r="A716" s="3"/>
      <c r="I716" s="3"/>
      <c r="J716" s="3"/>
      <c r="K716" s="3"/>
      <c r="L716" s="139"/>
      <c r="M716" s="3"/>
      <c r="N716" s="3"/>
      <c r="O716" s="3"/>
      <c r="P716" s="3"/>
      <c r="Q716" s="3"/>
      <c r="R716" s="3"/>
      <c r="S716" s="3"/>
      <c r="T716" s="3"/>
      <c r="U716" s="3"/>
      <c r="V716" s="3"/>
      <c r="W716" s="3"/>
      <c r="X716" s="3"/>
      <c r="Y716" s="3"/>
      <c r="Z716" s="3"/>
      <c r="AA716" s="3"/>
      <c r="AB716" s="3"/>
      <c r="AC716" s="3"/>
      <c r="AD716" s="3"/>
      <c r="AE716" s="3"/>
      <c r="AF716" s="3"/>
    </row>
    <row r="717" spans="1:32" x14ac:dyDescent="0.15">
      <c r="A717" s="3"/>
      <c r="I717" s="3"/>
      <c r="J717" s="3"/>
      <c r="K717" s="3"/>
      <c r="L717" s="139"/>
      <c r="M717" s="3"/>
      <c r="N717" s="3"/>
      <c r="O717" s="3"/>
      <c r="P717" s="3"/>
      <c r="Q717" s="3"/>
      <c r="R717" s="3"/>
      <c r="S717" s="3"/>
      <c r="T717" s="3"/>
      <c r="U717" s="3"/>
      <c r="V717" s="3"/>
      <c r="W717" s="3"/>
      <c r="X717" s="3"/>
      <c r="Y717" s="3"/>
      <c r="Z717" s="3"/>
      <c r="AA717" s="3"/>
      <c r="AB717" s="3"/>
      <c r="AC717" s="3"/>
      <c r="AD717" s="3"/>
      <c r="AE717" s="3"/>
      <c r="AF717" s="3"/>
    </row>
    <row r="718" spans="1:32" x14ac:dyDescent="0.15">
      <c r="A718" s="3"/>
      <c r="I718" s="3"/>
      <c r="J718" s="3"/>
      <c r="K718" s="3"/>
      <c r="L718" s="139"/>
      <c r="M718" s="3"/>
      <c r="N718" s="3"/>
      <c r="O718" s="3"/>
      <c r="P718" s="3"/>
      <c r="Q718" s="3"/>
      <c r="R718" s="3"/>
      <c r="S718" s="3"/>
      <c r="T718" s="3"/>
      <c r="U718" s="3"/>
      <c r="V718" s="3"/>
      <c r="W718" s="3"/>
      <c r="X718" s="3"/>
      <c r="Y718" s="3"/>
      <c r="Z718" s="3"/>
      <c r="AA718" s="3"/>
      <c r="AB718" s="3"/>
      <c r="AC718" s="3"/>
      <c r="AD718" s="3"/>
      <c r="AE718" s="3"/>
      <c r="AF718" s="3"/>
    </row>
    <row r="719" spans="1:32" x14ac:dyDescent="0.15">
      <c r="A719" s="3"/>
      <c r="I719" s="3"/>
      <c r="J719" s="3"/>
      <c r="K719" s="3"/>
      <c r="L719" s="139"/>
      <c r="M719" s="3"/>
      <c r="N719" s="3"/>
      <c r="O719" s="3"/>
      <c r="P719" s="3"/>
      <c r="Q719" s="3"/>
      <c r="R719" s="3"/>
      <c r="S719" s="3"/>
      <c r="T719" s="3"/>
      <c r="U719" s="3"/>
      <c r="V719" s="3"/>
      <c r="W719" s="3"/>
      <c r="X719" s="3"/>
      <c r="Y719" s="3"/>
      <c r="Z719" s="3"/>
      <c r="AA719" s="3"/>
      <c r="AB719" s="3"/>
      <c r="AC719" s="3"/>
      <c r="AD719" s="3"/>
      <c r="AE719" s="3"/>
      <c r="AF719" s="3"/>
    </row>
    <row r="720" spans="1:32" x14ac:dyDescent="0.15">
      <c r="A720" s="3"/>
      <c r="I720" s="3"/>
      <c r="J720" s="3"/>
      <c r="K720" s="3"/>
      <c r="L720" s="139"/>
      <c r="M720" s="3"/>
      <c r="N720" s="3"/>
      <c r="O720" s="3"/>
      <c r="P720" s="3"/>
      <c r="Q720" s="3"/>
      <c r="R720" s="3"/>
      <c r="S720" s="3"/>
      <c r="T720" s="3"/>
      <c r="U720" s="3"/>
      <c r="V720" s="3"/>
      <c r="W720" s="3"/>
      <c r="X720" s="3"/>
      <c r="Y720" s="3"/>
      <c r="Z720" s="3"/>
      <c r="AA720" s="3"/>
      <c r="AB720" s="3"/>
      <c r="AC720" s="3"/>
      <c r="AD720" s="3"/>
      <c r="AE720" s="3"/>
      <c r="AF720" s="3"/>
    </row>
    <row r="721" spans="1:32" x14ac:dyDescent="0.15">
      <c r="A721" s="3"/>
      <c r="I721" s="3"/>
      <c r="J721" s="3"/>
      <c r="K721" s="3"/>
      <c r="L721" s="139"/>
      <c r="M721" s="3"/>
      <c r="N721" s="3"/>
      <c r="O721" s="3"/>
      <c r="P721" s="3"/>
      <c r="Q721" s="3"/>
      <c r="R721" s="3"/>
      <c r="S721" s="3"/>
      <c r="T721" s="3"/>
      <c r="U721" s="3"/>
      <c r="V721" s="3"/>
      <c r="W721" s="3"/>
      <c r="X721" s="3"/>
      <c r="Y721" s="3"/>
      <c r="Z721" s="3"/>
      <c r="AA721" s="3"/>
      <c r="AB721" s="3"/>
      <c r="AC721" s="3"/>
      <c r="AD721" s="3"/>
      <c r="AE721" s="3"/>
      <c r="AF721" s="3"/>
    </row>
    <row r="722" spans="1:32" x14ac:dyDescent="0.15">
      <c r="A722" s="3"/>
      <c r="I722" s="3"/>
      <c r="J722" s="3"/>
      <c r="K722" s="3"/>
      <c r="L722" s="139"/>
      <c r="M722" s="3"/>
      <c r="N722" s="3"/>
      <c r="O722" s="3"/>
      <c r="P722" s="3"/>
      <c r="Q722" s="3"/>
      <c r="R722" s="3"/>
      <c r="S722" s="3"/>
      <c r="T722" s="3"/>
      <c r="U722" s="3"/>
      <c r="V722" s="3"/>
      <c r="W722" s="3"/>
      <c r="X722" s="3"/>
      <c r="Y722" s="3"/>
      <c r="Z722" s="3"/>
      <c r="AA722" s="3"/>
      <c r="AB722" s="3"/>
      <c r="AC722" s="3"/>
      <c r="AD722" s="3"/>
      <c r="AE722" s="3"/>
      <c r="AF722" s="3"/>
    </row>
    <row r="723" spans="1:32" x14ac:dyDescent="0.15">
      <c r="A723" s="3"/>
      <c r="I723" s="3"/>
      <c r="J723" s="3"/>
      <c r="K723" s="3"/>
      <c r="L723" s="139"/>
      <c r="M723" s="3"/>
      <c r="N723" s="3"/>
      <c r="O723" s="3"/>
      <c r="P723" s="3"/>
      <c r="Q723" s="3"/>
      <c r="R723" s="3"/>
      <c r="S723" s="3"/>
      <c r="T723" s="3"/>
      <c r="U723" s="3"/>
      <c r="V723" s="3"/>
      <c r="W723" s="3"/>
      <c r="X723" s="3"/>
      <c r="Y723" s="3"/>
      <c r="Z723" s="3"/>
      <c r="AA723" s="3"/>
      <c r="AB723" s="3"/>
      <c r="AC723" s="3"/>
      <c r="AD723" s="3"/>
      <c r="AE723" s="3"/>
      <c r="AF723" s="3"/>
    </row>
    <row r="724" spans="1:32" x14ac:dyDescent="0.15">
      <c r="A724" s="3"/>
      <c r="I724" s="3"/>
      <c r="J724" s="3"/>
      <c r="K724" s="3"/>
      <c r="L724" s="139"/>
      <c r="M724" s="3"/>
      <c r="N724" s="3"/>
      <c r="O724" s="3"/>
      <c r="P724" s="3"/>
      <c r="Q724" s="3"/>
      <c r="R724" s="3"/>
      <c r="S724" s="3"/>
      <c r="T724" s="3"/>
      <c r="U724" s="3"/>
      <c r="V724" s="3"/>
      <c r="W724" s="3"/>
      <c r="X724" s="3"/>
      <c r="Y724" s="3"/>
      <c r="Z724" s="3"/>
      <c r="AA724" s="3"/>
      <c r="AB724" s="3"/>
      <c r="AC724" s="3"/>
      <c r="AD724" s="3"/>
      <c r="AE724" s="3"/>
      <c r="AF724" s="3"/>
    </row>
    <row r="725" spans="1:32" x14ac:dyDescent="0.15">
      <c r="A725" s="3"/>
      <c r="I725" s="3"/>
      <c r="J725" s="3"/>
      <c r="K725" s="3"/>
      <c r="L725" s="139"/>
      <c r="M725" s="3"/>
      <c r="N725" s="3"/>
      <c r="O725" s="3"/>
      <c r="P725" s="3"/>
      <c r="Q725" s="3"/>
      <c r="R725" s="3"/>
      <c r="S725" s="3"/>
      <c r="T725" s="3"/>
      <c r="U725" s="3"/>
      <c r="V725" s="3"/>
      <c r="W725" s="3"/>
      <c r="X725" s="3"/>
      <c r="Y725" s="3"/>
      <c r="Z725" s="3"/>
      <c r="AA725" s="3"/>
      <c r="AB725" s="3"/>
      <c r="AC725" s="3"/>
      <c r="AD725" s="3"/>
      <c r="AE725" s="3"/>
      <c r="AF725" s="3"/>
    </row>
    <row r="726" spans="1:32" x14ac:dyDescent="0.15">
      <c r="A726" s="3"/>
      <c r="I726" s="3"/>
      <c r="J726" s="3"/>
      <c r="K726" s="3"/>
      <c r="L726" s="139"/>
      <c r="M726" s="3"/>
      <c r="N726" s="3"/>
      <c r="O726" s="3"/>
      <c r="P726" s="3"/>
      <c r="Q726" s="3"/>
      <c r="R726" s="3"/>
      <c r="S726" s="3"/>
      <c r="T726" s="3"/>
      <c r="U726" s="3"/>
      <c r="V726" s="3"/>
      <c r="W726" s="3"/>
      <c r="X726" s="3"/>
      <c r="Y726" s="3"/>
      <c r="Z726" s="3"/>
      <c r="AA726" s="3"/>
      <c r="AB726" s="3"/>
      <c r="AC726" s="3"/>
      <c r="AD726" s="3"/>
      <c r="AE726" s="3"/>
      <c r="AF726" s="3"/>
    </row>
    <row r="727" spans="1:32" x14ac:dyDescent="0.15">
      <c r="A727" s="3"/>
      <c r="I727" s="3"/>
      <c r="J727" s="3"/>
      <c r="K727" s="3"/>
      <c r="L727" s="139"/>
      <c r="M727" s="3"/>
      <c r="N727" s="3"/>
      <c r="O727" s="3"/>
      <c r="P727" s="3"/>
      <c r="Q727" s="3"/>
      <c r="R727" s="3"/>
      <c r="S727" s="3"/>
      <c r="T727" s="3"/>
      <c r="U727" s="3"/>
      <c r="V727" s="3"/>
      <c r="W727" s="3"/>
      <c r="X727" s="3"/>
      <c r="Y727" s="3"/>
      <c r="Z727" s="3"/>
      <c r="AA727" s="3"/>
      <c r="AB727" s="3"/>
      <c r="AC727" s="3"/>
      <c r="AD727" s="3"/>
      <c r="AE727" s="3"/>
      <c r="AF727" s="3"/>
    </row>
    <row r="728" spans="1:32" x14ac:dyDescent="0.15">
      <c r="A728" s="3"/>
      <c r="I728" s="3"/>
      <c r="J728" s="3"/>
      <c r="K728" s="3"/>
      <c r="L728" s="139"/>
      <c r="M728" s="3"/>
      <c r="N728" s="3"/>
      <c r="O728" s="3"/>
      <c r="P728" s="3"/>
      <c r="Q728" s="3"/>
      <c r="R728" s="3"/>
      <c r="S728" s="3"/>
      <c r="T728" s="3"/>
      <c r="U728" s="3"/>
      <c r="V728" s="3"/>
      <c r="W728" s="3"/>
      <c r="X728" s="3"/>
      <c r="Y728" s="3"/>
      <c r="Z728" s="3"/>
      <c r="AA728" s="3"/>
      <c r="AB728" s="3"/>
      <c r="AC728" s="3"/>
      <c r="AD728" s="3"/>
      <c r="AE728" s="3"/>
      <c r="AF728" s="3"/>
    </row>
    <row r="729" spans="1:32" x14ac:dyDescent="0.15">
      <c r="A729" s="3"/>
      <c r="I729" s="3"/>
      <c r="J729" s="3"/>
      <c r="K729" s="3"/>
      <c r="L729" s="139"/>
      <c r="M729" s="3"/>
      <c r="N729" s="3"/>
      <c r="O729" s="3"/>
      <c r="P729" s="3"/>
      <c r="Q729" s="3"/>
      <c r="R729" s="3"/>
      <c r="S729" s="3"/>
      <c r="T729" s="3"/>
      <c r="U729" s="3"/>
      <c r="V729" s="3"/>
      <c r="W729" s="3"/>
      <c r="X729" s="3"/>
      <c r="Y729" s="3"/>
      <c r="Z729" s="3"/>
      <c r="AA729" s="3"/>
      <c r="AB729" s="3"/>
      <c r="AC729" s="3"/>
      <c r="AD729" s="3"/>
      <c r="AE729" s="3"/>
      <c r="AF729" s="3"/>
    </row>
    <row r="730" spans="1:32" x14ac:dyDescent="0.15">
      <c r="A730" s="3"/>
      <c r="I730" s="3"/>
      <c r="J730" s="3"/>
      <c r="K730" s="3"/>
      <c r="L730" s="139"/>
      <c r="M730" s="3"/>
      <c r="N730" s="3"/>
      <c r="O730" s="3"/>
      <c r="P730" s="3"/>
      <c r="Q730" s="3"/>
      <c r="R730" s="3"/>
      <c r="S730" s="3"/>
      <c r="T730" s="3"/>
      <c r="U730" s="3"/>
      <c r="V730" s="3"/>
      <c r="W730" s="3"/>
      <c r="X730" s="3"/>
      <c r="Y730" s="3"/>
      <c r="Z730" s="3"/>
      <c r="AA730" s="3"/>
      <c r="AB730" s="3"/>
      <c r="AC730" s="3"/>
      <c r="AD730" s="3"/>
      <c r="AE730" s="3"/>
      <c r="AF730" s="3"/>
    </row>
    <row r="731" spans="1:32" x14ac:dyDescent="0.15">
      <c r="A731" s="3"/>
      <c r="I731" s="3"/>
      <c r="J731" s="3"/>
      <c r="K731" s="3"/>
      <c r="L731" s="139"/>
      <c r="M731" s="3"/>
      <c r="N731" s="3"/>
      <c r="O731" s="3"/>
      <c r="P731" s="3"/>
      <c r="Q731" s="3"/>
      <c r="R731" s="3"/>
      <c r="S731" s="3"/>
      <c r="T731" s="3"/>
      <c r="U731" s="3"/>
      <c r="V731" s="3"/>
      <c r="W731" s="3"/>
      <c r="X731" s="3"/>
      <c r="Y731" s="3"/>
      <c r="Z731" s="3"/>
      <c r="AA731" s="3"/>
      <c r="AB731" s="3"/>
      <c r="AC731" s="3"/>
      <c r="AD731" s="3"/>
      <c r="AE731" s="3"/>
      <c r="AF731" s="3"/>
    </row>
    <row r="732" spans="1:32" x14ac:dyDescent="0.15">
      <c r="A732" s="3"/>
      <c r="I732" s="3"/>
      <c r="J732" s="3"/>
      <c r="K732" s="3"/>
      <c r="L732" s="139"/>
      <c r="M732" s="3"/>
      <c r="N732" s="3"/>
      <c r="O732" s="3"/>
      <c r="P732" s="3"/>
      <c r="Q732" s="3"/>
      <c r="R732" s="3"/>
      <c r="S732" s="3"/>
      <c r="T732" s="3"/>
      <c r="U732" s="3"/>
      <c r="V732" s="3"/>
      <c r="W732" s="3"/>
      <c r="X732" s="3"/>
      <c r="Y732" s="3"/>
      <c r="Z732" s="3"/>
      <c r="AA732" s="3"/>
      <c r="AB732" s="3"/>
      <c r="AC732" s="3"/>
      <c r="AD732" s="3"/>
      <c r="AE732" s="3"/>
      <c r="AF732" s="3"/>
    </row>
    <row r="733" spans="1:32" x14ac:dyDescent="0.15">
      <c r="A733" s="3"/>
      <c r="I733" s="3"/>
      <c r="J733" s="3"/>
      <c r="K733" s="3"/>
      <c r="L733" s="139"/>
      <c r="M733" s="3"/>
      <c r="N733" s="3"/>
      <c r="O733" s="3"/>
      <c r="P733" s="3"/>
      <c r="Q733" s="3"/>
      <c r="R733" s="3"/>
      <c r="S733" s="3"/>
      <c r="T733" s="3"/>
      <c r="U733" s="3"/>
      <c r="V733" s="3"/>
      <c r="W733" s="3"/>
      <c r="X733" s="3"/>
      <c r="Y733" s="3"/>
      <c r="Z733" s="3"/>
      <c r="AA733" s="3"/>
      <c r="AB733" s="3"/>
      <c r="AC733" s="3"/>
      <c r="AD733" s="3"/>
      <c r="AE733" s="3"/>
      <c r="AF733" s="3"/>
    </row>
    <row r="734" spans="1:32" x14ac:dyDescent="0.15">
      <c r="A734" s="3"/>
      <c r="I734" s="3"/>
      <c r="J734" s="3"/>
      <c r="K734" s="3"/>
      <c r="L734" s="139"/>
      <c r="M734" s="3"/>
      <c r="N734" s="3"/>
      <c r="O734" s="3"/>
      <c r="P734" s="3"/>
      <c r="Q734" s="3"/>
      <c r="R734" s="3"/>
      <c r="S734" s="3"/>
      <c r="T734" s="3"/>
      <c r="U734" s="3"/>
      <c r="V734" s="3"/>
      <c r="W734" s="3"/>
      <c r="X734" s="3"/>
      <c r="Y734" s="3"/>
      <c r="Z734" s="3"/>
      <c r="AA734" s="3"/>
      <c r="AB734" s="3"/>
      <c r="AC734" s="3"/>
      <c r="AD734" s="3"/>
      <c r="AE734" s="3"/>
      <c r="AF734" s="3"/>
    </row>
    <row r="735" spans="1:32" x14ac:dyDescent="0.15">
      <c r="A735" s="3"/>
      <c r="I735" s="3"/>
      <c r="J735" s="3"/>
      <c r="K735" s="3"/>
      <c r="L735" s="139"/>
      <c r="M735" s="3"/>
      <c r="N735" s="3"/>
      <c r="O735" s="3"/>
      <c r="P735" s="3"/>
      <c r="Q735" s="3"/>
      <c r="R735" s="3"/>
      <c r="S735" s="3"/>
      <c r="T735" s="3"/>
      <c r="U735" s="3"/>
      <c r="V735" s="3"/>
      <c r="W735" s="3"/>
      <c r="X735" s="3"/>
      <c r="Y735" s="3"/>
      <c r="Z735" s="3"/>
      <c r="AA735" s="3"/>
      <c r="AB735" s="3"/>
      <c r="AC735" s="3"/>
      <c r="AD735" s="3"/>
      <c r="AE735" s="3"/>
      <c r="AF735" s="3"/>
    </row>
    <row r="736" spans="1:32" x14ac:dyDescent="0.15">
      <c r="A736" s="3"/>
      <c r="I736" s="3"/>
      <c r="J736" s="3"/>
      <c r="K736" s="3"/>
      <c r="L736" s="139"/>
      <c r="M736" s="3"/>
      <c r="N736" s="3"/>
      <c r="O736" s="3"/>
      <c r="P736" s="3"/>
      <c r="Q736" s="3"/>
      <c r="R736" s="3"/>
      <c r="S736" s="3"/>
      <c r="T736" s="3"/>
      <c r="U736" s="3"/>
      <c r="V736" s="3"/>
      <c r="W736" s="3"/>
      <c r="X736" s="3"/>
      <c r="Y736" s="3"/>
      <c r="Z736" s="3"/>
      <c r="AA736" s="3"/>
      <c r="AB736" s="3"/>
      <c r="AC736" s="3"/>
      <c r="AD736" s="3"/>
      <c r="AE736" s="3"/>
      <c r="AF736" s="3"/>
    </row>
    <row r="737" spans="1:32" x14ac:dyDescent="0.15">
      <c r="A737" s="3"/>
      <c r="I737" s="3"/>
      <c r="J737" s="3"/>
      <c r="K737" s="3"/>
      <c r="L737" s="139"/>
      <c r="M737" s="3"/>
      <c r="N737" s="3"/>
      <c r="O737" s="3"/>
      <c r="P737" s="3"/>
      <c r="Q737" s="3"/>
      <c r="R737" s="3"/>
      <c r="S737" s="3"/>
      <c r="T737" s="3"/>
      <c r="U737" s="3"/>
      <c r="V737" s="3"/>
      <c r="W737" s="3"/>
      <c r="X737" s="3"/>
      <c r="Y737" s="3"/>
      <c r="Z737" s="3"/>
      <c r="AA737" s="3"/>
      <c r="AB737" s="3"/>
      <c r="AC737" s="3"/>
      <c r="AD737" s="3"/>
      <c r="AE737" s="3"/>
      <c r="AF737" s="3"/>
    </row>
    <row r="738" spans="1:32" x14ac:dyDescent="0.15">
      <c r="A738" s="3"/>
      <c r="I738" s="3"/>
      <c r="J738" s="3"/>
      <c r="K738" s="3"/>
      <c r="L738" s="139"/>
      <c r="M738" s="3"/>
      <c r="N738" s="3"/>
      <c r="O738" s="3"/>
      <c r="P738" s="3"/>
      <c r="Q738" s="3"/>
      <c r="R738" s="3"/>
      <c r="S738" s="3"/>
      <c r="T738" s="3"/>
      <c r="U738" s="3"/>
      <c r="V738" s="3"/>
      <c r="W738" s="3"/>
      <c r="X738" s="3"/>
      <c r="Y738" s="3"/>
      <c r="Z738" s="3"/>
      <c r="AA738" s="3"/>
      <c r="AB738" s="3"/>
      <c r="AC738" s="3"/>
      <c r="AD738" s="3"/>
      <c r="AE738" s="3"/>
      <c r="AF738" s="3"/>
    </row>
    <row r="739" spans="1:32" x14ac:dyDescent="0.15">
      <c r="A739" s="3"/>
      <c r="I739" s="3"/>
      <c r="J739" s="3"/>
      <c r="K739" s="3"/>
      <c r="L739" s="139"/>
      <c r="M739" s="3"/>
      <c r="N739" s="3"/>
      <c r="O739" s="3"/>
      <c r="P739" s="3"/>
      <c r="Q739" s="3"/>
      <c r="R739" s="3"/>
      <c r="S739" s="3"/>
      <c r="T739" s="3"/>
      <c r="U739" s="3"/>
      <c r="V739" s="3"/>
      <c r="W739" s="3"/>
      <c r="X739" s="3"/>
      <c r="Y739" s="3"/>
      <c r="Z739" s="3"/>
      <c r="AA739" s="3"/>
      <c r="AB739" s="3"/>
      <c r="AC739" s="3"/>
      <c r="AD739" s="3"/>
      <c r="AE739" s="3"/>
      <c r="AF739" s="3"/>
    </row>
    <row r="740" spans="1:32" x14ac:dyDescent="0.15">
      <c r="A740" s="3"/>
      <c r="I740" s="3"/>
      <c r="J740" s="3"/>
      <c r="K740" s="3"/>
      <c r="L740" s="139"/>
      <c r="M740" s="3"/>
      <c r="N740" s="3"/>
      <c r="O740" s="3"/>
      <c r="P740" s="3"/>
      <c r="Q740" s="3"/>
      <c r="R740" s="3"/>
      <c r="S740" s="3"/>
      <c r="T740" s="3"/>
      <c r="U740" s="3"/>
      <c r="V740" s="3"/>
      <c r="W740" s="3"/>
      <c r="X740" s="3"/>
      <c r="Y740" s="3"/>
      <c r="Z740" s="3"/>
      <c r="AA740" s="3"/>
      <c r="AB740" s="3"/>
      <c r="AC740" s="3"/>
      <c r="AD740" s="3"/>
      <c r="AE740" s="3"/>
      <c r="AF740" s="3"/>
    </row>
    <row r="741" spans="1:32" x14ac:dyDescent="0.15">
      <c r="A741" s="3"/>
      <c r="I741" s="3"/>
      <c r="J741" s="3"/>
      <c r="K741" s="3"/>
      <c r="L741" s="139"/>
      <c r="M741" s="3"/>
      <c r="N741" s="3"/>
      <c r="O741" s="3"/>
      <c r="P741" s="3"/>
      <c r="Q741" s="3"/>
      <c r="R741" s="3"/>
      <c r="S741" s="3"/>
      <c r="T741" s="3"/>
      <c r="U741" s="3"/>
      <c r="V741" s="3"/>
      <c r="W741" s="3"/>
      <c r="X741" s="3"/>
      <c r="Y741" s="3"/>
      <c r="Z741" s="3"/>
      <c r="AA741" s="3"/>
      <c r="AB741" s="3"/>
      <c r="AC741" s="3"/>
      <c r="AD741" s="3"/>
      <c r="AE741" s="3"/>
      <c r="AF741" s="3"/>
    </row>
    <row r="742" spans="1:32" x14ac:dyDescent="0.15">
      <c r="A742" s="3"/>
      <c r="I742" s="3"/>
      <c r="J742" s="3"/>
      <c r="K742" s="3"/>
      <c r="L742" s="139"/>
      <c r="M742" s="3"/>
      <c r="N742" s="3"/>
      <c r="O742" s="3"/>
      <c r="P742" s="3"/>
      <c r="Q742" s="3"/>
      <c r="R742" s="3"/>
      <c r="S742" s="3"/>
      <c r="T742" s="3"/>
      <c r="U742" s="3"/>
      <c r="V742" s="3"/>
      <c r="W742" s="3"/>
      <c r="X742" s="3"/>
      <c r="Y742" s="3"/>
      <c r="Z742" s="3"/>
      <c r="AA742" s="3"/>
      <c r="AB742" s="3"/>
      <c r="AC742" s="3"/>
      <c r="AD742" s="3"/>
      <c r="AE742" s="3"/>
      <c r="AF742" s="3"/>
    </row>
    <row r="743" spans="1:32" x14ac:dyDescent="0.15">
      <c r="A743" s="3"/>
      <c r="I743" s="3"/>
      <c r="J743" s="3"/>
      <c r="K743" s="3"/>
      <c r="L743" s="139"/>
      <c r="M743" s="3"/>
      <c r="N743" s="3"/>
      <c r="O743" s="3"/>
      <c r="P743" s="3"/>
      <c r="Q743" s="3"/>
      <c r="R743" s="3"/>
      <c r="S743" s="3"/>
      <c r="T743" s="3"/>
      <c r="U743" s="3"/>
      <c r="V743" s="3"/>
      <c r="W743" s="3"/>
      <c r="X743" s="3"/>
      <c r="Y743" s="3"/>
      <c r="Z743" s="3"/>
      <c r="AA743" s="3"/>
      <c r="AB743" s="3"/>
      <c r="AC743" s="3"/>
      <c r="AD743" s="3"/>
      <c r="AE743" s="3"/>
      <c r="AF743" s="3"/>
    </row>
    <row r="744" spans="1:32" x14ac:dyDescent="0.15">
      <c r="A744" s="3"/>
      <c r="I744" s="3"/>
      <c r="J744" s="3"/>
      <c r="K744" s="3"/>
      <c r="L744" s="139"/>
      <c r="M744" s="3"/>
      <c r="N744" s="3"/>
      <c r="O744" s="3"/>
      <c r="P744" s="3"/>
      <c r="Q744" s="3"/>
      <c r="R744" s="3"/>
      <c r="S744" s="3"/>
      <c r="T744" s="3"/>
      <c r="U744" s="3"/>
      <c r="V744" s="3"/>
      <c r="W744" s="3"/>
      <c r="X744" s="3"/>
      <c r="Y744" s="3"/>
      <c r="Z744" s="3"/>
      <c r="AA744" s="3"/>
      <c r="AB744" s="3"/>
      <c r="AC744" s="3"/>
      <c r="AD744" s="3"/>
      <c r="AE744" s="3"/>
      <c r="AF744" s="3"/>
    </row>
    <row r="745" spans="1:32" x14ac:dyDescent="0.15">
      <c r="A745" s="3"/>
      <c r="I745" s="3"/>
      <c r="J745" s="3"/>
      <c r="K745" s="3"/>
      <c r="L745" s="139"/>
      <c r="M745" s="3"/>
      <c r="N745" s="3"/>
      <c r="O745" s="3"/>
      <c r="P745" s="3"/>
      <c r="Q745" s="3"/>
      <c r="R745" s="3"/>
      <c r="S745" s="3"/>
      <c r="T745" s="3"/>
      <c r="U745" s="3"/>
      <c r="V745" s="3"/>
      <c r="W745" s="3"/>
      <c r="X745" s="3"/>
      <c r="Y745" s="3"/>
      <c r="Z745" s="3"/>
      <c r="AA745" s="3"/>
      <c r="AB745" s="3"/>
      <c r="AC745" s="3"/>
      <c r="AD745" s="3"/>
      <c r="AE745" s="3"/>
      <c r="AF745" s="3"/>
    </row>
    <row r="746" spans="1:32" x14ac:dyDescent="0.15">
      <c r="A746" s="3"/>
      <c r="I746" s="3"/>
      <c r="J746" s="3"/>
      <c r="K746" s="3"/>
      <c r="L746" s="139"/>
      <c r="M746" s="3"/>
      <c r="N746" s="3"/>
      <c r="O746" s="3"/>
      <c r="P746" s="3"/>
      <c r="Q746" s="3"/>
      <c r="R746" s="3"/>
      <c r="S746" s="3"/>
      <c r="T746" s="3"/>
      <c r="U746" s="3"/>
      <c r="V746" s="3"/>
      <c r="W746" s="3"/>
      <c r="X746" s="3"/>
      <c r="Y746" s="3"/>
      <c r="Z746" s="3"/>
      <c r="AA746" s="3"/>
      <c r="AB746" s="3"/>
      <c r="AC746" s="3"/>
      <c r="AD746" s="3"/>
      <c r="AE746" s="3"/>
      <c r="AF746" s="3"/>
    </row>
    <row r="747" spans="1:32" x14ac:dyDescent="0.15">
      <c r="A747" s="3"/>
      <c r="I747" s="3"/>
      <c r="J747" s="3"/>
      <c r="K747" s="3"/>
      <c r="L747" s="139"/>
      <c r="M747" s="3"/>
      <c r="N747" s="3"/>
      <c r="O747" s="3"/>
      <c r="P747" s="3"/>
      <c r="Q747" s="3"/>
      <c r="R747" s="3"/>
      <c r="S747" s="3"/>
      <c r="T747" s="3"/>
      <c r="U747" s="3"/>
      <c r="V747" s="3"/>
      <c r="W747" s="3"/>
      <c r="X747" s="3"/>
      <c r="Y747" s="3"/>
      <c r="Z747" s="3"/>
      <c r="AA747" s="3"/>
      <c r="AB747" s="3"/>
      <c r="AC747" s="3"/>
      <c r="AD747" s="3"/>
      <c r="AE747" s="3"/>
      <c r="AF747" s="3"/>
    </row>
    <row r="748" spans="1:32" x14ac:dyDescent="0.15">
      <c r="A748" s="3"/>
      <c r="I748" s="3"/>
      <c r="J748" s="3"/>
      <c r="K748" s="3"/>
      <c r="L748" s="139"/>
      <c r="M748" s="3"/>
      <c r="N748" s="3"/>
      <c r="O748" s="3"/>
      <c r="P748" s="3"/>
      <c r="Q748" s="3"/>
      <c r="R748" s="3"/>
      <c r="S748" s="3"/>
      <c r="T748" s="3"/>
      <c r="U748" s="3"/>
      <c r="V748" s="3"/>
      <c r="W748" s="3"/>
      <c r="X748" s="3"/>
      <c r="Y748" s="3"/>
      <c r="Z748" s="3"/>
      <c r="AA748" s="3"/>
      <c r="AB748" s="3"/>
      <c r="AC748" s="3"/>
      <c r="AD748" s="3"/>
      <c r="AE748" s="3"/>
      <c r="AF748" s="3"/>
    </row>
    <row r="749" spans="1:32" x14ac:dyDescent="0.15">
      <c r="A749" s="3"/>
      <c r="I749" s="3"/>
      <c r="J749" s="3"/>
      <c r="K749" s="3"/>
      <c r="L749" s="139"/>
      <c r="M749" s="3"/>
      <c r="N749" s="3"/>
      <c r="O749" s="3"/>
      <c r="P749" s="3"/>
      <c r="Q749" s="3"/>
      <c r="R749" s="3"/>
      <c r="S749" s="3"/>
      <c r="T749" s="3"/>
      <c r="U749" s="3"/>
      <c r="V749" s="3"/>
      <c r="W749" s="3"/>
      <c r="X749" s="3"/>
      <c r="Y749" s="3"/>
      <c r="Z749" s="3"/>
      <c r="AA749" s="3"/>
      <c r="AB749" s="3"/>
      <c r="AC749" s="3"/>
      <c r="AD749" s="3"/>
      <c r="AE749" s="3"/>
      <c r="AF749" s="3"/>
    </row>
    <row r="750" spans="1:32" x14ac:dyDescent="0.15">
      <c r="A750" s="3"/>
      <c r="I750" s="3"/>
      <c r="J750" s="3"/>
      <c r="K750" s="3"/>
      <c r="L750" s="139"/>
      <c r="M750" s="3"/>
      <c r="N750" s="3"/>
      <c r="O750" s="3"/>
      <c r="P750" s="3"/>
      <c r="Q750" s="3"/>
      <c r="R750" s="3"/>
      <c r="S750" s="3"/>
      <c r="T750" s="3"/>
      <c r="U750" s="3"/>
      <c r="V750" s="3"/>
      <c r="W750" s="3"/>
      <c r="X750" s="3"/>
      <c r="Y750" s="3"/>
      <c r="Z750" s="3"/>
      <c r="AA750" s="3"/>
      <c r="AB750" s="3"/>
      <c r="AC750" s="3"/>
      <c r="AD750" s="3"/>
      <c r="AE750" s="3"/>
      <c r="AF750" s="3"/>
    </row>
    <row r="751" spans="1:32" x14ac:dyDescent="0.15">
      <c r="A751" s="3"/>
      <c r="I751" s="3"/>
      <c r="J751" s="3"/>
      <c r="K751" s="3"/>
      <c r="L751" s="139"/>
      <c r="M751" s="3"/>
      <c r="N751" s="3"/>
      <c r="O751" s="3"/>
      <c r="P751" s="3"/>
      <c r="Q751" s="3"/>
      <c r="R751" s="3"/>
      <c r="S751" s="3"/>
      <c r="T751" s="3"/>
      <c r="U751" s="3"/>
      <c r="V751" s="3"/>
      <c r="W751" s="3"/>
      <c r="X751" s="3"/>
      <c r="Y751" s="3"/>
      <c r="Z751" s="3"/>
      <c r="AA751" s="3"/>
      <c r="AB751" s="3"/>
      <c r="AC751" s="3"/>
      <c r="AD751" s="3"/>
      <c r="AE751" s="3"/>
      <c r="AF751" s="3"/>
    </row>
    <row r="752" spans="1:32" x14ac:dyDescent="0.15">
      <c r="A752" s="3"/>
      <c r="I752" s="3"/>
      <c r="J752" s="3"/>
      <c r="K752" s="3"/>
      <c r="L752" s="139"/>
      <c r="M752" s="3"/>
      <c r="N752" s="3"/>
      <c r="O752" s="3"/>
      <c r="P752" s="3"/>
      <c r="Q752" s="3"/>
      <c r="R752" s="3"/>
      <c r="S752" s="3"/>
      <c r="T752" s="3"/>
      <c r="U752" s="3"/>
      <c r="V752" s="3"/>
      <c r="W752" s="3"/>
      <c r="X752" s="3"/>
      <c r="Y752" s="3"/>
      <c r="Z752" s="3"/>
      <c r="AA752" s="3"/>
      <c r="AB752" s="3"/>
      <c r="AC752" s="3"/>
      <c r="AD752" s="3"/>
      <c r="AE752" s="3"/>
      <c r="AF752" s="3"/>
    </row>
    <row r="753" spans="1:32" x14ac:dyDescent="0.15">
      <c r="A753" s="3"/>
      <c r="I753" s="3"/>
      <c r="J753" s="3"/>
      <c r="K753" s="3"/>
      <c r="L753" s="139"/>
      <c r="M753" s="3"/>
      <c r="N753" s="3"/>
      <c r="O753" s="3"/>
      <c r="P753" s="3"/>
      <c r="Q753" s="3"/>
      <c r="R753" s="3"/>
      <c r="S753" s="3"/>
      <c r="T753" s="3"/>
      <c r="U753" s="3"/>
      <c r="V753" s="3"/>
      <c r="W753" s="3"/>
      <c r="X753" s="3"/>
      <c r="Y753" s="3"/>
      <c r="Z753" s="3"/>
      <c r="AA753" s="3"/>
      <c r="AB753" s="3"/>
      <c r="AC753" s="3"/>
      <c r="AD753" s="3"/>
      <c r="AE753" s="3"/>
      <c r="AF753" s="3"/>
    </row>
    <row r="754" spans="1:32" x14ac:dyDescent="0.15">
      <c r="A754" s="3"/>
      <c r="I754" s="3"/>
      <c r="J754" s="3"/>
      <c r="K754" s="3"/>
      <c r="L754" s="139"/>
      <c r="M754" s="3"/>
      <c r="N754" s="3"/>
      <c r="O754" s="3"/>
      <c r="P754" s="3"/>
      <c r="Q754" s="3"/>
      <c r="R754" s="3"/>
      <c r="S754" s="3"/>
      <c r="T754" s="3"/>
      <c r="U754" s="3"/>
      <c r="V754" s="3"/>
      <c r="W754" s="3"/>
      <c r="X754" s="3"/>
      <c r="Y754" s="3"/>
      <c r="Z754" s="3"/>
      <c r="AA754" s="3"/>
      <c r="AB754" s="3"/>
      <c r="AC754" s="3"/>
      <c r="AD754" s="3"/>
      <c r="AE754" s="3"/>
      <c r="AF754" s="3"/>
    </row>
    <row r="755" spans="1:32" x14ac:dyDescent="0.15">
      <c r="A755" s="3"/>
      <c r="I755" s="3"/>
      <c r="J755" s="3"/>
      <c r="K755" s="3"/>
      <c r="L755" s="139"/>
      <c r="M755" s="3"/>
      <c r="N755" s="3"/>
      <c r="O755" s="3"/>
      <c r="P755" s="3"/>
      <c r="Q755" s="3"/>
      <c r="R755" s="3"/>
      <c r="S755" s="3"/>
      <c r="T755" s="3"/>
      <c r="U755" s="3"/>
      <c r="V755" s="3"/>
      <c r="W755" s="3"/>
      <c r="X755" s="3"/>
      <c r="Y755" s="3"/>
      <c r="Z755" s="3"/>
      <c r="AA755" s="3"/>
      <c r="AB755" s="3"/>
      <c r="AC755" s="3"/>
      <c r="AD755" s="3"/>
      <c r="AE755" s="3"/>
      <c r="AF755" s="3"/>
    </row>
    <row r="756" spans="1:32" x14ac:dyDescent="0.15">
      <c r="A756" s="3"/>
      <c r="I756" s="3"/>
      <c r="J756" s="3"/>
      <c r="K756" s="3"/>
      <c r="L756" s="139"/>
      <c r="M756" s="3"/>
      <c r="N756" s="3"/>
      <c r="O756" s="3"/>
      <c r="P756" s="3"/>
      <c r="Q756" s="3"/>
      <c r="R756" s="3"/>
      <c r="S756" s="3"/>
      <c r="T756" s="3"/>
      <c r="U756" s="3"/>
      <c r="V756" s="3"/>
      <c r="W756" s="3"/>
      <c r="X756" s="3"/>
      <c r="Y756" s="3"/>
      <c r="Z756" s="3"/>
      <c r="AA756" s="3"/>
      <c r="AB756" s="3"/>
      <c r="AC756" s="3"/>
      <c r="AD756" s="3"/>
      <c r="AE756" s="3"/>
      <c r="AF756" s="3"/>
    </row>
    <row r="757" spans="1:32" x14ac:dyDescent="0.15">
      <c r="A757" s="3"/>
      <c r="I757" s="3"/>
      <c r="J757" s="3"/>
      <c r="K757" s="3"/>
      <c r="L757" s="139"/>
      <c r="M757" s="3"/>
      <c r="N757" s="3"/>
      <c r="O757" s="3"/>
      <c r="P757" s="3"/>
      <c r="Q757" s="3"/>
      <c r="R757" s="3"/>
      <c r="S757" s="3"/>
      <c r="T757" s="3"/>
      <c r="U757" s="3"/>
      <c r="V757" s="3"/>
      <c r="W757" s="3"/>
      <c r="X757" s="3"/>
      <c r="Y757" s="3"/>
      <c r="Z757" s="3"/>
      <c r="AA757" s="3"/>
      <c r="AB757" s="3"/>
      <c r="AC757" s="3"/>
      <c r="AD757" s="3"/>
      <c r="AE757" s="3"/>
      <c r="AF757" s="3"/>
    </row>
    <row r="758" spans="1:32" x14ac:dyDescent="0.15">
      <c r="A758" s="3"/>
      <c r="I758" s="3"/>
      <c r="J758" s="3"/>
      <c r="K758" s="3"/>
      <c r="L758" s="139"/>
      <c r="M758" s="3"/>
      <c r="N758" s="3"/>
      <c r="O758" s="3"/>
      <c r="P758" s="3"/>
      <c r="Q758" s="3"/>
      <c r="R758" s="3"/>
      <c r="S758" s="3"/>
      <c r="T758" s="3"/>
      <c r="U758" s="3"/>
      <c r="V758" s="3"/>
      <c r="W758" s="3"/>
      <c r="X758" s="3"/>
      <c r="Y758" s="3"/>
      <c r="Z758" s="3"/>
      <c r="AA758" s="3"/>
      <c r="AB758" s="3"/>
      <c r="AC758" s="3"/>
      <c r="AD758" s="3"/>
      <c r="AE758" s="3"/>
      <c r="AF758" s="3"/>
    </row>
    <row r="759" spans="1:32" x14ac:dyDescent="0.15">
      <c r="A759" s="3"/>
      <c r="I759" s="3"/>
      <c r="J759" s="3"/>
      <c r="K759" s="3"/>
      <c r="L759" s="139"/>
      <c r="M759" s="3"/>
      <c r="N759" s="3"/>
      <c r="O759" s="3"/>
      <c r="P759" s="3"/>
      <c r="Q759" s="3"/>
      <c r="R759" s="3"/>
      <c r="S759" s="3"/>
      <c r="T759" s="3"/>
      <c r="U759" s="3"/>
      <c r="V759" s="3"/>
      <c r="W759" s="3"/>
      <c r="X759" s="3"/>
      <c r="Y759" s="3"/>
      <c r="Z759" s="3"/>
      <c r="AA759" s="3"/>
      <c r="AB759" s="3"/>
      <c r="AC759" s="3"/>
      <c r="AD759" s="3"/>
      <c r="AE759" s="3"/>
      <c r="AF759" s="3"/>
    </row>
    <row r="760" spans="1:32" x14ac:dyDescent="0.15">
      <c r="A760" s="3"/>
      <c r="I760" s="3"/>
      <c r="J760" s="3"/>
      <c r="K760" s="3"/>
      <c r="L760" s="139"/>
      <c r="M760" s="3"/>
      <c r="N760" s="3"/>
      <c r="O760" s="3"/>
      <c r="P760" s="3"/>
      <c r="Q760" s="3"/>
      <c r="R760" s="3"/>
      <c r="S760" s="3"/>
      <c r="T760" s="3"/>
      <c r="U760" s="3"/>
      <c r="V760" s="3"/>
      <c r="W760" s="3"/>
      <c r="X760" s="3"/>
      <c r="Y760" s="3"/>
      <c r="Z760" s="3"/>
      <c r="AA760" s="3"/>
      <c r="AB760" s="3"/>
      <c r="AC760" s="3"/>
      <c r="AD760" s="3"/>
      <c r="AE760" s="3"/>
      <c r="AF760" s="3"/>
    </row>
    <row r="761" spans="1:32" x14ac:dyDescent="0.15">
      <c r="A761" s="3"/>
      <c r="I761" s="3"/>
      <c r="J761" s="3"/>
      <c r="K761" s="3"/>
      <c r="L761" s="139"/>
      <c r="M761" s="3"/>
      <c r="N761" s="3"/>
      <c r="O761" s="3"/>
      <c r="P761" s="3"/>
      <c r="Q761" s="3"/>
      <c r="R761" s="3"/>
      <c r="S761" s="3"/>
      <c r="T761" s="3"/>
      <c r="U761" s="3"/>
      <c r="V761" s="3"/>
      <c r="W761" s="3"/>
      <c r="X761" s="3"/>
      <c r="Y761" s="3"/>
      <c r="Z761" s="3"/>
      <c r="AA761" s="3"/>
      <c r="AB761" s="3"/>
      <c r="AC761" s="3"/>
      <c r="AD761" s="3"/>
      <c r="AE761" s="3"/>
      <c r="AF761" s="3"/>
    </row>
    <row r="762" spans="1:32" x14ac:dyDescent="0.15">
      <c r="A762" s="3"/>
      <c r="I762" s="3"/>
      <c r="J762" s="3"/>
      <c r="K762" s="3"/>
      <c r="L762" s="139"/>
      <c r="M762" s="3"/>
      <c r="N762" s="3"/>
      <c r="O762" s="3"/>
      <c r="P762" s="3"/>
      <c r="Q762" s="3"/>
      <c r="R762" s="3"/>
      <c r="S762" s="3"/>
      <c r="T762" s="3"/>
      <c r="U762" s="3"/>
      <c r="V762" s="3"/>
      <c r="W762" s="3"/>
      <c r="X762" s="3"/>
      <c r="Y762" s="3"/>
      <c r="Z762" s="3"/>
      <c r="AA762" s="3"/>
      <c r="AB762" s="3"/>
      <c r="AC762" s="3"/>
      <c r="AD762" s="3"/>
      <c r="AE762" s="3"/>
      <c r="AF762" s="3"/>
    </row>
    <row r="763" spans="1:32" x14ac:dyDescent="0.15">
      <c r="A763" s="3"/>
      <c r="I763" s="3"/>
      <c r="J763" s="3"/>
      <c r="K763" s="3"/>
      <c r="L763" s="139"/>
      <c r="M763" s="3"/>
      <c r="N763" s="3"/>
      <c r="O763" s="3"/>
      <c r="P763" s="3"/>
      <c r="Q763" s="3"/>
      <c r="R763" s="3"/>
      <c r="S763" s="3"/>
      <c r="T763" s="3"/>
      <c r="U763" s="3"/>
      <c r="V763" s="3"/>
      <c r="W763" s="3"/>
      <c r="X763" s="3"/>
      <c r="Y763" s="3"/>
      <c r="Z763" s="3"/>
      <c r="AA763" s="3"/>
      <c r="AB763" s="3"/>
      <c r="AC763" s="3"/>
      <c r="AD763" s="3"/>
      <c r="AE763" s="3"/>
      <c r="AF763" s="3"/>
    </row>
    <row r="764" spans="1:32" x14ac:dyDescent="0.15">
      <c r="A764" s="3"/>
      <c r="I764" s="3"/>
      <c r="J764" s="3"/>
      <c r="K764" s="3"/>
      <c r="L764" s="139"/>
      <c r="M764" s="3"/>
      <c r="N764" s="3"/>
      <c r="O764" s="3"/>
      <c r="P764" s="3"/>
      <c r="Q764" s="3"/>
      <c r="R764" s="3"/>
      <c r="S764" s="3"/>
      <c r="T764" s="3"/>
      <c r="U764" s="3"/>
      <c r="V764" s="3"/>
      <c r="W764" s="3"/>
      <c r="X764" s="3"/>
      <c r="Y764" s="3"/>
      <c r="Z764" s="3"/>
      <c r="AA764" s="3"/>
      <c r="AB764" s="3"/>
      <c r="AC764" s="3"/>
      <c r="AD764" s="3"/>
      <c r="AE764" s="3"/>
      <c r="AF764" s="3"/>
    </row>
    <row r="765" spans="1:32" x14ac:dyDescent="0.15">
      <c r="A765" s="3"/>
      <c r="I765" s="3"/>
      <c r="J765" s="3"/>
      <c r="K765" s="3"/>
      <c r="L765" s="139"/>
      <c r="M765" s="3"/>
      <c r="N765" s="3"/>
      <c r="O765" s="3"/>
      <c r="P765" s="3"/>
      <c r="Q765" s="3"/>
      <c r="R765" s="3"/>
      <c r="S765" s="3"/>
      <c r="T765" s="3"/>
      <c r="U765" s="3"/>
      <c r="V765" s="3"/>
      <c r="W765" s="3"/>
      <c r="X765" s="3"/>
      <c r="Y765" s="3"/>
      <c r="Z765" s="3"/>
      <c r="AA765" s="3"/>
      <c r="AB765" s="3"/>
      <c r="AC765" s="3"/>
      <c r="AD765" s="3"/>
      <c r="AE765" s="3"/>
      <c r="AF765" s="3"/>
    </row>
    <row r="766" spans="1:32" x14ac:dyDescent="0.15">
      <c r="A766" s="3"/>
      <c r="I766" s="3"/>
      <c r="J766" s="3"/>
      <c r="K766" s="3"/>
      <c r="L766" s="139"/>
      <c r="M766" s="3"/>
      <c r="N766" s="3"/>
      <c r="O766" s="3"/>
      <c r="P766" s="3"/>
      <c r="Q766" s="3"/>
      <c r="R766" s="3"/>
      <c r="S766" s="3"/>
      <c r="T766" s="3"/>
      <c r="U766" s="3"/>
      <c r="V766" s="3"/>
      <c r="W766" s="3"/>
      <c r="X766" s="3"/>
      <c r="Y766" s="3"/>
      <c r="Z766" s="3"/>
      <c r="AA766" s="3"/>
      <c r="AB766" s="3"/>
      <c r="AC766" s="3"/>
      <c r="AD766" s="3"/>
      <c r="AE766" s="3"/>
      <c r="AF766" s="3"/>
    </row>
    <row r="767" spans="1:32" x14ac:dyDescent="0.15">
      <c r="A767" s="3"/>
      <c r="I767" s="3"/>
      <c r="J767" s="3"/>
      <c r="K767" s="3"/>
      <c r="L767" s="139"/>
      <c r="M767" s="3"/>
      <c r="N767" s="3"/>
      <c r="O767" s="3"/>
      <c r="P767" s="3"/>
      <c r="Q767" s="3"/>
      <c r="R767" s="3"/>
      <c r="S767" s="3"/>
      <c r="T767" s="3"/>
      <c r="U767" s="3"/>
      <c r="V767" s="3"/>
      <c r="W767" s="3"/>
      <c r="X767" s="3"/>
      <c r="Y767" s="3"/>
      <c r="Z767" s="3"/>
      <c r="AA767" s="3"/>
      <c r="AB767" s="3"/>
      <c r="AC767" s="3"/>
      <c r="AD767" s="3"/>
      <c r="AE767" s="3"/>
      <c r="AF767" s="3"/>
    </row>
    <row r="768" spans="1:32" x14ac:dyDescent="0.15">
      <c r="A768" s="3"/>
      <c r="I768" s="3"/>
      <c r="J768" s="3"/>
      <c r="K768" s="3"/>
      <c r="L768" s="139"/>
      <c r="M768" s="3"/>
      <c r="N768" s="3"/>
      <c r="O768" s="3"/>
      <c r="P768" s="3"/>
      <c r="Q768" s="3"/>
      <c r="R768" s="3"/>
      <c r="S768" s="3"/>
      <c r="T768" s="3"/>
      <c r="U768" s="3"/>
      <c r="V768" s="3"/>
      <c r="W768" s="3"/>
      <c r="X768" s="3"/>
      <c r="Y768" s="3"/>
      <c r="Z768" s="3"/>
      <c r="AA768" s="3"/>
      <c r="AB768" s="3"/>
      <c r="AC768" s="3"/>
      <c r="AD768" s="3"/>
      <c r="AE768" s="3"/>
      <c r="AF768" s="3"/>
    </row>
    <row r="769" spans="1:32" x14ac:dyDescent="0.15">
      <c r="A769" s="3"/>
      <c r="I769" s="3"/>
      <c r="J769" s="3"/>
      <c r="K769" s="3"/>
      <c r="L769" s="139"/>
      <c r="M769" s="3"/>
      <c r="N769" s="3"/>
      <c r="O769" s="3"/>
      <c r="P769" s="3"/>
      <c r="Q769" s="3"/>
      <c r="R769" s="3"/>
      <c r="S769" s="3"/>
      <c r="T769" s="3"/>
      <c r="U769" s="3"/>
      <c r="V769" s="3"/>
      <c r="W769" s="3"/>
      <c r="X769" s="3"/>
      <c r="Y769" s="3"/>
      <c r="Z769" s="3"/>
      <c r="AA769" s="3"/>
      <c r="AB769" s="3"/>
      <c r="AC769" s="3"/>
      <c r="AD769" s="3"/>
      <c r="AE769" s="3"/>
      <c r="AF769" s="3"/>
    </row>
    <row r="770" spans="1:32" x14ac:dyDescent="0.15">
      <c r="A770" s="3"/>
      <c r="I770" s="3"/>
      <c r="J770" s="3"/>
      <c r="K770" s="3"/>
      <c r="L770" s="139"/>
      <c r="M770" s="3"/>
      <c r="N770" s="3"/>
      <c r="O770" s="3"/>
      <c r="P770" s="3"/>
      <c r="Q770" s="3"/>
      <c r="R770" s="3"/>
      <c r="S770" s="3"/>
      <c r="T770" s="3"/>
      <c r="U770" s="3"/>
      <c r="V770" s="3"/>
      <c r="W770" s="3"/>
      <c r="X770" s="3"/>
      <c r="Y770" s="3"/>
      <c r="Z770" s="3"/>
      <c r="AA770" s="3"/>
      <c r="AB770" s="3"/>
      <c r="AC770" s="3"/>
      <c r="AD770" s="3"/>
      <c r="AE770" s="3"/>
      <c r="AF770" s="3"/>
    </row>
    <row r="771" spans="1:32" x14ac:dyDescent="0.15">
      <c r="A771" s="3"/>
      <c r="I771" s="3"/>
      <c r="J771" s="3"/>
      <c r="K771" s="3"/>
      <c r="L771" s="139"/>
      <c r="M771" s="3"/>
      <c r="N771" s="3"/>
      <c r="O771" s="3"/>
      <c r="P771" s="3"/>
      <c r="Q771" s="3"/>
      <c r="R771" s="3"/>
      <c r="S771" s="3"/>
      <c r="T771" s="3"/>
      <c r="U771" s="3"/>
      <c r="V771" s="3"/>
      <c r="W771" s="3"/>
      <c r="X771" s="3"/>
      <c r="Y771" s="3"/>
      <c r="Z771" s="3"/>
      <c r="AA771" s="3"/>
      <c r="AB771" s="3"/>
      <c r="AC771" s="3"/>
      <c r="AD771" s="3"/>
      <c r="AE771" s="3"/>
      <c r="AF771" s="3"/>
    </row>
    <row r="772" spans="1:32" x14ac:dyDescent="0.15">
      <c r="A772" s="3"/>
      <c r="I772" s="3"/>
      <c r="J772" s="3"/>
      <c r="K772" s="3"/>
      <c r="L772" s="139"/>
      <c r="M772" s="3"/>
      <c r="N772" s="3"/>
      <c r="O772" s="3"/>
      <c r="P772" s="3"/>
      <c r="Q772" s="3"/>
      <c r="R772" s="3"/>
      <c r="S772" s="3"/>
      <c r="T772" s="3"/>
      <c r="U772" s="3"/>
      <c r="V772" s="3"/>
      <c r="W772" s="3"/>
      <c r="X772" s="3"/>
      <c r="Y772" s="3"/>
      <c r="Z772" s="3"/>
      <c r="AA772" s="3"/>
      <c r="AB772" s="3"/>
      <c r="AC772" s="3"/>
      <c r="AD772" s="3"/>
      <c r="AE772" s="3"/>
      <c r="AF772" s="3"/>
    </row>
    <row r="773" spans="1:32" x14ac:dyDescent="0.15">
      <c r="A773" s="3"/>
      <c r="I773" s="3"/>
      <c r="J773" s="3"/>
      <c r="K773" s="3"/>
      <c r="L773" s="139"/>
      <c r="M773" s="3"/>
      <c r="N773" s="3"/>
      <c r="O773" s="3"/>
      <c r="P773" s="3"/>
      <c r="Q773" s="3"/>
      <c r="R773" s="3"/>
      <c r="S773" s="3"/>
      <c r="T773" s="3"/>
      <c r="U773" s="3"/>
      <c r="V773" s="3"/>
      <c r="W773" s="3"/>
      <c r="X773" s="3"/>
      <c r="Y773" s="3"/>
      <c r="Z773" s="3"/>
      <c r="AA773" s="3"/>
      <c r="AB773" s="3"/>
      <c r="AC773" s="3"/>
      <c r="AD773" s="3"/>
      <c r="AE773" s="3"/>
      <c r="AF773" s="3"/>
    </row>
    <row r="774" spans="1:32" x14ac:dyDescent="0.15">
      <c r="A774" s="3"/>
      <c r="I774" s="3"/>
      <c r="J774" s="3"/>
      <c r="K774" s="3"/>
      <c r="L774" s="139"/>
      <c r="M774" s="3"/>
      <c r="N774" s="3"/>
      <c r="O774" s="3"/>
      <c r="P774" s="3"/>
      <c r="Q774" s="3"/>
      <c r="R774" s="3"/>
      <c r="S774" s="3"/>
      <c r="T774" s="3"/>
      <c r="U774" s="3"/>
      <c r="V774" s="3"/>
      <c r="W774" s="3"/>
      <c r="X774" s="3"/>
      <c r="Y774" s="3"/>
      <c r="Z774" s="3"/>
      <c r="AA774" s="3"/>
      <c r="AB774" s="3"/>
      <c r="AC774" s="3"/>
      <c r="AD774" s="3"/>
      <c r="AE774" s="3"/>
      <c r="AF774" s="3"/>
    </row>
    <row r="775" spans="1:32" x14ac:dyDescent="0.15">
      <c r="A775" s="3"/>
      <c r="I775" s="3"/>
      <c r="J775" s="3"/>
      <c r="K775" s="3"/>
      <c r="L775" s="139"/>
      <c r="M775" s="3"/>
      <c r="N775" s="3"/>
      <c r="O775" s="3"/>
      <c r="P775" s="3"/>
      <c r="Q775" s="3"/>
      <c r="R775" s="3"/>
      <c r="S775" s="3"/>
      <c r="T775" s="3"/>
      <c r="U775" s="3"/>
      <c r="V775" s="3"/>
      <c r="W775" s="3"/>
      <c r="X775" s="3"/>
      <c r="Y775" s="3"/>
      <c r="Z775" s="3"/>
      <c r="AA775" s="3"/>
      <c r="AB775" s="3"/>
      <c r="AC775" s="3"/>
      <c r="AD775" s="3"/>
      <c r="AE775" s="3"/>
      <c r="AF775" s="3"/>
    </row>
    <row r="776" spans="1:32" x14ac:dyDescent="0.15">
      <c r="A776" s="3"/>
      <c r="I776" s="3"/>
      <c r="J776" s="3"/>
      <c r="K776" s="3"/>
      <c r="L776" s="139"/>
      <c r="M776" s="3"/>
      <c r="N776" s="3"/>
      <c r="O776" s="3"/>
      <c r="P776" s="3"/>
      <c r="Q776" s="3"/>
      <c r="R776" s="3"/>
      <c r="S776" s="3"/>
      <c r="T776" s="3"/>
      <c r="U776" s="3"/>
      <c r="V776" s="3"/>
      <c r="W776" s="3"/>
      <c r="X776" s="3"/>
      <c r="Y776" s="3"/>
      <c r="Z776" s="3"/>
      <c r="AA776" s="3"/>
      <c r="AB776" s="3"/>
      <c r="AC776" s="3"/>
      <c r="AD776" s="3"/>
      <c r="AE776" s="3"/>
      <c r="AF776" s="3"/>
    </row>
    <row r="777" spans="1:32" x14ac:dyDescent="0.15">
      <c r="A777" s="3"/>
      <c r="I777" s="3"/>
      <c r="J777" s="3"/>
      <c r="K777" s="3"/>
      <c r="L777" s="139"/>
      <c r="M777" s="3"/>
      <c r="N777" s="3"/>
      <c r="O777" s="3"/>
      <c r="P777" s="3"/>
      <c r="Q777" s="3"/>
      <c r="R777" s="3"/>
      <c r="S777" s="3"/>
      <c r="T777" s="3"/>
      <c r="U777" s="3"/>
      <c r="V777" s="3"/>
      <c r="W777" s="3"/>
      <c r="X777" s="3"/>
      <c r="Y777" s="3"/>
      <c r="Z777" s="3"/>
      <c r="AA777" s="3"/>
      <c r="AB777" s="3"/>
      <c r="AC777" s="3"/>
      <c r="AD777" s="3"/>
      <c r="AE777" s="3"/>
      <c r="AF777" s="3"/>
    </row>
    <row r="778" spans="1:32" x14ac:dyDescent="0.15">
      <c r="A778" s="3"/>
      <c r="I778" s="3"/>
      <c r="J778" s="3"/>
      <c r="K778" s="3"/>
      <c r="L778" s="139"/>
      <c r="M778" s="3"/>
      <c r="N778" s="3"/>
      <c r="O778" s="3"/>
      <c r="P778" s="3"/>
      <c r="Q778" s="3"/>
      <c r="R778" s="3"/>
      <c r="S778" s="3"/>
      <c r="T778" s="3"/>
      <c r="U778" s="3"/>
      <c r="V778" s="3"/>
      <c r="W778" s="3"/>
      <c r="X778" s="3"/>
      <c r="Y778" s="3"/>
      <c r="Z778" s="3"/>
      <c r="AA778" s="3"/>
      <c r="AB778" s="3"/>
      <c r="AC778" s="3"/>
      <c r="AD778" s="3"/>
      <c r="AE778" s="3"/>
      <c r="AF778" s="3"/>
    </row>
    <row r="779" spans="1:32" x14ac:dyDescent="0.15">
      <c r="A779" s="3"/>
      <c r="I779" s="3"/>
      <c r="J779" s="3"/>
      <c r="K779" s="3"/>
      <c r="L779" s="139"/>
      <c r="M779" s="3"/>
      <c r="N779" s="3"/>
      <c r="O779" s="3"/>
      <c r="P779" s="3"/>
      <c r="Q779" s="3"/>
      <c r="R779" s="3"/>
      <c r="S779" s="3"/>
      <c r="T779" s="3"/>
      <c r="U779" s="3"/>
      <c r="V779" s="3"/>
      <c r="W779" s="3"/>
      <c r="X779" s="3"/>
      <c r="Y779" s="3"/>
      <c r="Z779" s="3"/>
      <c r="AA779" s="3"/>
      <c r="AB779" s="3"/>
      <c r="AC779" s="3"/>
      <c r="AD779" s="3"/>
      <c r="AE779" s="3"/>
      <c r="AF779" s="3"/>
    </row>
    <row r="780" spans="1:32" x14ac:dyDescent="0.15">
      <c r="A780" s="3"/>
      <c r="I780" s="3"/>
      <c r="J780" s="3"/>
      <c r="K780" s="3"/>
      <c r="L780" s="139"/>
      <c r="M780" s="3"/>
      <c r="N780" s="3"/>
      <c r="O780" s="3"/>
      <c r="P780" s="3"/>
      <c r="Q780" s="3"/>
      <c r="R780" s="3"/>
      <c r="S780" s="3"/>
      <c r="T780" s="3"/>
      <c r="U780" s="3"/>
      <c r="V780" s="3"/>
      <c r="W780" s="3"/>
      <c r="X780" s="3"/>
      <c r="Y780" s="3"/>
      <c r="Z780" s="3"/>
      <c r="AA780" s="3"/>
      <c r="AB780" s="3"/>
      <c r="AC780" s="3"/>
      <c r="AD780" s="3"/>
      <c r="AE780" s="3"/>
      <c r="AF780" s="3"/>
    </row>
    <row r="781" spans="1:32" x14ac:dyDescent="0.15">
      <c r="A781" s="3"/>
      <c r="I781" s="3"/>
      <c r="J781" s="3"/>
      <c r="K781" s="3"/>
      <c r="L781" s="139"/>
      <c r="M781" s="3"/>
      <c r="N781" s="3"/>
      <c r="O781" s="3"/>
      <c r="P781" s="3"/>
      <c r="Q781" s="3"/>
      <c r="R781" s="3"/>
      <c r="S781" s="3"/>
      <c r="T781" s="3"/>
      <c r="U781" s="3"/>
      <c r="V781" s="3"/>
      <c r="W781" s="3"/>
      <c r="X781" s="3"/>
      <c r="Y781" s="3"/>
      <c r="Z781" s="3"/>
      <c r="AA781" s="3"/>
      <c r="AB781" s="3"/>
      <c r="AC781" s="3"/>
      <c r="AD781" s="3"/>
      <c r="AE781" s="3"/>
      <c r="AF781" s="3"/>
    </row>
    <row r="782" spans="1:32" x14ac:dyDescent="0.15">
      <c r="A782" s="3"/>
      <c r="I782" s="3"/>
      <c r="J782" s="3"/>
      <c r="K782" s="3"/>
      <c r="L782" s="139"/>
      <c r="M782" s="3"/>
      <c r="N782" s="3"/>
      <c r="O782" s="3"/>
      <c r="P782" s="3"/>
      <c r="Q782" s="3"/>
      <c r="R782" s="3"/>
      <c r="S782" s="3"/>
      <c r="T782" s="3"/>
      <c r="U782" s="3"/>
      <c r="V782" s="3"/>
      <c r="W782" s="3"/>
      <c r="X782" s="3"/>
      <c r="Y782" s="3"/>
      <c r="Z782" s="3"/>
      <c r="AA782" s="3"/>
      <c r="AB782" s="3"/>
      <c r="AC782" s="3"/>
      <c r="AD782" s="3"/>
      <c r="AE782" s="3"/>
      <c r="AF782" s="3"/>
    </row>
    <row r="783" spans="1:32" x14ac:dyDescent="0.15">
      <c r="A783" s="3"/>
      <c r="I783" s="3"/>
      <c r="J783" s="3"/>
      <c r="K783" s="3"/>
      <c r="L783" s="139"/>
      <c r="M783" s="3"/>
      <c r="N783" s="3"/>
      <c r="O783" s="3"/>
      <c r="P783" s="3"/>
      <c r="Q783" s="3"/>
      <c r="R783" s="3"/>
      <c r="S783" s="3"/>
      <c r="T783" s="3"/>
      <c r="U783" s="3"/>
      <c r="V783" s="3"/>
      <c r="W783" s="3"/>
      <c r="X783" s="3"/>
      <c r="Y783" s="3"/>
      <c r="Z783" s="3"/>
      <c r="AA783" s="3"/>
      <c r="AB783" s="3"/>
      <c r="AC783" s="3"/>
      <c r="AD783" s="3"/>
      <c r="AE783" s="3"/>
      <c r="AF783" s="3"/>
    </row>
    <row r="784" spans="1:32" x14ac:dyDescent="0.15">
      <c r="A784" s="3"/>
      <c r="I784" s="3"/>
      <c r="J784" s="3"/>
      <c r="K784" s="3"/>
      <c r="L784" s="139"/>
      <c r="M784" s="3"/>
      <c r="N784" s="3"/>
      <c r="O784" s="3"/>
      <c r="P784" s="3"/>
      <c r="Q784" s="3"/>
      <c r="R784" s="3"/>
      <c r="S784" s="3"/>
      <c r="T784" s="3"/>
      <c r="U784" s="3"/>
      <c r="V784" s="3"/>
      <c r="W784" s="3"/>
      <c r="X784" s="3"/>
      <c r="Y784" s="3"/>
      <c r="Z784" s="3"/>
      <c r="AA784" s="3"/>
      <c r="AB784" s="3"/>
      <c r="AC784" s="3"/>
      <c r="AD784" s="3"/>
      <c r="AE784" s="3"/>
      <c r="AF784" s="3"/>
    </row>
    <row r="785" spans="1:32" x14ac:dyDescent="0.15">
      <c r="A785" s="3"/>
      <c r="I785" s="3"/>
      <c r="J785" s="3"/>
      <c r="K785" s="3"/>
      <c r="L785" s="139"/>
      <c r="M785" s="3"/>
      <c r="N785" s="3"/>
      <c r="O785" s="3"/>
      <c r="P785" s="3"/>
      <c r="Q785" s="3"/>
      <c r="R785" s="3"/>
      <c r="S785" s="3"/>
      <c r="T785" s="3"/>
      <c r="U785" s="3"/>
      <c r="V785" s="3"/>
      <c r="W785" s="3"/>
      <c r="X785" s="3"/>
      <c r="Y785" s="3"/>
      <c r="Z785" s="3"/>
      <c r="AA785" s="3"/>
      <c r="AB785" s="3"/>
      <c r="AC785" s="3"/>
      <c r="AD785" s="3"/>
      <c r="AE785" s="3"/>
      <c r="AF785" s="3"/>
    </row>
    <row r="786" spans="1:32" x14ac:dyDescent="0.15">
      <c r="A786" s="3"/>
      <c r="I786" s="3"/>
      <c r="J786" s="3"/>
      <c r="K786" s="3"/>
      <c r="L786" s="139"/>
      <c r="M786" s="3"/>
      <c r="N786" s="3"/>
      <c r="O786" s="3"/>
      <c r="P786" s="3"/>
      <c r="Q786" s="3"/>
      <c r="R786" s="3"/>
      <c r="S786" s="3"/>
      <c r="T786" s="3"/>
      <c r="U786" s="3"/>
      <c r="V786" s="3"/>
      <c r="W786" s="3"/>
      <c r="X786" s="3"/>
      <c r="Y786" s="3"/>
      <c r="Z786" s="3"/>
      <c r="AA786" s="3"/>
      <c r="AB786" s="3"/>
      <c r="AC786" s="3"/>
      <c r="AD786" s="3"/>
      <c r="AE786" s="3"/>
      <c r="AF786" s="3"/>
    </row>
    <row r="787" spans="1:32" x14ac:dyDescent="0.15">
      <c r="A787" s="3"/>
      <c r="I787" s="3"/>
      <c r="J787" s="3"/>
      <c r="K787" s="3"/>
      <c r="L787" s="139"/>
      <c r="M787" s="3"/>
      <c r="N787" s="3"/>
      <c r="O787" s="3"/>
      <c r="P787" s="3"/>
      <c r="Q787" s="3"/>
      <c r="R787" s="3"/>
      <c r="S787" s="3"/>
      <c r="T787" s="3"/>
      <c r="U787" s="3"/>
      <c r="V787" s="3"/>
      <c r="W787" s="3"/>
      <c r="X787" s="3"/>
      <c r="Y787" s="3"/>
      <c r="Z787" s="3"/>
      <c r="AA787" s="3"/>
      <c r="AB787" s="3"/>
      <c r="AC787" s="3"/>
      <c r="AD787" s="3"/>
      <c r="AE787" s="3"/>
      <c r="AF787" s="3"/>
    </row>
    <row r="788" spans="1:32" x14ac:dyDescent="0.15">
      <c r="A788" s="3"/>
      <c r="I788" s="3"/>
      <c r="J788" s="3"/>
      <c r="K788" s="3"/>
      <c r="L788" s="139"/>
      <c r="M788" s="3"/>
      <c r="N788" s="3"/>
      <c r="O788" s="3"/>
      <c r="P788" s="3"/>
      <c r="Q788" s="3"/>
      <c r="R788" s="3"/>
      <c r="S788" s="3"/>
      <c r="T788" s="3"/>
      <c r="U788" s="3"/>
      <c r="V788" s="3"/>
      <c r="W788" s="3"/>
      <c r="X788" s="3"/>
      <c r="Y788" s="3"/>
      <c r="Z788" s="3"/>
      <c r="AA788" s="3"/>
      <c r="AB788" s="3"/>
      <c r="AC788" s="3"/>
      <c r="AD788" s="3"/>
      <c r="AE788" s="3"/>
      <c r="AF788" s="3"/>
    </row>
    <row r="789" spans="1:32" x14ac:dyDescent="0.15">
      <c r="A789" s="3"/>
      <c r="I789" s="3"/>
      <c r="J789" s="3"/>
      <c r="K789" s="3"/>
      <c r="L789" s="139"/>
      <c r="M789" s="3"/>
      <c r="N789" s="3"/>
      <c r="O789" s="3"/>
      <c r="P789" s="3"/>
      <c r="Q789" s="3"/>
      <c r="R789" s="3"/>
      <c r="S789" s="3"/>
      <c r="T789" s="3"/>
      <c r="U789" s="3"/>
      <c r="V789" s="3"/>
      <c r="W789" s="3"/>
      <c r="X789" s="3"/>
      <c r="Y789" s="3"/>
      <c r="Z789" s="3"/>
      <c r="AA789" s="3"/>
      <c r="AB789" s="3"/>
      <c r="AC789" s="3"/>
      <c r="AD789" s="3"/>
      <c r="AE789" s="3"/>
      <c r="AF789" s="3"/>
    </row>
    <row r="790" spans="1:32" x14ac:dyDescent="0.15">
      <c r="A790" s="3"/>
      <c r="I790" s="3"/>
      <c r="J790" s="3"/>
      <c r="K790" s="3"/>
      <c r="L790" s="139"/>
      <c r="M790" s="3"/>
      <c r="N790" s="3"/>
      <c r="O790" s="3"/>
      <c r="P790" s="3"/>
      <c r="Q790" s="3"/>
      <c r="R790" s="3"/>
      <c r="S790" s="3"/>
      <c r="T790" s="3"/>
      <c r="U790" s="3"/>
      <c r="V790" s="3"/>
      <c r="W790" s="3"/>
      <c r="X790" s="3"/>
      <c r="Y790" s="3"/>
      <c r="Z790" s="3"/>
      <c r="AA790" s="3"/>
      <c r="AB790" s="3"/>
      <c r="AC790" s="3"/>
      <c r="AD790" s="3"/>
      <c r="AE790" s="3"/>
      <c r="AF790" s="3"/>
    </row>
    <row r="791" spans="1:32" x14ac:dyDescent="0.15">
      <c r="A791" s="3"/>
      <c r="I791" s="3"/>
      <c r="J791" s="3"/>
      <c r="K791" s="3"/>
      <c r="L791" s="139"/>
      <c r="M791" s="3"/>
      <c r="N791" s="3"/>
      <c r="O791" s="3"/>
      <c r="P791" s="3"/>
      <c r="Q791" s="3"/>
      <c r="R791" s="3"/>
      <c r="S791" s="3"/>
      <c r="T791" s="3"/>
      <c r="U791" s="3"/>
      <c r="V791" s="3"/>
      <c r="W791" s="3"/>
      <c r="X791" s="3"/>
      <c r="Y791" s="3"/>
      <c r="Z791" s="3"/>
      <c r="AA791" s="3"/>
      <c r="AB791" s="3"/>
      <c r="AC791" s="3"/>
      <c r="AD791" s="3"/>
      <c r="AE791" s="3"/>
      <c r="AF791" s="3"/>
    </row>
    <row r="792" spans="1:32" x14ac:dyDescent="0.15">
      <c r="A792" s="3"/>
      <c r="I792" s="3"/>
      <c r="J792" s="3"/>
      <c r="K792" s="3"/>
      <c r="L792" s="139"/>
      <c r="M792" s="3"/>
      <c r="N792" s="3"/>
      <c r="O792" s="3"/>
      <c r="P792" s="3"/>
      <c r="Q792" s="3"/>
      <c r="R792" s="3"/>
      <c r="S792" s="3"/>
      <c r="T792" s="3"/>
      <c r="U792" s="3"/>
      <c r="V792" s="3"/>
      <c r="W792" s="3"/>
      <c r="X792" s="3"/>
      <c r="Y792" s="3"/>
      <c r="Z792" s="3"/>
      <c r="AA792" s="3"/>
      <c r="AB792" s="3"/>
      <c r="AC792" s="3"/>
      <c r="AD792" s="3"/>
      <c r="AE792" s="3"/>
      <c r="AF792" s="3"/>
    </row>
    <row r="793" spans="1:32" x14ac:dyDescent="0.15">
      <c r="A793" s="3"/>
      <c r="I793" s="3"/>
      <c r="J793" s="3"/>
      <c r="K793" s="3"/>
      <c r="L793" s="139"/>
      <c r="M793" s="3"/>
      <c r="N793" s="3"/>
      <c r="O793" s="3"/>
      <c r="P793" s="3"/>
      <c r="Q793" s="3"/>
      <c r="R793" s="3"/>
      <c r="S793" s="3"/>
      <c r="T793" s="3"/>
      <c r="U793" s="3"/>
      <c r="V793" s="3"/>
      <c r="W793" s="3"/>
      <c r="X793" s="3"/>
      <c r="Y793" s="3"/>
      <c r="Z793" s="3"/>
      <c r="AA793" s="3"/>
      <c r="AB793" s="3"/>
      <c r="AC793" s="3"/>
      <c r="AD793" s="3"/>
      <c r="AE793" s="3"/>
      <c r="AF793" s="3"/>
    </row>
    <row r="794" spans="1:32" x14ac:dyDescent="0.15">
      <c r="A794" s="3"/>
      <c r="I794" s="3"/>
      <c r="J794" s="3"/>
      <c r="K794" s="3"/>
      <c r="L794" s="139"/>
      <c r="M794" s="3"/>
      <c r="N794" s="3"/>
      <c r="O794" s="3"/>
      <c r="P794" s="3"/>
      <c r="Q794" s="3"/>
      <c r="R794" s="3"/>
      <c r="S794" s="3"/>
      <c r="T794" s="3"/>
      <c r="U794" s="3"/>
      <c r="V794" s="3"/>
      <c r="W794" s="3"/>
      <c r="X794" s="3"/>
      <c r="Y794" s="3"/>
      <c r="Z794" s="3"/>
      <c r="AA794" s="3"/>
      <c r="AB794" s="3"/>
      <c r="AC794" s="3"/>
      <c r="AD794" s="3"/>
      <c r="AE794" s="3"/>
      <c r="AF794" s="3"/>
    </row>
    <row r="795" spans="1:32" x14ac:dyDescent="0.15">
      <c r="A795" s="3"/>
      <c r="I795" s="3"/>
      <c r="J795" s="3"/>
      <c r="K795" s="3"/>
      <c r="L795" s="139"/>
      <c r="M795" s="3"/>
      <c r="N795" s="3"/>
      <c r="O795" s="3"/>
      <c r="P795" s="3"/>
      <c r="Q795" s="3"/>
      <c r="R795" s="3"/>
      <c r="S795" s="3"/>
      <c r="T795" s="3"/>
      <c r="U795" s="3"/>
      <c r="V795" s="3"/>
      <c r="W795" s="3"/>
      <c r="X795" s="3"/>
      <c r="Y795" s="3"/>
      <c r="Z795" s="3"/>
      <c r="AA795" s="3"/>
      <c r="AB795" s="3"/>
      <c r="AC795" s="3"/>
      <c r="AD795" s="3"/>
      <c r="AE795" s="3"/>
      <c r="AF795" s="3"/>
    </row>
    <row r="796" spans="1:32" x14ac:dyDescent="0.15">
      <c r="A796" s="3"/>
      <c r="I796" s="3"/>
      <c r="J796" s="3"/>
      <c r="K796" s="3"/>
      <c r="L796" s="139"/>
      <c r="M796" s="3"/>
      <c r="N796" s="3"/>
      <c r="O796" s="3"/>
      <c r="P796" s="3"/>
      <c r="Q796" s="3"/>
      <c r="R796" s="3"/>
      <c r="S796" s="3"/>
      <c r="T796" s="3"/>
      <c r="U796" s="3"/>
      <c r="V796" s="3"/>
      <c r="W796" s="3"/>
      <c r="X796" s="3"/>
      <c r="Y796" s="3"/>
      <c r="Z796" s="3"/>
      <c r="AA796" s="3"/>
      <c r="AB796" s="3"/>
      <c r="AC796" s="3"/>
      <c r="AD796" s="3"/>
      <c r="AE796" s="3"/>
      <c r="AF796" s="3"/>
    </row>
    <row r="797" spans="1:32" x14ac:dyDescent="0.15">
      <c r="A797" s="3"/>
      <c r="I797" s="3"/>
      <c r="J797" s="3"/>
      <c r="K797" s="3"/>
      <c r="L797" s="139"/>
      <c r="M797" s="3"/>
      <c r="N797" s="3"/>
      <c r="O797" s="3"/>
      <c r="P797" s="3"/>
      <c r="Q797" s="3"/>
      <c r="R797" s="3"/>
      <c r="S797" s="3"/>
      <c r="T797" s="3"/>
      <c r="U797" s="3"/>
      <c r="V797" s="3"/>
      <c r="W797" s="3"/>
      <c r="X797" s="3"/>
      <c r="Y797" s="3"/>
      <c r="Z797" s="3"/>
      <c r="AA797" s="3"/>
      <c r="AB797" s="3"/>
      <c r="AC797" s="3"/>
      <c r="AD797" s="3"/>
      <c r="AE797" s="3"/>
      <c r="AF797" s="3"/>
    </row>
    <row r="798" spans="1:32" x14ac:dyDescent="0.15">
      <c r="A798" s="3"/>
      <c r="I798" s="3"/>
      <c r="J798" s="3"/>
      <c r="K798" s="3"/>
      <c r="L798" s="139"/>
      <c r="M798" s="3"/>
      <c r="N798" s="3"/>
      <c r="O798" s="3"/>
      <c r="P798" s="3"/>
      <c r="Q798" s="3"/>
      <c r="R798" s="3"/>
      <c r="S798" s="3"/>
      <c r="T798" s="3"/>
      <c r="U798" s="3"/>
      <c r="V798" s="3"/>
      <c r="W798" s="3"/>
      <c r="X798" s="3"/>
      <c r="Y798" s="3"/>
      <c r="Z798" s="3"/>
      <c r="AA798" s="3"/>
      <c r="AB798" s="3"/>
      <c r="AC798" s="3"/>
      <c r="AD798" s="3"/>
      <c r="AE798" s="3"/>
      <c r="AF798" s="3"/>
    </row>
    <row r="799" spans="1:32" x14ac:dyDescent="0.15">
      <c r="A799" s="3"/>
      <c r="I799" s="3"/>
      <c r="J799" s="3"/>
      <c r="K799" s="3"/>
      <c r="L799" s="139"/>
      <c r="M799" s="3"/>
      <c r="N799" s="3"/>
      <c r="O799" s="3"/>
      <c r="P799" s="3"/>
      <c r="Q799" s="3"/>
      <c r="R799" s="3"/>
      <c r="S799" s="3"/>
      <c r="T799" s="3"/>
      <c r="U799" s="3"/>
      <c r="V799" s="3"/>
      <c r="W799" s="3"/>
      <c r="X799" s="3"/>
      <c r="Y799" s="3"/>
      <c r="Z799" s="3"/>
      <c r="AA799" s="3"/>
      <c r="AB799" s="3"/>
      <c r="AC799" s="3"/>
      <c r="AD799" s="3"/>
      <c r="AE799" s="3"/>
      <c r="AF799" s="3"/>
    </row>
    <row r="800" spans="1:32" x14ac:dyDescent="0.15">
      <c r="A800" s="3"/>
      <c r="I800" s="3"/>
      <c r="J800" s="3"/>
      <c r="K800" s="3"/>
      <c r="L800" s="139"/>
      <c r="M800" s="3"/>
      <c r="N800" s="3"/>
      <c r="O800" s="3"/>
      <c r="P800" s="3"/>
      <c r="Q800" s="3"/>
      <c r="R800" s="3"/>
      <c r="S800" s="3"/>
      <c r="T800" s="3"/>
      <c r="U800" s="3"/>
      <c r="V800" s="3"/>
      <c r="W800" s="3"/>
      <c r="X800" s="3"/>
      <c r="Y800" s="3"/>
      <c r="Z800" s="3"/>
      <c r="AA800" s="3"/>
      <c r="AB800" s="3"/>
      <c r="AC800" s="3"/>
      <c r="AD800" s="3"/>
      <c r="AE800" s="3"/>
      <c r="AF800" s="3"/>
    </row>
    <row r="801" spans="1:32" x14ac:dyDescent="0.15">
      <c r="A801" s="3"/>
      <c r="I801" s="3"/>
      <c r="J801" s="3"/>
      <c r="K801" s="3"/>
      <c r="L801" s="139"/>
      <c r="M801" s="3"/>
      <c r="N801" s="3"/>
      <c r="O801" s="3"/>
      <c r="P801" s="3"/>
      <c r="Q801" s="3"/>
      <c r="R801" s="3"/>
      <c r="S801" s="3"/>
      <c r="T801" s="3"/>
      <c r="U801" s="3"/>
      <c r="V801" s="3"/>
      <c r="W801" s="3"/>
      <c r="X801" s="3"/>
      <c r="Y801" s="3"/>
      <c r="Z801" s="3"/>
      <c r="AA801" s="3"/>
      <c r="AB801" s="3"/>
      <c r="AC801" s="3"/>
      <c r="AD801" s="3"/>
      <c r="AE801" s="3"/>
      <c r="AF801" s="3"/>
    </row>
    <row r="802" spans="1:32" x14ac:dyDescent="0.15">
      <c r="A802" s="3"/>
      <c r="I802" s="3"/>
      <c r="J802" s="3"/>
      <c r="K802" s="3"/>
      <c r="L802" s="139"/>
      <c r="M802" s="3"/>
      <c r="N802" s="3"/>
      <c r="O802" s="3"/>
      <c r="P802" s="3"/>
      <c r="Q802" s="3"/>
      <c r="R802" s="3"/>
      <c r="S802" s="3"/>
      <c r="T802" s="3"/>
      <c r="U802" s="3"/>
      <c r="V802" s="3"/>
      <c r="W802" s="3"/>
      <c r="X802" s="3"/>
      <c r="Y802" s="3"/>
      <c r="Z802" s="3"/>
      <c r="AA802" s="3"/>
      <c r="AB802" s="3"/>
      <c r="AC802" s="3"/>
      <c r="AD802" s="3"/>
      <c r="AE802" s="3"/>
      <c r="AF802" s="3"/>
    </row>
    <row r="803" spans="1:32" x14ac:dyDescent="0.15">
      <c r="A803" s="3"/>
      <c r="I803" s="3"/>
      <c r="J803" s="3"/>
      <c r="K803" s="3"/>
      <c r="L803" s="139"/>
      <c r="M803" s="3"/>
      <c r="N803" s="3"/>
      <c r="O803" s="3"/>
      <c r="P803" s="3"/>
      <c r="Q803" s="3"/>
      <c r="R803" s="3"/>
      <c r="S803" s="3"/>
      <c r="T803" s="3"/>
      <c r="U803" s="3"/>
      <c r="V803" s="3"/>
      <c r="W803" s="3"/>
      <c r="X803" s="3"/>
      <c r="Y803" s="3"/>
      <c r="Z803" s="3"/>
      <c r="AA803" s="3"/>
      <c r="AB803" s="3"/>
      <c r="AC803" s="3"/>
      <c r="AD803" s="3"/>
      <c r="AE803" s="3"/>
      <c r="AF803" s="3"/>
    </row>
    <row r="804" spans="1:32" x14ac:dyDescent="0.15">
      <c r="A804" s="3"/>
      <c r="I804" s="3"/>
      <c r="J804" s="3"/>
      <c r="K804" s="3"/>
      <c r="L804" s="139"/>
      <c r="M804" s="3"/>
      <c r="N804" s="3"/>
      <c r="O804" s="3"/>
      <c r="P804" s="3"/>
      <c r="Q804" s="3"/>
      <c r="R804" s="3"/>
      <c r="S804" s="3"/>
      <c r="T804" s="3"/>
      <c r="U804" s="3"/>
      <c r="V804" s="3"/>
      <c r="W804" s="3"/>
      <c r="X804" s="3"/>
      <c r="Y804" s="3"/>
      <c r="Z804" s="3"/>
      <c r="AA804" s="3"/>
      <c r="AB804" s="3"/>
      <c r="AC804" s="3"/>
      <c r="AD804" s="3"/>
      <c r="AE804" s="3"/>
      <c r="AF804" s="3"/>
    </row>
    <row r="805" spans="1:32" x14ac:dyDescent="0.15">
      <c r="A805" s="3"/>
      <c r="I805" s="3"/>
      <c r="J805" s="3"/>
      <c r="K805" s="3"/>
      <c r="L805" s="139"/>
      <c r="M805" s="3"/>
      <c r="N805" s="3"/>
      <c r="O805" s="3"/>
      <c r="P805" s="3"/>
      <c r="Q805" s="3"/>
      <c r="R805" s="3"/>
      <c r="S805" s="3"/>
      <c r="T805" s="3"/>
      <c r="U805" s="3"/>
      <c r="V805" s="3"/>
      <c r="W805" s="3"/>
      <c r="X805" s="3"/>
      <c r="Y805" s="3"/>
      <c r="Z805" s="3"/>
      <c r="AA805" s="3"/>
      <c r="AB805" s="3"/>
      <c r="AC805" s="3"/>
      <c r="AD805" s="3"/>
      <c r="AE805" s="3"/>
      <c r="AF805" s="3"/>
    </row>
    <row r="806" spans="1:32" x14ac:dyDescent="0.15">
      <c r="A806" s="3"/>
      <c r="I806" s="3"/>
      <c r="J806" s="3"/>
      <c r="K806" s="3"/>
      <c r="L806" s="139"/>
      <c r="M806" s="3"/>
      <c r="N806" s="3"/>
      <c r="O806" s="3"/>
      <c r="P806" s="3"/>
      <c r="Q806" s="3"/>
      <c r="R806" s="3"/>
      <c r="S806" s="3"/>
      <c r="T806" s="3"/>
      <c r="U806" s="3"/>
      <c r="V806" s="3"/>
      <c r="W806" s="3"/>
      <c r="X806" s="3"/>
      <c r="Y806" s="3"/>
      <c r="Z806" s="3"/>
      <c r="AA806" s="3"/>
      <c r="AB806" s="3"/>
      <c r="AC806" s="3"/>
      <c r="AD806" s="3"/>
      <c r="AE806" s="3"/>
      <c r="AF806" s="3"/>
    </row>
    <row r="807" spans="1:32" x14ac:dyDescent="0.15">
      <c r="A807" s="3"/>
      <c r="I807" s="3"/>
      <c r="J807" s="3"/>
      <c r="K807" s="3"/>
      <c r="L807" s="139"/>
      <c r="M807" s="3"/>
      <c r="N807" s="3"/>
      <c r="O807" s="3"/>
      <c r="P807" s="3"/>
      <c r="Q807" s="3"/>
      <c r="R807" s="3"/>
      <c r="S807" s="3"/>
      <c r="T807" s="3"/>
      <c r="U807" s="3"/>
      <c r="V807" s="3"/>
      <c r="W807" s="3"/>
      <c r="X807" s="3"/>
      <c r="Y807" s="3"/>
      <c r="Z807" s="3"/>
      <c r="AA807" s="3"/>
      <c r="AB807" s="3"/>
      <c r="AC807" s="3"/>
      <c r="AD807" s="3"/>
      <c r="AE807" s="3"/>
      <c r="AF807" s="3"/>
    </row>
    <row r="808" spans="1:32" x14ac:dyDescent="0.15">
      <c r="A808" s="3"/>
      <c r="I808" s="3"/>
      <c r="J808" s="3"/>
      <c r="K808" s="3"/>
      <c r="L808" s="139"/>
      <c r="M808" s="3"/>
      <c r="N808" s="3"/>
      <c r="O808" s="3"/>
      <c r="P808" s="3"/>
      <c r="Q808" s="3"/>
      <c r="R808" s="3"/>
      <c r="S808" s="3"/>
      <c r="T808" s="3"/>
      <c r="U808" s="3"/>
      <c r="V808" s="3"/>
      <c r="W808" s="3"/>
      <c r="X808" s="3"/>
      <c r="Y808" s="3"/>
      <c r="Z808" s="3"/>
      <c r="AA808" s="3"/>
      <c r="AB808" s="3"/>
      <c r="AC808" s="3"/>
      <c r="AD808" s="3"/>
      <c r="AE808" s="3"/>
      <c r="AF808" s="3"/>
    </row>
    <row r="809" spans="1:32" x14ac:dyDescent="0.15">
      <c r="A809" s="3"/>
      <c r="I809" s="3"/>
      <c r="J809" s="3"/>
      <c r="K809" s="3"/>
      <c r="L809" s="139"/>
      <c r="M809" s="3"/>
      <c r="N809" s="3"/>
      <c r="O809" s="3"/>
      <c r="P809" s="3"/>
      <c r="Q809" s="3"/>
      <c r="R809" s="3"/>
      <c r="S809" s="3"/>
      <c r="T809" s="3"/>
      <c r="U809" s="3"/>
      <c r="V809" s="3"/>
      <c r="W809" s="3"/>
      <c r="X809" s="3"/>
      <c r="Y809" s="3"/>
      <c r="Z809" s="3"/>
      <c r="AA809" s="3"/>
      <c r="AB809" s="3"/>
      <c r="AC809" s="3"/>
      <c r="AD809" s="3"/>
      <c r="AE809" s="3"/>
      <c r="AF809" s="3"/>
    </row>
    <row r="810" spans="1:32" x14ac:dyDescent="0.15">
      <c r="A810" s="3"/>
      <c r="I810" s="3"/>
      <c r="J810" s="3"/>
      <c r="K810" s="3"/>
      <c r="L810" s="139"/>
      <c r="M810" s="3"/>
      <c r="N810" s="3"/>
      <c r="O810" s="3"/>
      <c r="P810" s="3"/>
      <c r="Q810" s="3"/>
      <c r="R810" s="3"/>
      <c r="S810" s="3"/>
      <c r="T810" s="3"/>
      <c r="U810" s="3"/>
      <c r="V810" s="3"/>
      <c r="W810" s="3"/>
      <c r="X810" s="3"/>
      <c r="Y810" s="3"/>
      <c r="Z810" s="3"/>
      <c r="AA810" s="3"/>
      <c r="AB810" s="3"/>
      <c r="AC810" s="3"/>
      <c r="AD810" s="3"/>
      <c r="AE810" s="3"/>
      <c r="AF810" s="3"/>
    </row>
    <row r="811" spans="1:32" x14ac:dyDescent="0.15">
      <c r="A811" s="3"/>
      <c r="I811" s="3"/>
      <c r="J811" s="3"/>
      <c r="K811" s="3"/>
      <c r="L811" s="139"/>
      <c r="M811" s="3"/>
      <c r="N811" s="3"/>
      <c r="O811" s="3"/>
      <c r="P811" s="3"/>
      <c r="Q811" s="3"/>
      <c r="R811" s="3"/>
      <c r="S811" s="3"/>
      <c r="T811" s="3"/>
      <c r="U811" s="3"/>
      <c r="V811" s="3"/>
      <c r="W811" s="3"/>
      <c r="X811" s="3"/>
      <c r="Y811" s="3"/>
      <c r="Z811" s="3"/>
      <c r="AA811" s="3"/>
      <c r="AB811" s="3"/>
      <c r="AC811" s="3"/>
      <c r="AD811" s="3"/>
      <c r="AE811" s="3"/>
      <c r="AF811" s="3"/>
    </row>
    <row r="812" spans="1:32" x14ac:dyDescent="0.15">
      <c r="A812" s="3"/>
      <c r="I812" s="3"/>
      <c r="J812" s="3"/>
      <c r="K812" s="3"/>
      <c r="L812" s="139"/>
      <c r="M812" s="3"/>
      <c r="N812" s="3"/>
      <c r="O812" s="3"/>
      <c r="P812" s="3"/>
      <c r="Q812" s="3"/>
      <c r="R812" s="3"/>
      <c r="S812" s="3"/>
      <c r="T812" s="3"/>
      <c r="U812" s="3"/>
      <c r="V812" s="3"/>
      <c r="W812" s="3"/>
      <c r="X812" s="3"/>
      <c r="Y812" s="3"/>
      <c r="Z812" s="3"/>
      <c r="AA812" s="3"/>
      <c r="AB812" s="3"/>
      <c r="AC812" s="3"/>
      <c r="AD812" s="3"/>
      <c r="AE812" s="3"/>
      <c r="AF812" s="3"/>
    </row>
    <row r="813" spans="1:32" x14ac:dyDescent="0.15">
      <c r="A813" s="3"/>
      <c r="I813" s="3"/>
      <c r="J813" s="3"/>
      <c r="K813" s="3"/>
      <c r="L813" s="139"/>
      <c r="M813" s="3"/>
      <c r="N813" s="3"/>
      <c r="O813" s="3"/>
      <c r="P813" s="3"/>
      <c r="Q813" s="3"/>
      <c r="R813" s="3"/>
      <c r="S813" s="3"/>
      <c r="T813" s="3"/>
      <c r="U813" s="3"/>
      <c r="V813" s="3"/>
      <c r="W813" s="3"/>
      <c r="X813" s="3"/>
      <c r="Y813" s="3"/>
      <c r="Z813" s="3"/>
      <c r="AA813" s="3"/>
      <c r="AB813" s="3"/>
      <c r="AC813" s="3"/>
      <c r="AD813" s="3"/>
      <c r="AE813" s="3"/>
      <c r="AF813" s="3"/>
    </row>
    <row r="814" spans="1:32" x14ac:dyDescent="0.15">
      <c r="A814" s="3"/>
      <c r="I814" s="3"/>
      <c r="J814" s="3"/>
      <c r="K814" s="3"/>
      <c r="L814" s="139"/>
      <c r="M814" s="3"/>
      <c r="N814" s="3"/>
      <c r="O814" s="3"/>
      <c r="P814" s="3"/>
      <c r="Q814" s="3"/>
      <c r="R814" s="3"/>
      <c r="S814" s="3"/>
      <c r="T814" s="3"/>
      <c r="U814" s="3"/>
      <c r="V814" s="3"/>
      <c r="W814" s="3"/>
      <c r="X814" s="3"/>
      <c r="Y814" s="3"/>
      <c r="Z814" s="3"/>
      <c r="AA814" s="3"/>
      <c r="AB814" s="3"/>
      <c r="AC814" s="3"/>
      <c r="AD814" s="3"/>
      <c r="AE814" s="3"/>
      <c r="AF814" s="3"/>
    </row>
    <row r="815" spans="1:32" x14ac:dyDescent="0.15">
      <c r="A815" s="3"/>
      <c r="I815" s="3"/>
      <c r="J815" s="3"/>
      <c r="K815" s="3"/>
      <c r="L815" s="139"/>
      <c r="M815" s="3"/>
      <c r="N815" s="3"/>
      <c r="O815" s="3"/>
      <c r="P815" s="3"/>
      <c r="Q815" s="3"/>
      <c r="R815" s="3"/>
      <c r="S815" s="3"/>
      <c r="T815" s="3"/>
      <c r="U815" s="3"/>
      <c r="V815" s="3"/>
      <c r="W815" s="3"/>
      <c r="X815" s="3"/>
      <c r="Y815" s="3"/>
      <c r="Z815" s="3"/>
      <c r="AA815" s="3"/>
      <c r="AB815" s="3"/>
      <c r="AC815" s="3"/>
      <c r="AD815" s="3"/>
      <c r="AE815" s="3"/>
      <c r="AF815" s="3"/>
    </row>
    <row r="816" spans="1:32" x14ac:dyDescent="0.15">
      <c r="A816" s="3"/>
      <c r="I816" s="3"/>
      <c r="J816" s="3"/>
      <c r="K816" s="3"/>
      <c r="L816" s="139"/>
      <c r="M816" s="3"/>
      <c r="N816" s="3"/>
      <c r="O816" s="3"/>
      <c r="P816" s="3"/>
      <c r="Q816" s="3"/>
      <c r="R816" s="3"/>
      <c r="S816" s="3"/>
      <c r="T816" s="3"/>
      <c r="U816" s="3"/>
      <c r="V816" s="3"/>
      <c r="W816" s="3"/>
      <c r="X816" s="3"/>
      <c r="Y816" s="3"/>
      <c r="Z816" s="3"/>
      <c r="AA816" s="3"/>
      <c r="AB816" s="3"/>
      <c r="AC816" s="3"/>
      <c r="AD816" s="3"/>
      <c r="AE816" s="3"/>
      <c r="AF816" s="3"/>
    </row>
    <row r="817" spans="1:32" x14ac:dyDescent="0.15">
      <c r="A817" s="3"/>
      <c r="I817" s="3"/>
      <c r="J817" s="3"/>
      <c r="K817" s="3"/>
      <c r="L817" s="139"/>
      <c r="M817" s="3"/>
      <c r="N817" s="3"/>
      <c r="O817" s="3"/>
      <c r="P817" s="3"/>
      <c r="Q817" s="3"/>
      <c r="R817" s="3"/>
      <c r="S817" s="3"/>
      <c r="T817" s="3"/>
      <c r="U817" s="3"/>
      <c r="V817" s="3"/>
      <c r="W817" s="3"/>
      <c r="X817" s="3"/>
      <c r="Y817" s="3"/>
      <c r="Z817" s="3"/>
      <c r="AA817" s="3"/>
      <c r="AB817" s="3"/>
      <c r="AC817" s="3"/>
      <c r="AD817" s="3"/>
      <c r="AE817" s="3"/>
      <c r="AF817" s="3"/>
    </row>
    <row r="818" spans="1:32" x14ac:dyDescent="0.15">
      <c r="A818" s="3"/>
      <c r="I818" s="3"/>
      <c r="J818" s="3"/>
      <c r="K818" s="3"/>
      <c r="L818" s="139"/>
      <c r="M818" s="3"/>
      <c r="N818" s="3"/>
      <c r="O818" s="3"/>
      <c r="P818" s="3"/>
      <c r="Q818" s="3"/>
      <c r="R818" s="3"/>
      <c r="S818" s="3"/>
      <c r="T818" s="3"/>
      <c r="U818" s="3"/>
      <c r="V818" s="3"/>
      <c r="W818" s="3"/>
      <c r="X818" s="3"/>
      <c r="Y818" s="3"/>
      <c r="Z818" s="3"/>
      <c r="AA818" s="3"/>
      <c r="AB818" s="3"/>
      <c r="AC818" s="3"/>
      <c r="AD818" s="3"/>
      <c r="AE818" s="3"/>
      <c r="AF818" s="3"/>
    </row>
    <row r="819" spans="1:32" x14ac:dyDescent="0.15">
      <c r="A819" s="3"/>
      <c r="I819" s="3"/>
      <c r="J819" s="3"/>
      <c r="K819" s="3"/>
      <c r="L819" s="139"/>
      <c r="M819" s="3"/>
      <c r="N819" s="3"/>
      <c r="O819" s="3"/>
      <c r="P819" s="3"/>
      <c r="Q819" s="3"/>
      <c r="R819" s="3"/>
      <c r="S819" s="3"/>
      <c r="T819" s="3"/>
      <c r="U819" s="3"/>
      <c r="V819" s="3"/>
      <c r="W819" s="3"/>
      <c r="X819" s="3"/>
      <c r="Y819" s="3"/>
      <c r="Z819" s="3"/>
      <c r="AA819" s="3"/>
      <c r="AB819" s="3"/>
      <c r="AC819" s="3"/>
      <c r="AD819" s="3"/>
      <c r="AE819" s="3"/>
      <c r="AF819" s="3"/>
    </row>
    <row r="820" spans="1:32" x14ac:dyDescent="0.15">
      <c r="A820" s="3"/>
      <c r="I820" s="3"/>
      <c r="J820" s="3"/>
      <c r="K820" s="3"/>
      <c r="L820" s="139"/>
      <c r="M820" s="3"/>
      <c r="N820" s="3"/>
      <c r="O820" s="3"/>
      <c r="P820" s="3"/>
      <c r="Q820" s="3"/>
      <c r="R820" s="3"/>
      <c r="S820" s="3"/>
      <c r="T820" s="3"/>
      <c r="U820" s="3"/>
      <c r="V820" s="3"/>
      <c r="W820" s="3"/>
      <c r="X820" s="3"/>
      <c r="Y820" s="3"/>
      <c r="Z820" s="3"/>
      <c r="AA820" s="3"/>
      <c r="AB820" s="3"/>
      <c r="AC820" s="3"/>
      <c r="AD820" s="3"/>
      <c r="AE820" s="3"/>
      <c r="AF820" s="3"/>
    </row>
    <row r="821" spans="1:32" x14ac:dyDescent="0.15">
      <c r="A821" s="3"/>
      <c r="I821" s="3"/>
      <c r="J821" s="3"/>
      <c r="K821" s="3"/>
      <c r="L821" s="139"/>
      <c r="M821" s="3"/>
      <c r="N821" s="3"/>
      <c r="O821" s="3"/>
      <c r="P821" s="3"/>
      <c r="Q821" s="3"/>
      <c r="R821" s="3"/>
      <c r="S821" s="3"/>
      <c r="T821" s="3"/>
      <c r="U821" s="3"/>
      <c r="V821" s="3"/>
      <c r="W821" s="3"/>
      <c r="X821" s="3"/>
      <c r="Y821" s="3"/>
      <c r="Z821" s="3"/>
      <c r="AA821" s="3"/>
      <c r="AB821" s="3"/>
      <c r="AC821" s="3"/>
      <c r="AD821" s="3"/>
      <c r="AE821" s="3"/>
      <c r="AF821" s="3"/>
    </row>
    <row r="822" spans="1:32" x14ac:dyDescent="0.15">
      <c r="A822" s="3"/>
      <c r="I822" s="3"/>
      <c r="J822" s="3"/>
      <c r="K822" s="3"/>
      <c r="L822" s="139"/>
      <c r="M822" s="3"/>
      <c r="N822" s="3"/>
      <c r="O822" s="3"/>
      <c r="P822" s="3"/>
      <c r="Q822" s="3"/>
      <c r="R822" s="3"/>
      <c r="S822" s="3"/>
      <c r="T822" s="3"/>
      <c r="U822" s="3"/>
      <c r="V822" s="3"/>
      <c r="W822" s="3"/>
      <c r="X822" s="3"/>
      <c r="Y822" s="3"/>
      <c r="Z822" s="3"/>
      <c r="AA822" s="3"/>
      <c r="AB822" s="3"/>
      <c r="AC822" s="3"/>
      <c r="AD822" s="3"/>
      <c r="AE822" s="3"/>
      <c r="AF822" s="3"/>
    </row>
    <row r="823" spans="1:32" x14ac:dyDescent="0.15">
      <c r="A823" s="3"/>
      <c r="I823" s="3"/>
      <c r="J823" s="3"/>
      <c r="K823" s="3"/>
      <c r="L823" s="139"/>
      <c r="M823" s="3"/>
      <c r="N823" s="3"/>
      <c r="O823" s="3"/>
      <c r="P823" s="3"/>
      <c r="Q823" s="3"/>
      <c r="R823" s="3"/>
      <c r="S823" s="3"/>
      <c r="T823" s="3"/>
      <c r="U823" s="3"/>
      <c r="V823" s="3"/>
      <c r="W823" s="3"/>
      <c r="X823" s="3"/>
      <c r="Y823" s="3"/>
      <c r="Z823" s="3"/>
      <c r="AA823" s="3"/>
      <c r="AB823" s="3"/>
      <c r="AC823" s="3"/>
      <c r="AD823" s="3"/>
      <c r="AE823" s="3"/>
      <c r="AF823" s="3"/>
    </row>
    <row r="824" spans="1:32" x14ac:dyDescent="0.15">
      <c r="A824" s="3"/>
      <c r="I824" s="3"/>
      <c r="J824" s="3"/>
      <c r="K824" s="3"/>
      <c r="L824" s="139"/>
      <c r="M824" s="3"/>
      <c r="N824" s="3"/>
      <c r="O824" s="3"/>
      <c r="P824" s="3"/>
      <c r="Q824" s="3"/>
      <c r="R824" s="3"/>
      <c r="S824" s="3"/>
      <c r="T824" s="3"/>
      <c r="U824" s="3"/>
      <c r="V824" s="3"/>
      <c r="W824" s="3"/>
      <c r="X824" s="3"/>
      <c r="Y824" s="3"/>
      <c r="Z824" s="3"/>
      <c r="AA824" s="3"/>
      <c r="AB824" s="3"/>
      <c r="AC824" s="3"/>
      <c r="AD824" s="3"/>
      <c r="AE824" s="3"/>
      <c r="AF824" s="3"/>
    </row>
    <row r="825" spans="1:32" x14ac:dyDescent="0.15">
      <c r="A825" s="3"/>
      <c r="I825" s="3"/>
      <c r="J825" s="3"/>
      <c r="K825" s="3"/>
      <c r="L825" s="139"/>
      <c r="M825" s="3"/>
      <c r="N825" s="3"/>
      <c r="O825" s="3"/>
      <c r="P825" s="3"/>
      <c r="Q825" s="3"/>
      <c r="R825" s="3"/>
      <c r="S825" s="3"/>
      <c r="T825" s="3"/>
      <c r="U825" s="3"/>
      <c r="V825" s="3"/>
      <c r="W825" s="3"/>
      <c r="X825" s="3"/>
      <c r="Y825" s="3"/>
      <c r="Z825" s="3"/>
      <c r="AA825" s="3"/>
      <c r="AB825" s="3"/>
      <c r="AC825" s="3"/>
      <c r="AD825" s="3"/>
      <c r="AE825" s="3"/>
      <c r="AF825" s="3"/>
    </row>
    <row r="826" spans="1:32" x14ac:dyDescent="0.15">
      <c r="A826" s="3"/>
      <c r="I826" s="3"/>
      <c r="J826" s="3"/>
      <c r="K826" s="3"/>
      <c r="L826" s="139"/>
      <c r="M826" s="3"/>
      <c r="N826" s="3"/>
      <c r="O826" s="3"/>
      <c r="P826" s="3"/>
      <c r="Q826" s="3"/>
      <c r="R826" s="3"/>
      <c r="S826" s="3"/>
      <c r="T826" s="3"/>
      <c r="U826" s="3"/>
      <c r="V826" s="3"/>
      <c r="W826" s="3"/>
      <c r="X826" s="3"/>
      <c r="Y826" s="3"/>
      <c r="Z826" s="3"/>
      <c r="AA826" s="3"/>
      <c r="AB826" s="3"/>
      <c r="AC826" s="3"/>
      <c r="AD826" s="3"/>
      <c r="AE826" s="3"/>
      <c r="AF826" s="3"/>
    </row>
    <row r="827" spans="1:32" x14ac:dyDescent="0.15">
      <c r="A827" s="3"/>
      <c r="I827" s="3"/>
      <c r="J827" s="3"/>
      <c r="K827" s="3"/>
      <c r="L827" s="139"/>
      <c r="M827" s="3"/>
      <c r="N827" s="3"/>
      <c r="O827" s="3"/>
      <c r="P827" s="3"/>
      <c r="Q827" s="3"/>
      <c r="R827" s="3"/>
      <c r="S827" s="3"/>
      <c r="T827" s="3"/>
      <c r="U827" s="3"/>
      <c r="V827" s="3"/>
      <c r="W827" s="3"/>
      <c r="X827" s="3"/>
      <c r="Y827" s="3"/>
      <c r="Z827" s="3"/>
      <c r="AA827" s="3"/>
      <c r="AB827" s="3"/>
      <c r="AC827" s="3"/>
      <c r="AD827" s="3"/>
      <c r="AE827" s="3"/>
      <c r="AF827" s="3"/>
    </row>
    <row r="828" spans="1:32" x14ac:dyDescent="0.15">
      <c r="A828" s="3"/>
      <c r="I828" s="3"/>
      <c r="J828" s="3"/>
      <c r="K828" s="3"/>
      <c r="L828" s="139"/>
      <c r="M828" s="3"/>
      <c r="N828" s="3"/>
      <c r="O828" s="3"/>
      <c r="P828" s="3"/>
      <c r="Q828" s="3"/>
      <c r="R828" s="3"/>
      <c r="S828" s="3"/>
      <c r="T828" s="3"/>
      <c r="U828" s="3"/>
      <c r="V828" s="3"/>
      <c r="W828" s="3"/>
      <c r="X828" s="3"/>
      <c r="Y828" s="3"/>
      <c r="Z828" s="3"/>
      <c r="AA828" s="3"/>
      <c r="AB828" s="3"/>
      <c r="AC828" s="3"/>
      <c r="AD828" s="3"/>
      <c r="AE828" s="3"/>
      <c r="AF828" s="3"/>
    </row>
    <row r="829" spans="1:32" x14ac:dyDescent="0.15">
      <c r="A829" s="3"/>
      <c r="I829" s="3"/>
      <c r="J829" s="3"/>
      <c r="K829" s="3"/>
      <c r="L829" s="139"/>
      <c r="M829" s="3"/>
      <c r="N829" s="3"/>
      <c r="O829" s="3"/>
      <c r="P829" s="3"/>
      <c r="Q829" s="3"/>
      <c r="R829" s="3"/>
      <c r="S829" s="3"/>
      <c r="T829" s="3"/>
      <c r="U829" s="3"/>
      <c r="V829" s="3"/>
      <c r="W829" s="3"/>
      <c r="X829" s="3"/>
      <c r="Y829" s="3"/>
      <c r="Z829" s="3"/>
      <c r="AA829" s="3"/>
      <c r="AB829" s="3"/>
      <c r="AC829" s="3"/>
      <c r="AD829" s="3"/>
      <c r="AE829" s="3"/>
      <c r="AF829" s="3"/>
    </row>
    <row r="830" spans="1:32" x14ac:dyDescent="0.15">
      <c r="A830" s="3"/>
      <c r="I830" s="3"/>
      <c r="J830" s="3"/>
      <c r="K830" s="3"/>
      <c r="L830" s="139"/>
      <c r="M830" s="3"/>
      <c r="N830" s="3"/>
      <c r="O830" s="3"/>
      <c r="P830" s="3"/>
      <c r="Q830" s="3"/>
      <c r="R830" s="3"/>
      <c r="S830" s="3"/>
      <c r="T830" s="3"/>
      <c r="U830" s="3"/>
      <c r="V830" s="3"/>
      <c r="W830" s="3"/>
      <c r="X830" s="3"/>
      <c r="Y830" s="3"/>
      <c r="Z830" s="3"/>
      <c r="AA830" s="3"/>
      <c r="AB830" s="3"/>
      <c r="AC830" s="3"/>
      <c r="AD830" s="3"/>
      <c r="AE830" s="3"/>
      <c r="AF830" s="3"/>
    </row>
    <row r="831" spans="1:32" x14ac:dyDescent="0.15">
      <c r="A831" s="3"/>
      <c r="I831" s="3"/>
      <c r="J831" s="3"/>
      <c r="K831" s="3"/>
      <c r="L831" s="139"/>
      <c r="M831" s="3"/>
      <c r="N831" s="3"/>
      <c r="O831" s="3"/>
      <c r="P831" s="3"/>
      <c r="Q831" s="3"/>
      <c r="R831" s="3"/>
      <c r="S831" s="3"/>
      <c r="T831" s="3"/>
      <c r="U831" s="3"/>
      <c r="V831" s="3"/>
      <c r="W831" s="3"/>
      <c r="X831" s="3"/>
      <c r="Y831" s="3"/>
      <c r="Z831" s="3"/>
      <c r="AA831" s="3"/>
      <c r="AB831" s="3"/>
      <c r="AC831" s="3"/>
      <c r="AD831" s="3"/>
      <c r="AE831" s="3"/>
      <c r="AF831" s="3"/>
    </row>
    <row r="832" spans="1:32" x14ac:dyDescent="0.15">
      <c r="A832" s="3"/>
      <c r="I832" s="3"/>
      <c r="J832" s="3"/>
      <c r="K832" s="3"/>
      <c r="L832" s="139"/>
      <c r="M832" s="3"/>
      <c r="N832" s="3"/>
      <c r="O832" s="3"/>
      <c r="P832" s="3"/>
      <c r="Q832" s="3"/>
      <c r="R832" s="3"/>
      <c r="S832" s="3"/>
      <c r="T832" s="3"/>
      <c r="U832" s="3"/>
      <c r="V832" s="3"/>
      <c r="W832" s="3"/>
      <c r="X832" s="3"/>
      <c r="Y832" s="3"/>
      <c r="Z832" s="3"/>
      <c r="AA832" s="3"/>
      <c r="AB832" s="3"/>
      <c r="AC832" s="3"/>
      <c r="AD832" s="3"/>
      <c r="AE832" s="3"/>
      <c r="AF832" s="3"/>
    </row>
    <row r="833" spans="1:32" x14ac:dyDescent="0.15">
      <c r="A833" s="3"/>
      <c r="I833" s="3"/>
      <c r="J833" s="3"/>
      <c r="K833" s="3"/>
      <c r="L833" s="139"/>
      <c r="M833" s="3"/>
      <c r="N833" s="3"/>
      <c r="O833" s="3"/>
      <c r="P833" s="3"/>
      <c r="Q833" s="3"/>
      <c r="R833" s="3"/>
      <c r="S833" s="3"/>
      <c r="T833" s="3"/>
      <c r="U833" s="3"/>
      <c r="V833" s="3"/>
      <c r="W833" s="3"/>
      <c r="X833" s="3"/>
      <c r="Y833" s="3"/>
      <c r="Z833" s="3"/>
      <c r="AA833" s="3"/>
      <c r="AB833" s="3"/>
      <c r="AC833" s="3"/>
      <c r="AD833" s="3"/>
      <c r="AE833" s="3"/>
      <c r="AF833" s="3"/>
    </row>
    <row r="834" spans="1:32" x14ac:dyDescent="0.15">
      <c r="A834" s="3"/>
      <c r="I834" s="3"/>
      <c r="J834" s="3"/>
      <c r="K834" s="3"/>
      <c r="L834" s="139"/>
      <c r="M834" s="3"/>
      <c r="N834" s="3"/>
      <c r="O834" s="3"/>
      <c r="P834" s="3"/>
      <c r="Q834" s="3"/>
      <c r="R834" s="3"/>
      <c r="S834" s="3"/>
      <c r="T834" s="3"/>
      <c r="U834" s="3"/>
      <c r="V834" s="3"/>
      <c r="W834" s="3"/>
      <c r="X834" s="3"/>
      <c r="Y834" s="3"/>
      <c r="Z834" s="3"/>
      <c r="AA834" s="3"/>
      <c r="AB834" s="3"/>
      <c r="AC834" s="3"/>
      <c r="AD834" s="3"/>
      <c r="AE834" s="3"/>
      <c r="AF834" s="3"/>
    </row>
    <row r="835" spans="1:32" x14ac:dyDescent="0.15">
      <c r="A835" s="3"/>
      <c r="I835" s="3"/>
      <c r="J835" s="3"/>
      <c r="K835" s="3"/>
      <c r="L835" s="139"/>
      <c r="M835" s="3"/>
      <c r="N835" s="3"/>
      <c r="O835" s="3"/>
      <c r="P835" s="3"/>
      <c r="Q835" s="3"/>
      <c r="R835" s="3"/>
      <c r="S835" s="3"/>
      <c r="T835" s="3"/>
      <c r="U835" s="3"/>
      <c r="V835" s="3"/>
      <c r="W835" s="3"/>
      <c r="X835" s="3"/>
      <c r="Y835" s="3"/>
      <c r="Z835" s="3"/>
      <c r="AA835" s="3"/>
      <c r="AB835" s="3"/>
      <c r="AC835" s="3"/>
      <c r="AD835" s="3"/>
      <c r="AE835" s="3"/>
      <c r="AF835" s="3"/>
    </row>
    <row r="836" spans="1:32" x14ac:dyDescent="0.15">
      <c r="A836" s="3"/>
      <c r="I836" s="3"/>
      <c r="J836" s="3"/>
      <c r="K836" s="3"/>
      <c r="L836" s="139"/>
      <c r="M836" s="3"/>
      <c r="N836" s="3"/>
      <c r="O836" s="3"/>
      <c r="P836" s="3"/>
      <c r="Q836" s="3"/>
      <c r="R836" s="3"/>
      <c r="S836" s="3"/>
      <c r="T836" s="3"/>
      <c r="U836" s="3"/>
      <c r="V836" s="3"/>
      <c r="W836" s="3"/>
      <c r="X836" s="3"/>
      <c r="Y836" s="3"/>
      <c r="Z836" s="3"/>
      <c r="AA836" s="3"/>
      <c r="AB836" s="3"/>
      <c r="AC836" s="3"/>
      <c r="AD836" s="3"/>
      <c r="AE836" s="3"/>
      <c r="AF836" s="3"/>
    </row>
    <row r="837" spans="1:32" x14ac:dyDescent="0.15">
      <c r="A837" s="3"/>
      <c r="I837" s="3"/>
      <c r="J837" s="3"/>
      <c r="K837" s="3"/>
      <c r="L837" s="139"/>
      <c r="M837" s="3"/>
      <c r="N837" s="3"/>
      <c r="O837" s="3"/>
      <c r="P837" s="3"/>
      <c r="Q837" s="3"/>
      <c r="R837" s="3"/>
      <c r="S837" s="3"/>
      <c r="T837" s="3"/>
      <c r="U837" s="3"/>
      <c r="V837" s="3"/>
      <c r="W837" s="3"/>
      <c r="X837" s="3"/>
      <c r="Y837" s="3"/>
      <c r="Z837" s="3"/>
      <c r="AA837" s="3"/>
      <c r="AB837" s="3"/>
      <c r="AC837" s="3"/>
      <c r="AD837" s="3"/>
      <c r="AE837" s="3"/>
      <c r="AF837" s="3"/>
    </row>
    <row r="838" spans="1:32" x14ac:dyDescent="0.15">
      <c r="A838" s="3"/>
      <c r="I838" s="3"/>
      <c r="J838" s="3"/>
      <c r="K838" s="3"/>
      <c r="L838" s="139"/>
      <c r="M838" s="3"/>
      <c r="N838" s="3"/>
      <c r="O838" s="3"/>
      <c r="P838" s="3"/>
      <c r="Q838" s="3"/>
      <c r="R838" s="3"/>
      <c r="S838" s="3"/>
      <c r="T838" s="3"/>
      <c r="U838" s="3"/>
      <c r="V838" s="3"/>
      <c r="W838" s="3"/>
      <c r="X838" s="3"/>
      <c r="Y838" s="3"/>
      <c r="Z838" s="3"/>
      <c r="AA838" s="3"/>
      <c r="AB838" s="3"/>
      <c r="AC838" s="3"/>
      <c r="AD838" s="3"/>
      <c r="AE838" s="3"/>
      <c r="AF838" s="3"/>
    </row>
    <row r="839" spans="1:32" x14ac:dyDescent="0.15">
      <c r="A839" s="3"/>
      <c r="I839" s="3"/>
      <c r="J839" s="3"/>
      <c r="K839" s="3"/>
      <c r="L839" s="139"/>
      <c r="M839" s="3"/>
      <c r="N839" s="3"/>
      <c r="O839" s="3"/>
      <c r="P839" s="3"/>
      <c r="Q839" s="3"/>
      <c r="R839" s="3"/>
      <c r="S839" s="3"/>
      <c r="T839" s="3"/>
      <c r="U839" s="3"/>
      <c r="V839" s="3"/>
      <c r="W839" s="3"/>
      <c r="X839" s="3"/>
      <c r="Y839" s="3"/>
      <c r="Z839" s="3"/>
      <c r="AA839" s="3"/>
      <c r="AB839" s="3"/>
      <c r="AC839" s="3"/>
      <c r="AD839" s="3"/>
      <c r="AE839" s="3"/>
      <c r="AF839" s="3"/>
    </row>
    <row r="840" spans="1:32" x14ac:dyDescent="0.15">
      <c r="A840" s="3"/>
      <c r="I840" s="3"/>
      <c r="J840" s="3"/>
      <c r="K840" s="3"/>
      <c r="L840" s="139"/>
      <c r="M840" s="3"/>
      <c r="N840" s="3"/>
      <c r="O840" s="3"/>
      <c r="P840" s="3"/>
      <c r="Q840" s="3"/>
      <c r="R840" s="3"/>
      <c r="S840" s="3"/>
      <c r="T840" s="3"/>
      <c r="U840" s="3"/>
      <c r="V840" s="3"/>
      <c r="W840" s="3"/>
      <c r="X840" s="3"/>
      <c r="Y840" s="3"/>
      <c r="Z840" s="3"/>
      <c r="AA840" s="3"/>
      <c r="AB840" s="3"/>
      <c r="AC840" s="3"/>
      <c r="AD840" s="3"/>
      <c r="AE840" s="3"/>
      <c r="AF840" s="3"/>
    </row>
    <row r="841" spans="1:32" x14ac:dyDescent="0.15">
      <c r="A841" s="3"/>
      <c r="I841" s="3"/>
      <c r="J841" s="3"/>
      <c r="K841" s="3"/>
      <c r="L841" s="139"/>
      <c r="M841" s="3"/>
      <c r="N841" s="3"/>
      <c r="O841" s="3"/>
      <c r="P841" s="3"/>
      <c r="Q841" s="3"/>
      <c r="R841" s="3"/>
      <c r="S841" s="3"/>
      <c r="T841" s="3"/>
      <c r="U841" s="3"/>
      <c r="V841" s="3"/>
      <c r="W841" s="3"/>
      <c r="X841" s="3"/>
      <c r="Y841" s="3"/>
      <c r="Z841" s="3"/>
      <c r="AA841" s="3"/>
      <c r="AB841" s="3"/>
      <c r="AC841" s="3"/>
      <c r="AD841" s="3"/>
      <c r="AE841" s="3"/>
      <c r="AF841" s="3"/>
    </row>
    <row r="842" spans="1:32" x14ac:dyDescent="0.15">
      <c r="A842" s="3"/>
      <c r="I842" s="3"/>
      <c r="J842" s="3"/>
      <c r="K842" s="3"/>
      <c r="L842" s="139"/>
      <c r="M842" s="3"/>
      <c r="N842" s="3"/>
      <c r="O842" s="3"/>
      <c r="P842" s="3"/>
      <c r="Q842" s="3"/>
      <c r="R842" s="3"/>
      <c r="S842" s="3"/>
      <c r="T842" s="3"/>
      <c r="U842" s="3"/>
      <c r="V842" s="3"/>
      <c r="W842" s="3"/>
      <c r="X842" s="3"/>
      <c r="Y842" s="3"/>
      <c r="Z842" s="3"/>
      <c r="AA842" s="3"/>
      <c r="AB842" s="3"/>
      <c r="AC842" s="3"/>
      <c r="AD842" s="3"/>
      <c r="AE842" s="3"/>
      <c r="AF842" s="3"/>
    </row>
    <row r="843" spans="1:32" x14ac:dyDescent="0.15">
      <c r="A843" s="3"/>
      <c r="I843" s="3"/>
      <c r="J843" s="3"/>
      <c r="K843" s="3"/>
      <c r="L843" s="139"/>
      <c r="M843" s="3"/>
      <c r="N843" s="3"/>
      <c r="O843" s="3"/>
      <c r="P843" s="3"/>
      <c r="Q843" s="3"/>
      <c r="R843" s="3"/>
      <c r="S843" s="3"/>
      <c r="T843" s="3"/>
      <c r="U843" s="3"/>
      <c r="V843" s="3"/>
      <c r="W843" s="3"/>
      <c r="X843" s="3"/>
      <c r="Y843" s="3"/>
      <c r="Z843" s="3"/>
      <c r="AA843" s="3"/>
      <c r="AB843" s="3"/>
      <c r="AC843" s="3"/>
      <c r="AD843" s="3"/>
      <c r="AE843" s="3"/>
      <c r="AF843" s="3"/>
    </row>
    <row r="844" spans="1:32" x14ac:dyDescent="0.15">
      <c r="A844" s="3"/>
      <c r="I844" s="3"/>
      <c r="J844" s="3"/>
      <c r="K844" s="3"/>
      <c r="L844" s="139"/>
      <c r="M844" s="3"/>
      <c r="N844" s="3"/>
      <c r="O844" s="3"/>
      <c r="P844" s="3"/>
      <c r="Q844" s="3"/>
      <c r="R844" s="3"/>
      <c r="S844" s="3"/>
      <c r="T844" s="3"/>
      <c r="U844" s="3"/>
      <c r="V844" s="3"/>
      <c r="W844" s="3"/>
      <c r="X844" s="3"/>
      <c r="Y844" s="3"/>
      <c r="Z844" s="3"/>
      <c r="AA844" s="3"/>
      <c r="AB844" s="3"/>
      <c r="AC844" s="3"/>
      <c r="AD844" s="3"/>
      <c r="AE844" s="3"/>
      <c r="AF844" s="3"/>
    </row>
    <row r="845" spans="1:32" x14ac:dyDescent="0.15">
      <c r="A845" s="3"/>
      <c r="I845" s="3"/>
      <c r="J845" s="3"/>
      <c r="K845" s="3"/>
      <c r="L845" s="139"/>
      <c r="M845" s="3"/>
      <c r="N845" s="3"/>
      <c r="O845" s="3"/>
      <c r="P845" s="3"/>
      <c r="Q845" s="3"/>
      <c r="R845" s="3"/>
      <c r="S845" s="3"/>
      <c r="T845" s="3"/>
      <c r="U845" s="3"/>
      <c r="V845" s="3"/>
      <c r="W845" s="3"/>
      <c r="X845" s="3"/>
      <c r="Y845" s="3"/>
      <c r="Z845" s="3"/>
      <c r="AA845" s="3"/>
      <c r="AB845" s="3"/>
      <c r="AC845" s="3"/>
      <c r="AD845" s="3"/>
      <c r="AE845" s="3"/>
      <c r="AF845" s="3"/>
    </row>
    <row r="846" spans="1:32" x14ac:dyDescent="0.15">
      <c r="A846" s="3"/>
      <c r="I846" s="3"/>
      <c r="J846" s="3"/>
      <c r="K846" s="3"/>
      <c r="L846" s="139"/>
      <c r="M846" s="3"/>
      <c r="N846" s="3"/>
      <c r="O846" s="3"/>
      <c r="P846" s="3"/>
      <c r="Q846" s="3"/>
      <c r="R846" s="3"/>
      <c r="S846" s="3"/>
      <c r="T846" s="3"/>
      <c r="U846" s="3"/>
      <c r="V846" s="3"/>
      <c r="W846" s="3"/>
      <c r="X846" s="3"/>
      <c r="Y846" s="3"/>
      <c r="Z846" s="3"/>
      <c r="AA846" s="3"/>
      <c r="AB846" s="3"/>
      <c r="AC846" s="3"/>
      <c r="AD846" s="3"/>
      <c r="AE846" s="3"/>
      <c r="AF846" s="3"/>
    </row>
    <row r="847" spans="1:32" x14ac:dyDescent="0.15">
      <c r="A847" s="3"/>
      <c r="I847" s="3"/>
      <c r="J847" s="3"/>
      <c r="K847" s="3"/>
      <c r="L847" s="139"/>
      <c r="M847" s="3"/>
      <c r="N847" s="3"/>
      <c r="O847" s="3"/>
      <c r="P847" s="3"/>
      <c r="Q847" s="3"/>
      <c r="R847" s="3"/>
      <c r="S847" s="3"/>
      <c r="T847" s="3"/>
      <c r="U847" s="3"/>
      <c r="V847" s="3"/>
      <c r="W847" s="3"/>
      <c r="X847" s="3"/>
      <c r="Y847" s="3"/>
      <c r="Z847" s="3"/>
      <c r="AA847" s="3"/>
      <c r="AB847" s="3"/>
      <c r="AC847" s="3"/>
      <c r="AD847" s="3"/>
      <c r="AE847" s="3"/>
      <c r="AF847" s="3"/>
    </row>
    <row r="848" spans="1:32" x14ac:dyDescent="0.15">
      <c r="A848" s="3"/>
      <c r="I848" s="3"/>
      <c r="J848" s="3"/>
      <c r="K848" s="3"/>
      <c r="L848" s="139"/>
      <c r="M848" s="3"/>
      <c r="N848" s="3"/>
      <c r="O848" s="3"/>
      <c r="P848" s="3"/>
      <c r="Q848" s="3"/>
      <c r="R848" s="3"/>
      <c r="S848" s="3"/>
      <c r="T848" s="3"/>
      <c r="U848" s="3"/>
      <c r="V848" s="3"/>
      <c r="W848" s="3"/>
      <c r="X848" s="3"/>
      <c r="Y848" s="3"/>
      <c r="Z848" s="3"/>
      <c r="AA848" s="3"/>
      <c r="AB848" s="3"/>
      <c r="AC848" s="3"/>
      <c r="AD848" s="3"/>
      <c r="AE848" s="3"/>
      <c r="AF848" s="3"/>
    </row>
    <row r="849" spans="1:32" x14ac:dyDescent="0.15">
      <c r="A849" s="3"/>
      <c r="I849" s="3"/>
      <c r="J849" s="3"/>
      <c r="K849" s="3"/>
      <c r="L849" s="139"/>
      <c r="M849" s="3"/>
      <c r="N849" s="3"/>
      <c r="O849" s="3"/>
      <c r="P849" s="3"/>
      <c r="Q849" s="3"/>
      <c r="R849" s="3"/>
      <c r="S849" s="3"/>
      <c r="T849" s="3"/>
      <c r="U849" s="3"/>
      <c r="V849" s="3"/>
      <c r="W849" s="3"/>
      <c r="X849" s="3"/>
      <c r="Y849" s="3"/>
      <c r="Z849" s="3"/>
      <c r="AA849" s="3"/>
      <c r="AB849" s="3"/>
      <c r="AC849" s="3"/>
      <c r="AD849" s="3"/>
      <c r="AE849" s="3"/>
      <c r="AF849" s="3"/>
    </row>
    <row r="850" spans="1:32" x14ac:dyDescent="0.15">
      <c r="A850" s="3"/>
      <c r="I850" s="3"/>
      <c r="J850" s="3"/>
      <c r="K850" s="3"/>
      <c r="L850" s="139"/>
      <c r="M850" s="3"/>
      <c r="N850" s="3"/>
      <c r="O850" s="3"/>
      <c r="P850" s="3"/>
      <c r="Q850" s="3"/>
      <c r="R850" s="3"/>
      <c r="S850" s="3"/>
      <c r="T850" s="3"/>
      <c r="U850" s="3"/>
      <c r="V850" s="3"/>
      <c r="W850" s="3"/>
      <c r="X850" s="3"/>
      <c r="Y850" s="3"/>
      <c r="Z850" s="3"/>
      <c r="AA850" s="3"/>
      <c r="AB850" s="3"/>
      <c r="AC850" s="3"/>
      <c r="AD850" s="3"/>
      <c r="AE850" s="3"/>
      <c r="AF850" s="3"/>
    </row>
    <row r="851" spans="1:32" x14ac:dyDescent="0.15">
      <c r="A851" s="3"/>
      <c r="I851" s="3"/>
      <c r="J851" s="3"/>
      <c r="K851" s="3"/>
      <c r="L851" s="139"/>
      <c r="M851" s="3"/>
      <c r="N851" s="3"/>
      <c r="O851" s="3"/>
      <c r="P851" s="3"/>
      <c r="Q851" s="3"/>
      <c r="R851" s="3"/>
      <c r="S851" s="3"/>
      <c r="T851" s="3"/>
      <c r="U851" s="3"/>
      <c r="V851" s="3"/>
      <c r="W851" s="3"/>
      <c r="X851" s="3"/>
      <c r="Y851" s="3"/>
      <c r="Z851" s="3"/>
      <c r="AA851" s="3"/>
      <c r="AB851" s="3"/>
      <c r="AC851" s="3"/>
      <c r="AD851" s="3"/>
      <c r="AE851" s="3"/>
      <c r="AF851" s="3"/>
    </row>
    <row r="852" spans="1:32" x14ac:dyDescent="0.15">
      <c r="A852" s="3"/>
      <c r="I852" s="3"/>
      <c r="J852" s="3"/>
      <c r="K852" s="3"/>
      <c r="L852" s="139"/>
      <c r="M852" s="3"/>
      <c r="N852" s="3"/>
      <c r="O852" s="3"/>
      <c r="P852" s="3"/>
      <c r="Q852" s="3"/>
      <c r="R852" s="3"/>
      <c r="S852" s="3"/>
      <c r="T852" s="3"/>
      <c r="U852" s="3"/>
      <c r="V852" s="3"/>
      <c r="W852" s="3"/>
      <c r="X852" s="3"/>
      <c r="Y852" s="3"/>
      <c r="Z852" s="3"/>
      <c r="AA852" s="3"/>
      <c r="AB852" s="3"/>
      <c r="AC852" s="3"/>
      <c r="AD852" s="3"/>
      <c r="AE852" s="3"/>
      <c r="AF852" s="3"/>
    </row>
    <row r="853" spans="1:32" x14ac:dyDescent="0.15">
      <c r="A853" s="3"/>
      <c r="I853" s="3"/>
      <c r="J853" s="3"/>
      <c r="K853" s="3"/>
      <c r="L853" s="139"/>
      <c r="M853" s="3"/>
      <c r="N853" s="3"/>
      <c r="O853" s="3"/>
      <c r="P853" s="3"/>
      <c r="Q853" s="3"/>
      <c r="R853" s="3"/>
      <c r="S853" s="3"/>
      <c r="T853" s="3"/>
      <c r="U853" s="3"/>
      <c r="V853" s="3"/>
      <c r="W853" s="3"/>
      <c r="X853" s="3"/>
      <c r="Y853" s="3"/>
      <c r="Z853" s="3"/>
      <c r="AA853" s="3"/>
      <c r="AB853" s="3"/>
      <c r="AC853" s="3"/>
      <c r="AD853" s="3"/>
      <c r="AE853" s="3"/>
      <c r="AF853" s="3"/>
    </row>
    <row r="854" spans="1:32" x14ac:dyDescent="0.15">
      <c r="A854" s="3"/>
      <c r="I854" s="3"/>
      <c r="J854" s="3"/>
      <c r="K854" s="3"/>
      <c r="L854" s="139"/>
      <c r="M854" s="3"/>
      <c r="N854" s="3"/>
      <c r="O854" s="3"/>
      <c r="P854" s="3"/>
      <c r="Q854" s="3"/>
      <c r="R854" s="3"/>
      <c r="S854" s="3"/>
      <c r="T854" s="3"/>
      <c r="U854" s="3"/>
      <c r="V854" s="3"/>
      <c r="W854" s="3"/>
      <c r="X854" s="3"/>
      <c r="Y854" s="3"/>
      <c r="Z854" s="3"/>
      <c r="AA854" s="3"/>
      <c r="AB854" s="3"/>
      <c r="AC854" s="3"/>
      <c r="AD854" s="3"/>
      <c r="AE854" s="3"/>
      <c r="AF854" s="3"/>
    </row>
    <row r="855" spans="1:32" x14ac:dyDescent="0.15">
      <c r="A855" s="3"/>
      <c r="I855" s="3"/>
      <c r="J855" s="3"/>
      <c r="K855" s="3"/>
      <c r="L855" s="139"/>
      <c r="M855" s="3"/>
      <c r="N855" s="3"/>
      <c r="O855" s="3"/>
      <c r="P855" s="3"/>
      <c r="Q855" s="3"/>
      <c r="R855" s="3"/>
      <c r="S855" s="3"/>
      <c r="T855" s="3"/>
      <c r="U855" s="3"/>
      <c r="V855" s="3"/>
      <c r="W855" s="3"/>
      <c r="X855" s="3"/>
      <c r="Y855" s="3"/>
      <c r="Z855" s="3"/>
      <c r="AA855" s="3"/>
      <c r="AB855" s="3"/>
      <c r="AC855" s="3"/>
      <c r="AD855" s="3"/>
      <c r="AE855" s="3"/>
      <c r="AF855" s="3"/>
    </row>
    <row r="856" spans="1:32" x14ac:dyDescent="0.15">
      <c r="A856" s="3"/>
      <c r="I856" s="3"/>
      <c r="J856" s="3"/>
      <c r="K856" s="3"/>
      <c r="L856" s="139"/>
      <c r="M856" s="3"/>
      <c r="N856" s="3"/>
      <c r="O856" s="3"/>
      <c r="P856" s="3"/>
      <c r="Q856" s="3"/>
      <c r="R856" s="3"/>
      <c r="S856" s="3"/>
      <c r="T856" s="3"/>
      <c r="U856" s="3"/>
      <c r="V856" s="3"/>
      <c r="W856" s="3"/>
      <c r="X856" s="3"/>
      <c r="Y856" s="3"/>
      <c r="Z856" s="3"/>
      <c r="AA856" s="3"/>
      <c r="AB856" s="3"/>
      <c r="AC856" s="3"/>
      <c r="AD856" s="3"/>
      <c r="AE856" s="3"/>
      <c r="AF856" s="3"/>
    </row>
    <row r="857" spans="1:32" x14ac:dyDescent="0.15">
      <c r="A857" s="3"/>
      <c r="I857" s="3"/>
      <c r="J857" s="3"/>
      <c r="K857" s="3"/>
      <c r="L857" s="139"/>
      <c r="M857" s="3"/>
      <c r="N857" s="3"/>
      <c r="O857" s="3"/>
      <c r="P857" s="3"/>
      <c r="Q857" s="3"/>
      <c r="R857" s="3"/>
      <c r="S857" s="3"/>
      <c r="T857" s="3"/>
      <c r="U857" s="3"/>
      <c r="V857" s="3"/>
      <c r="W857" s="3"/>
      <c r="X857" s="3"/>
      <c r="Y857" s="3"/>
      <c r="Z857" s="3"/>
      <c r="AA857" s="3"/>
      <c r="AB857" s="3"/>
      <c r="AC857" s="3"/>
      <c r="AD857" s="3"/>
      <c r="AE857" s="3"/>
      <c r="AF857" s="3"/>
    </row>
    <row r="858" spans="1:32" x14ac:dyDescent="0.15">
      <c r="A858" s="3"/>
      <c r="I858" s="3"/>
      <c r="J858" s="3"/>
      <c r="K858" s="3"/>
      <c r="L858" s="139"/>
      <c r="M858" s="3"/>
      <c r="N858" s="3"/>
      <c r="O858" s="3"/>
      <c r="P858" s="3"/>
      <c r="Q858" s="3"/>
      <c r="R858" s="3"/>
      <c r="S858" s="3"/>
      <c r="T858" s="3"/>
      <c r="U858" s="3"/>
      <c r="V858" s="3"/>
      <c r="W858" s="3"/>
      <c r="X858" s="3"/>
      <c r="Y858" s="3"/>
      <c r="Z858" s="3"/>
      <c r="AA858" s="3"/>
      <c r="AB858" s="3"/>
      <c r="AC858" s="3"/>
      <c r="AD858" s="3"/>
      <c r="AE858" s="3"/>
      <c r="AF858" s="3"/>
    </row>
    <row r="859" spans="1:32" x14ac:dyDescent="0.15">
      <c r="A859" s="3"/>
      <c r="I859" s="3"/>
      <c r="J859" s="3"/>
      <c r="K859" s="3"/>
      <c r="L859" s="139"/>
      <c r="M859" s="3"/>
      <c r="N859" s="3"/>
      <c r="O859" s="3"/>
      <c r="P859" s="3"/>
      <c r="Q859" s="3"/>
      <c r="R859" s="3"/>
      <c r="S859" s="3"/>
      <c r="T859" s="3"/>
      <c r="U859" s="3"/>
      <c r="V859" s="3"/>
      <c r="W859" s="3"/>
      <c r="X859" s="3"/>
      <c r="Y859" s="3"/>
      <c r="Z859" s="3"/>
      <c r="AA859" s="3"/>
      <c r="AB859" s="3"/>
      <c r="AC859" s="3"/>
      <c r="AD859" s="3"/>
      <c r="AE859" s="3"/>
      <c r="AF859" s="3"/>
    </row>
    <row r="860" spans="1:32" x14ac:dyDescent="0.15">
      <c r="A860" s="3"/>
      <c r="I860" s="3"/>
      <c r="J860" s="3"/>
      <c r="K860" s="3"/>
      <c r="L860" s="139"/>
      <c r="M860" s="3"/>
      <c r="N860" s="3"/>
      <c r="O860" s="3"/>
      <c r="P860" s="3"/>
      <c r="Q860" s="3"/>
      <c r="R860" s="3"/>
      <c r="S860" s="3"/>
      <c r="T860" s="3"/>
      <c r="U860" s="3"/>
      <c r="V860" s="3"/>
      <c r="W860" s="3"/>
      <c r="X860" s="3"/>
      <c r="Y860" s="3"/>
      <c r="Z860" s="3"/>
      <c r="AA860" s="3"/>
      <c r="AB860" s="3"/>
      <c r="AC860" s="3"/>
      <c r="AD860" s="3"/>
      <c r="AE860" s="3"/>
      <c r="AF860" s="3"/>
    </row>
    <row r="861" spans="1:32" x14ac:dyDescent="0.15">
      <c r="A861" s="3"/>
      <c r="I861" s="3"/>
      <c r="J861" s="3"/>
      <c r="K861" s="3"/>
      <c r="L861" s="139"/>
      <c r="M861" s="3"/>
      <c r="N861" s="3"/>
      <c r="O861" s="3"/>
      <c r="P861" s="3"/>
      <c r="Q861" s="3"/>
      <c r="R861" s="3"/>
      <c r="S861" s="3"/>
      <c r="T861" s="3"/>
      <c r="U861" s="3"/>
      <c r="V861" s="3"/>
      <c r="W861" s="3"/>
      <c r="X861" s="3"/>
      <c r="Y861" s="3"/>
      <c r="Z861" s="3"/>
      <c r="AA861" s="3"/>
      <c r="AB861" s="3"/>
      <c r="AC861" s="3"/>
      <c r="AD861" s="3"/>
      <c r="AE861" s="3"/>
      <c r="AF861" s="3"/>
    </row>
    <row r="862" spans="1:32" x14ac:dyDescent="0.15">
      <c r="A862" s="3"/>
      <c r="I862" s="3"/>
      <c r="J862" s="3"/>
      <c r="K862" s="3"/>
      <c r="L862" s="139"/>
      <c r="M862" s="3"/>
      <c r="N862" s="3"/>
      <c r="O862" s="3"/>
      <c r="P862" s="3"/>
      <c r="Q862" s="3"/>
      <c r="R862" s="3"/>
      <c r="S862" s="3"/>
      <c r="T862" s="3"/>
      <c r="U862" s="3"/>
      <c r="V862" s="3"/>
      <c r="W862" s="3"/>
      <c r="X862" s="3"/>
      <c r="Y862" s="3"/>
      <c r="Z862" s="3"/>
      <c r="AA862" s="3"/>
      <c r="AB862" s="3"/>
      <c r="AC862" s="3"/>
      <c r="AD862" s="3"/>
      <c r="AE862" s="3"/>
      <c r="AF862" s="3"/>
    </row>
    <row r="863" spans="1:32" x14ac:dyDescent="0.15">
      <c r="A863" s="3"/>
      <c r="I863" s="3"/>
      <c r="J863" s="3"/>
      <c r="K863" s="3"/>
      <c r="L863" s="139"/>
      <c r="M863" s="3"/>
      <c r="N863" s="3"/>
      <c r="O863" s="3"/>
      <c r="P863" s="3"/>
      <c r="Q863" s="3"/>
      <c r="R863" s="3"/>
      <c r="S863" s="3"/>
      <c r="T863" s="3"/>
      <c r="U863" s="3"/>
      <c r="V863" s="3"/>
      <c r="W863" s="3"/>
      <c r="X863" s="3"/>
      <c r="Y863" s="3"/>
      <c r="Z863" s="3"/>
      <c r="AA863" s="3"/>
      <c r="AB863" s="3"/>
      <c r="AC863" s="3"/>
      <c r="AD863" s="3"/>
      <c r="AE863" s="3"/>
      <c r="AF863" s="3"/>
    </row>
    <row r="864" spans="1:32" x14ac:dyDescent="0.15">
      <c r="A864" s="3"/>
      <c r="I864" s="3"/>
      <c r="J864" s="3"/>
      <c r="K864" s="3"/>
      <c r="L864" s="139"/>
      <c r="M864" s="3"/>
      <c r="N864" s="3"/>
      <c r="O864" s="3"/>
      <c r="P864" s="3"/>
      <c r="Q864" s="3"/>
      <c r="R864" s="3"/>
      <c r="S864" s="3"/>
      <c r="T864" s="3"/>
      <c r="U864" s="3"/>
      <c r="V864" s="3"/>
      <c r="W864" s="3"/>
      <c r="X864" s="3"/>
      <c r="Y864" s="3"/>
      <c r="Z864" s="3"/>
      <c r="AA864" s="3"/>
      <c r="AB864" s="3"/>
      <c r="AC864" s="3"/>
      <c r="AD864" s="3"/>
      <c r="AE864" s="3"/>
      <c r="AF864" s="3"/>
    </row>
    <row r="865" spans="1:32" x14ac:dyDescent="0.15">
      <c r="A865" s="3"/>
      <c r="I865" s="3"/>
      <c r="J865" s="3"/>
      <c r="K865" s="3"/>
      <c r="L865" s="139"/>
      <c r="M865" s="3"/>
      <c r="N865" s="3"/>
      <c r="O865" s="3"/>
      <c r="P865" s="3"/>
      <c r="Q865" s="3"/>
      <c r="R865" s="3"/>
      <c r="S865" s="3"/>
      <c r="T865" s="3"/>
      <c r="U865" s="3"/>
      <c r="V865" s="3"/>
      <c r="W865" s="3"/>
      <c r="X865" s="3"/>
      <c r="Y865" s="3"/>
      <c r="Z865" s="3"/>
      <c r="AA865" s="3"/>
      <c r="AB865" s="3"/>
      <c r="AC865" s="3"/>
      <c r="AD865" s="3"/>
      <c r="AE865" s="3"/>
      <c r="AF865" s="3"/>
    </row>
    <row r="866" spans="1:32" x14ac:dyDescent="0.15">
      <c r="A866" s="3"/>
      <c r="I866" s="3"/>
      <c r="J866" s="3"/>
      <c r="K866" s="3"/>
      <c r="L866" s="139"/>
      <c r="M866" s="3"/>
      <c r="N866" s="3"/>
      <c r="O866" s="3"/>
      <c r="P866" s="3"/>
      <c r="Q866" s="3"/>
      <c r="R866" s="3"/>
      <c r="S866" s="3"/>
      <c r="T866" s="3"/>
      <c r="U866" s="3"/>
      <c r="V866" s="3"/>
      <c r="W866" s="3"/>
      <c r="X866" s="3"/>
      <c r="Y866" s="3"/>
      <c r="Z866" s="3"/>
      <c r="AA866" s="3"/>
      <c r="AB866" s="3"/>
      <c r="AC866" s="3"/>
      <c r="AD866" s="3"/>
      <c r="AE866" s="3"/>
      <c r="AF866" s="3"/>
    </row>
    <row r="867" spans="1:32" x14ac:dyDescent="0.15">
      <c r="A867" s="3"/>
      <c r="I867" s="3"/>
      <c r="J867" s="3"/>
      <c r="K867" s="3"/>
      <c r="L867" s="139"/>
      <c r="M867" s="3"/>
      <c r="N867" s="3"/>
      <c r="O867" s="3"/>
      <c r="P867" s="3"/>
      <c r="Q867" s="3"/>
      <c r="R867" s="3"/>
      <c r="S867" s="3"/>
      <c r="T867" s="3"/>
      <c r="U867" s="3"/>
      <c r="V867" s="3"/>
      <c r="W867" s="3"/>
      <c r="X867" s="3"/>
      <c r="Y867" s="3"/>
      <c r="Z867" s="3"/>
      <c r="AA867" s="3"/>
      <c r="AB867" s="3"/>
      <c r="AC867" s="3"/>
      <c r="AD867" s="3"/>
      <c r="AE867" s="3"/>
      <c r="AF867" s="3"/>
    </row>
    <row r="868" spans="1:32" x14ac:dyDescent="0.15">
      <c r="A868" s="3"/>
      <c r="I868" s="3"/>
      <c r="J868" s="3"/>
      <c r="K868" s="3"/>
      <c r="L868" s="139"/>
      <c r="M868" s="3"/>
      <c r="N868" s="3"/>
      <c r="O868" s="3"/>
      <c r="P868" s="3"/>
      <c r="Q868" s="3"/>
      <c r="R868" s="3"/>
      <c r="S868" s="3"/>
      <c r="T868" s="3"/>
      <c r="U868" s="3"/>
      <c r="V868" s="3"/>
      <c r="W868" s="3"/>
      <c r="X868" s="3"/>
      <c r="Y868" s="3"/>
      <c r="Z868" s="3"/>
      <c r="AA868" s="3"/>
      <c r="AB868" s="3"/>
      <c r="AC868" s="3"/>
      <c r="AD868" s="3"/>
      <c r="AE868" s="3"/>
      <c r="AF868" s="3"/>
    </row>
    <row r="869" spans="1:32" x14ac:dyDescent="0.15">
      <c r="A869" s="3"/>
      <c r="I869" s="3"/>
      <c r="J869" s="3"/>
      <c r="K869" s="3"/>
      <c r="L869" s="139"/>
      <c r="M869" s="3"/>
      <c r="N869" s="3"/>
      <c r="O869" s="3"/>
      <c r="P869" s="3"/>
      <c r="Q869" s="3"/>
      <c r="R869" s="3"/>
      <c r="S869" s="3"/>
      <c r="T869" s="3"/>
      <c r="U869" s="3"/>
      <c r="V869" s="3"/>
      <c r="W869" s="3"/>
      <c r="X869" s="3"/>
      <c r="Y869" s="3"/>
      <c r="Z869" s="3"/>
      <c r="AA869" s="3"/>
      <c r="AB869" s="3"/>
      <c r="AC869" s="3"/>
      <c r="AD869" s="3"/>
      <c r="AE869" s="3"/>
      <c r="AF869" s="3"/>
    </row>
    <row r="870" spans="1:32" x14ac:dyDescent="0.15">
      <c r="A870" s="3"/>
      <c r="I870" s="3"/>
      <c r="J870" s="3"/>
      <c r="K870" s="3"/>
      <c r="L870" s="139"/>
      <c r="M870" s="3"/>
      <c r="N870" s="3"/>
      <c r="O870" s="3"/>
      <c r="P870" s="3"/>
      <c r="Q870" s="3"/>
      <c r="R870" s="3"/>
      <c r="S870" s="3"/>
      <c r="T870" s="3"/>
      <c r="U870" s="3"/>
      <c r="V870" s="3"/>
      <c r="W870" s="3"/>
      <c r="X870" s="3"/>
      <c r="Y870" s="3"/>
      <c r="Z870" s="3"/>
      <c r="AA870" s="3"/>
      <c r="AB870" s="3"/>
      <c r="AC870" s="3"/>
      <c r="AD870" s="3"/>
      <c r="AE870" s="3"/>
      <c r="AF870" s="3"/>
    </row>
    <row r="871" spans="1:32" x14ac:dyDescent="0.15">
      <c r="A871" s="3"/>
      <c r="I871" s="3"/>
      <c r="J871" s="3"/>
      <c r="K871" s="3"/>
      <c r="L871" s="139"/>
      <c r="M871" s="3"/>
      <c r="N871" s="3"/>
      <c r="O871" s="3"/>
      <c r="P871" s="3"/>
      <c r="Q871" s="3"/>
      <c r="R871" s="3"/>
      <c r="S871" s="3"/>
      <c r="T871" s="3"/>
      <c r="U871" s="3"/>
      <c r="V871" s="3"/>
      <c r="W871" s="3"/>
      <c r="X871" s="3"/>
      <c r="Y871" s="3"/>
      <c r="Z871" s="3"/>
      <c r="AA871" s="3"/>
      <c r="AB871" s="3"/>
      <c r="AC871" s="3"/>
      <c r="AD871" s="3"/>
      <c r="AE871" s="3"/>
      <c r="AF871" s="3"/>
    </row>
    <row r="872" spans="1:32" x14ac:dyDescent="0.15">
      <c r="A872" s="3"/>
      <c r="I872" s="3"/>
      <c r="J872" s="3"/>
      <c r="K872" s="3"/>
      <c r="L872" s="139"/>
      <c r="M872" s="3"/>
      <c r="N872" s="3"/>
      <c r="O872" s="3"/>
      <c r="P872" s="3"/>
      <c r="Q872" s="3"/>
      <c r="R872" s="3"/>
      <c r="S872" s="3"/>
      <c r="T872" s="3"/>
      <c r="U872" s="3"/>
      <c r="V872" s="3"/>
      <c r="W872" s="3"/>
      <c r="X872" s="3"/>
      <c r="Y872" s="3"/>
      <c r="Z872" s="3"/>
      <c r="AA872" s="3"/>
      <c r="AB872" s="3"/>
      <c r="AC872" s="3"/>
      <c r="AD872" s="3"/>
      <c r="AE872" s="3"/>
      <c r="AF872" s="3"/>
    </row>
    <row r="873" spans="1:32" x14ac:dyDescent="0.15">
      <c r="A873" s="3"/>
      <c r="I873" s="3"/>
      <c r="J873" s="3"/>
      <c r="K873" s="3"/>
      <c r="L873" s="139"/>
      <c r="M873" s="3"/>
      <c r="N873" s="3"/>
      <c r="O873" s="3"/>
      <c r="P873" s="3"/>
      <c r="Q873" s="3"/>
      <c r="R873" s="3"/>
      <c r="S873" s="3"/>
      <c r="T873" s="3"/>
      <c r="U873" s="3"/>
      <c r="V873" s="3"/>
      <c r="W873" s="3"/>
      <c r="X873" s="3"/>
      <c r="Y873" s="3"/>
      <c r="Z873" s="3"/>
      <c r="AA873" s="3"/>
      <c r="AB873" s="3"/>
      <c r="AC873" s="3"/>
      <c r="AD873" s="3"/>
      <c r="AE873" s="3"/>
      <c r="AF873" s="3"/>
    </row>
    <row r="874" spans="1:32" x14ac:dyDescent="0.15">
      <c r="A874" s="3"/>
      <c r="I874" s="3"/>
      <c r="J874" s="3"/>
      <c r="K874" s="3"/>
      <c r="L874" s="139"/>
      <c r="M874" s="3"/>
      <c r="N874" s="3"/>
      <c r="O874" s="3"/>
      <c r="P874" s="3"/>
      <c r="Q874" s="3"/>
      <c r="R874" s="3"/>
      <c r="S874" s="3"/>
      <c r="T874" s="3"/>
      <c r="U874" s="3"/>
      <c r="V874" s="3"/>
      <c r="W874" s="3"/>
      <c r="X874" s="3"/>
      <c r="Y874" s="3"/>
      <c r="Z874" s="3"/>
      <c r="AA874" s="3"/>
      <c r="AB874" s="3"/>
      <c r="AC874" s="3"/>
      <c r="AD874" s="3"/>
      <c r="AE874" s="3"/>
      <c r="AF874" s="3"/>
    </row>
    <row r="875" spans="1:32" x14ac:dyDescent="0.15">
      <c r="A875" s="3"/>
      <c r="I875" s="3"/>
      <c r="J875" s="3"/>
      <c r="K875" s="3"/>
      <c r="L875" s="139"/>
      <c r="M875" s="3"/>
      <c r="N875" s="3"/>
      <c r="O875" s="3"/>
      <c r="P875" s="3"/>
      <c r="Q875" s="3"/>
      <c r="R875" s="3"/>
      <c r="S875" s="3"/>
      <c r="T875" s="3"/>
      <c r="U875" s="3"/>
      <c r="V875" s="3"/>
      <c r="W875" s="3"/>
      <c r="X875" s="3"/>
      <c r="Y875" s="3"/>
      <c r="Z875" s="3"/>
      <c r="AA875" s="3"/>
      <c r="AB875" s="3"/>
      <c r="AC875" s="3"/>
      <c r="AD875" s="3"/>
      <c r="AE875" s="3"/>
      <c r="AF875" s="3"/>
    </row>
    <row r="876" spans="1:32" x14ac:dyDescent="0.15">
      <c r="A876" s="3"/>
      <c r="I876" s="3"/>
      <c r="J876" s="3"/>
      <c r="K876" s="3"/>
      <c r="L876" s="139"/>
      <c r="M876" s="3"/>
      <c r="N876" s="3"/>
      <c r="O876" s="3"/>
      <c r="P876" s="3"/>
      <c r="Q876" s="3"/>
      <c r="R876" s="3"/>
      <c r="S876" s="3"/>
      <c r="T876" s="3"/>
      <c r="U876" s="3"/>
      <c r="V876" s="3"/>
      <c r="W876" s="3"/>
      <c r="X876" s="3"/>
      <c r="Y876" s="3"/>
      <c r="Z876" s="3"/>
      <c r="AA876" s="3"/>
      <c r="AB876" s="3"/>
      <c r="AC876" s="3"/>
      <c r="AD876" s="3"/>
      <c r="AE876" s="3"/>
      <c r="AF876" s="3"/>
    </row>
    <row r="877" spans="1:32" x14ac:dyDescent="0.15">
      <c r="A877" s="3"/>
      <c r="I877" s="3"/>
      <c r="J877" s="3"/>
      <c r="K877" s="3"/>
      <c r="L877" s="139"/>
      <c r="M877" s="3"/>
      <c r="N877" s="3"/>
      <c r="O877" s="3"/>
      <c r="P877" s="3"/>
      <c r="Q877" s="3"/>
      <c r="R877" s="3"/>
      <c r="S877" s="3"/>
      <c r="T877" s="3"/>
      <c r="U877" s="3"/>
      <c r="V877" s="3"/>
      <c r="W877" s="3"/>
      <c r="X877" s="3"/>
      <c r="Y877" s="3"/>
      <c r="Z877" s="3"/>
      <c r="AA877" s="3"/>
      <c r="AB877" s="3"/>
      <c r="AC877" s="3"/>
      <c r="AD877" s="3"/>
      <c r="AE877" s="3"/>
      <c r="AF877" s="3"/>
    </row>
    <row r="878" spans="1:32" x14ac:dyDescent="0.15">
      <c r="A878" s="3"/>
      <c r="I878" s="3"/>
      <c r="J878" s="3"/>
      <c r="K878" s="3"/>
      <c r="L878" s="139"/>
      <c r="M878" s="3"/>
      <c r="N878" s="3"/>
      <c r="O878" s="3"/>
      <c r="P878" s="3"/>
      <c r="Q878" s="3"/>
      <c r="R878" s="3"/>
      <c r="S878" s="3"/>
      <c r="T878" s="3"/>
      <c r="U878" s="3"/>
      <c r="V878" s="3"/>
      <c r="W878" s="3"/>
      <c r="X878" s="3"/>
      <c r="Y878" s="3"/>
      <c r="Z878" s="3"/>
      <c r="AA878" s="3"/>
      <c r="AB878" s="3"/>
      <c r="AC878" s="3"/>
      <c r="AD878" s="3"/>
      <c r="AE878" s="3"/>
      <c r="AF878" s="3"/>
    </row>
    <row r="879" spans="1:32" x14ac:dyDescent="0.15">
      <c r="A879" s="3"/>
      <c r="I879" s="3"/>
      <c r="J879" s="3"/>
      <c r="K879" s="3"/>
      <c r="L879" s="139"/>
      <c r="M879" s="3"/>
      <c r="N879" s="3"/>
      <c r="O879" s="3"/>
      <c r="P879" s="3"/>
      <c r="Q879" s="3"/>
      <c r="R879" s="3"/>
      <c r="S879" s="3"/>
      <c r="T879" s="3"/>
      <c r="U879" s="3"/>
      <c r="V879" s="3"/>
      <c r="W879" s="3"/>
      <c r="X879" s="3"/>
      <c r="Y879" s="3"/>
      <c r="Z879" s="3"/>
      <c r="AA879" s="3"/>
      <c r="AB879" s="3"/>
      <c r="AC879" s="3"/>
      <c r="AD879" s="3"/>
      <c r="AE879" s="3"/>
      <c r="AF879" s="3"/>
    </row>
    <row r="880" spans="1:32" x14ac:dyDescent="0.15">
      <c r="A880" s="3"/>
      <c r="I880" s="3"/>
      <c r="J880" s="3"/>
      <c r="K880" s="3"/>
      <c r="L880" s="139"/>
      <c r="M880" s="3"/>
      <c r="N880" s="3"/>
      <c r="O880" s="3"/>
      <c r="P880" s="3"/>
      <c r="Q880" s="3"/>
      <c r="R880" s="3"/>
      <c r="S880" s="3"/>
      <c r="T880" s="3"/>
      <c r="U880" s="3"/>
      <c r="V880" s="3"/>
      <c r="W880" s="3"/>
      <c r="X880" s="3"/>
      <c r="Y880" s="3"/>
      <c r="Z880" s="3"/>
      <c r="AA880" s="3"/>
      <c r="AB880" s="3"/>
      <c r="AC880" s="3"/>
      <c r="AD880" s="3"/>
      <c r="AE880" s="3"/>
      <c r="AF880" s="3"/>
    </row>
    <row r="881" spans="1:32" x14ac:dyDescent="0.15">
      <c r="A881" s="3"/>
      <c r="I881" s="3"/>
      <c r="J881" s="3"/>
      <c r="K881" s="3"/>
      <c r="L881" s="139"/>
      <c r="M881" s="3"/>
      <c r="N881" s="3"/>
      <c r="O881" s="3"/>
      <c r="P881" s="3"/>
      <c r="Q881" s="3"/>
      <c r="R881" s="3"/>
      <c r="S881" s="3"/>
      <c r="T881" s="3"/>
      <c r="U881" s="3"/>
      <c r="V881" s="3"/>
      <c r="W881" s="3"/>
      <c r="X881" s="3"/>
      <c r="Y881" s="3"/>
      <c r="Z881" s="3"/>
      <c r="AA881" s="3"/>
      <c r="AB881" s="3"/>
      <c r="AC881" s="3"/>
      <c r="AD881" s="3"/>
      <c r="AE881" s="3"/>
      <c r="AF881" s="3"/>
    </row>
    <row r="882" spans="1:32" x14ac:dyDescent="0.15">
      <c r="A882" s="3"/>
      <c r="I882" s="3"/>
      <c r="J882" s="3"/>
      <c r="K882" s="3"/>
      <c r="L882" s="139"/>
      <c r="M882" s="3"/>
      <c r="N882" s="3"/>
      <c r="O882" s="3"/>
      <c r="P882" s="3"/>
      <c r="Q882" s="3"/>
      <c r="R882" s="3"/>
      <c r="S882" s="3"/>
      <c r="T882" s="3"/>
      <c r="U882" s="3"/>
      <c r="V882" s="3"/>
      <c r="W882" s="3"/>
      <c r="X882" s="3"/>
      <c r="Y882" s="3"/>
      <c r="Z882" s="3"/>
      <c r="AA882" s="3"/>
      <c r="AB882" s="3"/>
      <c r="AC882" s="3"/>
      <c r="AD882" s="3"/>
      <c r="AE882" s="3"/>
      <c r="AF882" s="3"/>
    </row>
    <row r="883" spans="1:32" x14ac:dyDescent="0.15">
      <c r="A883" s="3"/>
      <c r="I883" s="3"/>
      <c r="J883" s="3"/>
      <c r="K883" s="3"/>
      <c r="L883" s="139"/>
      <c r="M883" s="3"/>
      <c r="N883" s="3"/>
      <c r="O883" s="3"/>
      <c r="P883" s="3"/>
      <c r="Q883" s="3"/>
      <c r="R883" s="3"/>
      <c r="S883" s="3"/>
      <c r="T883" s="3"/>
      <c r="U883" s="3"/>
      <c r="V883" s="3"/>
      <c r="W883" s="3"/>
      <c r="X883" s="3"/>
      <c r="Y883" s="3"/>
      <c r="Z883" s="3"/>
      <c r="AA883" s="3"/>
      <c r="AB883" s="3"/>
      <c r="AC883" s="3"/>
      <c r="AD883" s="3"/>
      <c r="AE883" s="3"/>
      <c r="AF883" s="3"/>
    </row>
    <row r="884" spans="1:32" x14ac:dyDescent="0.15">
      <c r="A884" s="3"/>
      <c r="I884" s="3"/>
      <c r="J884" s="3"/>
      <c r="K884" s="3"/>
      <c r="L884" s="139"/>
      <c r="M884" s="3"/>
      <c r="N884" s="3"/>
      <c r="O884" s="3"/>
      <c r="P884" s="3"/>
      <c r="Q884" s="3"/>
      <c r="R884" s="3"/>
      <c r="S884" s="3"/>
      <c r="T884" s="3"/>
      <c r="U884" s="3"/>
      <c r="V884" s="3"/>
      <c r="W884" s="3"/>
      <c r="X884" s="3"/>
      <c r="Y884" s="3"/>
      <c r="Z884" s="3"/>
      <c r="AA884" s="3"/>
      <c r="AB884" s="3"/>
      <c r="AC884" s="3"/>
      <c r="AD884" s="3"/>
      <c r="AE884" s="3"/>
      <c r="AF884" s="3"/>
    </row>
    <row r="885" spans="1:32" x14ac:dyDescent="0.15">
      <c r="A885" s="3"/>
      <c r="I885" s="3"/>
      <c r="J885" s="3"/>
      <c r="K885" s="3"/>
      <c r="L885" s="139"/>
      <c r="M885" s="3"/>
      <c r="N885" s="3"/>
      <c r="O885" s="3"/>
      <c r="P885" s="3"/>
      <c r="Q885" s="3"/>
      <c r="R885" s="3"/>
      <c r="S885" s="3"/>
      <c r="T885" s="3"/>
      <c r="U885" s="3"/>
      <c r="V885" s="3"/>
      <c r="W885" s="3"/>
      <c r="X885" s="3"/>
      <c r="Y885" s="3"/>
      <c r="Z885" s="3"/>
      <c r="AA885" s="3"/>
      <c r="AB885" s="3"/>
      <c r="AC885" s="3"/>
      <c r="AD885" s="3"/>
      <c r="AE885" s="3"/>
      <c r="AF885" s="3"/>
    </row>
    <row r="886" spans="1:32" x14ac:dyDescent="0.15">
      <c r="A886" s="3"/>
      <c r="I886" s="3"/>
      <c r="J886" s="3"/>
      <c r="K886" s="3"/>
      <c r="L886" s="139"/>
      <c r="M886" s="3"/>
      <c r="N886" s="3"/>
      <c r="O886" s="3"/>
      <c r="P886" s="3"/>
      <c r="Q886" s="3"/>
      <c r="R886" s="3"/>
      <c r="S886" s="3"/>
      <c r="T886" s="3"/>
      <c r="U886" s="3"/>
      <c r="V886" s="3"/>
      <c r="W886" s="3"/>
      <c r="X886" s="3"/>
      <c r="Y886" s="3"/>
      <c r="Z886" s="3"/>
      <c r="AA886" s="3"/>
      <c r="AB886" s="3"/>
      <c r="AC886" s="3"/>
      <c r="AD886" s="3"/>
      <c r="AE886" s="3"/>
      <c r="AF886" s="3"/>
    </row>
    <row r="887" spans="1:32" x14ac:dyDescent="0.15">
      <c r="A887" s="3"/>
      <c r="I887" s="3"/>
      <c r="J887" s="3"/>
      <c r="K887" s="3"/>
      <c r="L887" s="139"/>
      <c r="M887" s="3"/>
      <c r="N887" s="3"/>
      <c r="O887" s="3"/>
      <c r="P887" s="3"/>
      <c r="Q887" s="3"/>
      <c r="R887" s="3"/>
      <c r="S887" s="3"/>
      <c r="T887" s="3"/>
      <c r="U887" s="3"/>
      <c r="V887" s="3"/>
      <c r="W887" s="3"/>
      <c r="X887" s="3"/>
      <c r="Y887" s="3"/>
      <c r="Z887" s="3"/>
      <c r="AA887" s="3"/>
      <c r="AB887" s="3"/>
      <c r="AC887" s="3"/>
      <c r="AD887" s="3"/>
      <c r="AE887" s="3"/>
      <c r="AF887" s="3"/>
    </row>
    <row r="888" spans="1:32" x14ac:dyDescent="0.15">
      <c r="A888" s="3"/>
      <c r="I888" s="3"/>
      <c r="J888" s="3"/>
      <c r="K888" s="3"/>
      <c r="L888" s="139"/>
      <c r="M888" s="3"/>
      <c r="N888" s="3"/>
      <c r="O888" s="3"/>
      <c r="P888" s="3"/>
      <c r="Q888" s="3"/>
      <c r="R888" s="3"/>
      <c r="S888" s="3"/>
      <c r="T888" s="3"/>
      <c r="U888" s="3"/>
      <c r="V888" s="3"/>
      <c r="W888" s="3"/>
      <c r="X888" s="3"/>
      <c r="Y888" s="3"/>
      <c r="Z888" s="3"/>
      <c r="AA888" s="3"/>
      <c r="AB888" s="3"/>
      <c r="AC888" s="3"/>
      <c r="AD888" s="3"/>
      <c r="AE888" s="3"/>
      <c r="AF888" s="3"/>
    </row>
    <row r="889" spans="1:32" x14ac:dyDescent="0.15">
      <c r="A889" s="3"/>
      <c r="I889" s="3"/>
      <c r="J889" s="3"/>
      <c r="K889" s="3"/>
      <c r="L889" s="139"/>
      <c r="M889" s="3"/>
      <c r="N889" s="3"/>
      <c r="O889" s="3"/>
      <c r="P889" s="3"/>
      <c r="Q889" s="3"/>
      <c r="R889" s="3"/>
      <c r="S889" s="3"/>
      <c r="T889" s="3"/>
      <c r="U889" s="3"/>
      <c r="V889" s="3"/>
      <c r="W889" s="3"/>
      <c r="X889" s="3"/>
      <c r="Y889" s="3"/>
      <c r="Z889" s="3"/>
      <c r="AA889" s="3"/>
      <c r="AB889" s="3"/>
      <c r="AC889" s="3"/>
      <c r="AD889" s="3"/>
      <c r="AE889" s="3"/>
      <c r="AF889" s="3"/>
    </row>
    <row r="890" spans="1:32" x14ac:dyDescent="0.15">
      <c r="A890" s="3"/>
      <c r="I890" s="3"/>
      <c r="J890" s="3"/>
      <c r="K890" s="3"/>
      <c r="L890" s="139"/>
      <c r="M890" s="3"/>
      <c r="N890" s="3"/>
      <c r="O890" s="3"/>
      <c r="P890" s="3"/>
      <c r="Q890" s="3"/>
      <c r="R890" s="3"/>
      <c r="S890" s="3"/>
      <c r="T890" s="3"/>
      <c r="U890" s="3"/>
      <c r="V890" s="3"/>
      <c r="W890" s="3"/>
      <c r="X890" s="3"/>
      <c r="Y890" s="3"/>
      <c r="Z890" s="3"/>
      <c r="AA890" s="3"/>
      <c r="AB890" s="3"/>
      <c r="AC890" s="3"/>
      <c r="AD890" s="3"/>
      <c r="AE890" s="3"/>
      <c r="AF890" s="3"/>
    </row>
    <row r="891" spans="1:32" x14ac:dyDescent="0.15">
      <c r="A891" s="3"/>
      <c r="I891" s="3"/>
      <c r="J891" s="3"/>
      <c r="K891" s="3"/>
      <c r="L891" s="139"/>
      <c r="M891" s="3"/>
      <c r="N891" s="3"/>
      <c r="O891" s="3"/>
      <c r="P891" s="3"/>
      <c r="Q891" s="3"/>
      <c r="R891" s="3"/>
      <c r="S891" s="3"/>
      <c r="T891" s="3"/>
      <c r="U891" s="3"/>
      <c r="V891" s="3"/>
      <c r="W891" s="3"/>
      <c r="X891" s="3"/>
      <c r="Y891" s="3"/>
      <c r="Z891" s="3"/>
      <c r="AA891" s="3"/>
      <c r="AB891" s="3"/>
      <c r="AC891" s="3"/>
      <c r="AD891" s="3"/>
      <c r="AE891" s="3"/>
      <c r="AF891" s="3"/>
    </row>
    <row r="892" spans="1:32" x14ac:dyDescent="0.15">
      <c r="A892" s="3"/>
      <c r="I892" s="3"/>
      <c r="J892" s="3"/>
      <c r="K892" s="3"/>
      <c r="L892" s="139"/>
      <c r="M892" s="3"/>
      <c r="N892" s="3"/>
      <c r="O892" s="3"/>
      <c r="P892" s="3"/>
      <c r="Q892" s="3"/>
      <c r="R892" s="3"/>
      <c r="S892" s="3"/>
      <c r="T892" s="3"/>
      <c r="U892" s="3"/>
      <c r="V892" s="3"/>
      <c r="W892" s="3"/>
      <c r="X892" s="3"/>
      <c r="Y892" s="3"/>
      <c r="Z892" s="3"/>
      <c r="AA892" s="3"/>
      <c r="AB892" s="3"/>
      <c r="AC892" s="3"/>
      <c r="AD892" s="3"/>
      <c r="AE892" s="3"/>
      <c r="AF892" s="3"/>
    </row>
    <row r="893" spans="1:32" x14ac:dyDescent="0.15">
      <c r="A893" s="3"/>
      <c r="I893" s="3"/>
      <c r="J893" s="3"/>
      <c r="K893" s="3"/>
      <c r="L893" s="139"/>
      <c r="M893" s="3"/>
      <c r="N893" s="3"/>
      <c r="O893" s="3"/>
      <c r="P893" s="3"/>
      <c r="Q893" s="3"/>
      <c r="R893" s="3"/>
      <c r="S893" s="3"/>
      <c r="T893" s="3"/>
      <c r="U893" s="3"/>
      <c r="V893" s="3"/>
      <c r="W893" s="3"/>
      <c r="X893" s="3"/>
      <c r="Y893" s="3"/>
      <c r="Z893" s="3"/>
      <c r="AA893" s="3"/>
      <c r="AB893" s="3"/>
      <c r="AC893" s="3"/>
      <c r="AD893" s="3"/>
      <c r="AE893" s="3"/>
      <c r="AF893" s="3"/>
    </row>
    <row r="894" spans="1:32" x14ac:dyDescent="0.15">
      <c r="A894" s="3"/>
      <c r="I894" s="3"/>
      <c r="J894" s="3"/>
      <c r="K894" s="3"/>
      <c r="L894" s="139"/>
      <c r="M894" s="3"/>
      <c r="N894" s="3"/>
      <c r="O894" s="3"/>
      <c r="P894" s="3"/>
      <c r="Q894" s="3"/>
      <c r="R894" s="3"/>
      <c r="S894" s="3"/>
      <c r="T894" s="3"/>
      <c r="U894" s="3"/>
      <c r="V894" s="3"/>
      <c r="W894" s="3"/>
      <c r="X894" s="3"/>
      <c r="Y894" s="3"/>
      <c r="Z894" s="3"/>
      <c r="AA894" s="3"/>
      <c r="AB894" s="3"/>
      <c r="AC894" s="3"/>
      <c r="AD894" s="3"/>
      <c r="AE894" s="3"/>
      <c r="AF894" s="3"/>
    </row>
    <row r="895" spans="1:32" x14ac:dyDescent="0.15">
      <c r="A895" s="3"/>
      <c r="I895" s="3"/>
      <c r="J895" s="3"/>
      <c r="K895" s="3"/>
      <c r="L895" s="139"/>
      <c r="M895" s="3"/>
      <c r="N895" s="3"/>
      <c r="O895" s="3"/>
      <c r="P895" s="3"/>
      <c r="Q895" s="3"/>
      <c r="R895" s="3"/>
      <c r="S895" s="3"/>
      <c r="T895" s="3"/>
      <c r="U895" s="3"/>
      <c r="V895" s="3"/>
      <c r="W895" s="3"/>
      <c r="X895" s="3"/>
      <c r="Y895" s="3"/>
      <c r="Z895" s="3"/>
      <c r="AA895" s="3"/>
      <c r="AB895" s="3"/>
      <c r="AC895" s="3"/>
      <c r="AD895" s="3"/>
      <c r="AE895" s="3"/>
      <c r="AF895" s="3"/>
    </row>
    <row r="896" spans="1:32" x14ac:dyDescent="0.15">
      <c r="A896" s="3"/>
      <c r="I896" s="3"/>
      <c r="J896" s="3"/>
      <c r="K896" s="3"/>
      <c r="L896" s="139"/>
      <c r="M896" s="3"/>
      <c r="N896" s="3"/>
      <c r="O896" s="3"/>
      <c r="P896" s="3"/>
      <c r="Q896" s="3"/>
      <c r="R896" s="3"/>
      <c r="S896" s="3"/>
      <c r="T896" s="3"/>
      <c r="U896" s="3"/>
      <c r="V896" s="3"/>
      <c r="W896" s="3"/>
      <c r="X896" s="3"/>
      <c r="Y896" s="3"/>
      <c r="Z896" s="3"/>
      <c r="AA896" s="3"/>
      <c r="AB896" s="3"/>
      <c r="AC896" s="3"/>
      <c r="AD896" s="3"/>
      <c r="AE896" s="3"/>
      <c r="AF896" s="3"/>
    </row>
    <row r="897" spans="1:32" x14ac:dyDescent="0.15">
      <c r="A897" s="3"/>
      <c r="I897" s="3"/>
      <c r="J897" s="3"/>
      <c r="K897" s="3"/>
      <c r="L897" s="139"/>
      <c r="M897" s="3"/>
      <c r="N897" s="3"/>
      <c r="O897" s="3"/>
      <c r="P897" s="3"/>
      <c r="Q897" s="3"/>
      <c r="R897" s="3"/>
      <c r="S897" s="3"/>
      <c r="T897" s="3"/>
      <c r="U897" s="3"/>
      <c r="V897" s="3"/>
      <c r="W897" s="3"/>
      <c r="X897" s="3"/>
      <c r="Y897" s="3"/>
      <c r="Z897" s="3"/>
      <c r="AA897" s="3"/>
      <c r="AB897" s="3"/>
      <c r="AC897" s="3"/>
      <c r="AD897" s="3"/>
      <c r="AE897" s="3"/>
      <c r="AF897" s="3"/>
    </row>
    <row r="898" spans="1:32" x14ac:dyDescent="0.15">
      <c r="A898" s="3"/>
      <c r="I898" s="3"/>
      <c r="J898" s="3"/>
      <c r="K898" s="3"/>
      <c r="L898" s="139"/>
      <c r="M898" s="3"/>
      <c r="N898" s="3"/>
      <c r="O898" s="3"/>
      <c r="P898" s="3"/>
      <c r="Q898" s="3"/>
      <c r="R898" s="3"/>
      <c r="S898" s="3"/>
      <c r="T898" s="3"/>
      <c r="U898" s="3"/>
      <c r="V898" s="3"/>
      <c r="W898" s="3"/>
      <c r="X898" s="3"/>
      <c r="Y898" s="3"/>
      <c r="Z898" s="3"/>
      <c r="AA898" s="3"/>
      <c r="AB898" s="3"/>
      <c r="AC898" s="3"/>
      <c r="AD898" s="3"/>
      <c r="AE898" s="3"/>
      <c r="AF898" s="3"/>
    </row>
    <row r="899" spans="1:32" x14ac:dyDescent="0.15">
      <c r="A899" s="3"/>
      <c r="I899" s="3"/>
      <c r="J899" s="3"/>
      <c r="K899" s="3"/>
      <c r="L899" s="139"/>
      <c r="M899" s="3"/>
      <c r="N899" s="3"/>
      <c r="O899" s="3"/>
      <c r="P899" s="3"/>
      <c r="Q899" s="3"/>
      <c r="R899" s="3"/>
      <c r="S899" s="3"/>
      <c r="T899" s="3"/>
      <c r="U899" s="3"/>
      <c r="V899" s="3"/>
      <c r="W899" s="3"/>
      <c r="X899" s="3"/>
      <c r="Y899" s="3"/>
      <c r="Z899" s="3"/>
      <c r="AA899" s="3"/>
      <c r="AB899" s="3"/>
      <c r="AC899" s="3"/>
      <c r="AD899" s="3"/>
      <c r="AE899" s="3"/>
      <c r="AF899" s="3"/>
    </row>
    <row r="900" spans="1:32" x14ac:dyDescent="0.15">
      <c r="A900" s="3"/>
      <c r="I900" s="3"/>
      <c r="J900" s="3"/>
      <c r="K900" s="3"/>
      <c r="L900" s="139"/>
      <c r="M900" s="3"/>
      <c r="N900" s="3"/>
      <c r="O900" s="3"/>
      <c r="P900" s="3"/>
      <c r="Q900" s="3"/>
      <c r="R900" s="3"/>
      <c r="S900" s="3"/>
      <c r="T900" s="3"/>
      <c r="U900" s="3"/>
      <c r="V900" s="3"/>
      <c r="W900" s="3"/>
      <c r="X900" s="3"/>
      <c r="Y900" s="3"/>
      <c r="Z900" s="3"/>
      <c r="AA900" s="3"/>
      <c r="AB900" s="3"/>
      <c r="AC900" s="3"/>
      <c r="AD900" s="3"/>
      <c r="AE900" s="3"/>
      <c r="AF900" s="3"/>
    </row>
    <row r="901" spans="1:32" x14ac:dyDescent="0.15">
      <c r="A901" s="3"/>
      <c r="I901" s="3"/>
      <c r="J901" s="3"/>
      <c r="K901" s="3"/>
      <c r="L901" s="139"/>
      <c r="M901" s="3"/>
      <c r="N901" s="3"/>
      <c r="O901" s="3"/>
      <c r="P901" s="3"/>
      <c r="Q901" s="3"/>
      <c r="R901" s="3"/>
      <c r="S901" s="3"/>
      <c r="T901" s="3"/>
      <c r="U901" s="3"/>
      <c r="V901" s="3"/>
      <c r="W901" s="3"/>
      <c r="X901" s="3"/>
      <c r="Y901" s="3"/>
      <c r="Z901" s="3"/>
      <c r="AA901" s="3"/>
      <c r="AB901" s="3"/>
      <c r="AC901" s="3"/>
      <c r="AD901" s="3"/>
      <c r="AE901" s="3"/>
      <c r="AF901" s="3"/>
    </row>
    <row r="902" spans="1:32" x14ac:dyDescent="0.15">
      <c r="A902" s="3"/>
      <c r="I902" s="3"/>
      <c r="J902" s="3"/>
      <c r="K902" s="3"/>
      <c r="L902" s="139"/>
      <c r="M902" s="3"/>
      <c r="N902" s="3"/>
      <c r="O902" s="3"/>
      <c r="P902" s="3"/>
      <c r="Q902" s="3"/>
      <c r="R902" s="3"/>
      <c r="S902" s="3"/>
      <c r="T902" s="3"/>
      <c r="U902" s="3"/>
      <c r="V902" s="3"/>
      <c r="W902" s="3"/>
      <c r="X902" s="3"/>
      <c r="Y902" s="3"/>
      <c r="Z902" s="3"/>
      <c r="AA902" s="3"/>
      <c r="AB902" s="3"/>
      <c r="AC902" s="3"/>
      <c r="AD902" s="3"/>
      <c r="AE902" s="3"/>
      <c r="AF902" s="3"/>
    </row>
    <row r="903" spans="1:32" x14ac:dyDescent="0.15">
      <c r="A903" s="3"/>
      <c r="I903" s="3"/>
      <c r="J903" s="3"/>
      <c r="K903" s="3"/>
      <c r="L903" s="139"/>
      <c r="M903" s="3"/>
      <c r="N903" s="3"/>
      <c r="O903" s="3"/>
      <c r="P903" s="3"/>
      <c r="Q903" s="3"/>
      <c r="R903" s="3"/>
      <c r="S903" s="3"/>
      <c r="T903" s="3"/>
      <c r="U903" s="3"/>
      <c r="V903" s="3"/>
      <c r="W903" s="3"/>
      <c r="X903" s="3"/>
      <c r="Y903" s="3"/>
      <c r="Z903" s="3"/>
      <c r="AA903" s="3"/>
      <c r="AB903" s="3"/>
      <c r="AC903" s="3"/>
      <c r="AD903" s="3"/>
      <c r="AE903" s="3"/>
      <c r="AF903" s="3"/>
    </row>
    <row r="904" spans="1:32" x14ac:dyDescent="0.15">
      <c r="A904" s="3"/>
      <c r="I904" s="3"/>
      <c r="J904" s="3"/>
      <c r="K904" s="3"/>
      <c r="L904" s="139"/>
      <c r="M904" s="3"/>
      <c r="N904" s="3"/>
      <c r="O904" s="3"/>
      <c r="P904" s="3"/>
      <c r="Q904" s="3"/>
      <c r="R904" s="3"/>
      <c r="S904" s="3"/>
      <c r="T904" s="3"/>
      <c r="U904" s="3"/>
      <c r="V904" s="3"/>
      <c r="W904" s="3"/>
      <c r="X904" s="3"/>
      <c r="Y904" s="3"/>
      <c r="Z904" s="3"/>
      <c r="AA904" s="3"/>
      <c r="AB904" s="3"/>
      <c r="AC904" s="3"/>
      <c r="AD904" s="3"/>
      <c r="AE904" s="3"/>
      <c r="AF904" s="3"/>
    </row>
    <row r="905" spans="1:32" x14ac:dyDescent="0.15">
      <c r="A905" s="3"/>
      <c r="I905" s="3"/>
      <c r="J905" s="3"/>
      <c r="K905" s="3"/>
      <c r="L905" s="139"/>
      <c r="M905" s="3"/>
      <c r="N905" s="3"/>
      <c r="O905" s="3"/>
      <c r="P905" s="3"/>
      <c r="Q905" s="3"/>
      <c r="R905" s="3"/>
      <c r="S905" s="3"/>
      <c r="T905" s="3"/>
      <c r="U905" s="3"/>
      <c r="V905" s="3"/>
      <c r="W905" s="3"/>
      <c r="X905" s="3"/>
      <c r="Y905" s="3"/>
      <c r="Z905" s="3"/>
      <c r="AA905" s="3"/>
      <c r="AB905" s="3"/>
      <c r="AC905" s="3"/>
      <c r="AD905" s="3"/>
      <c r="AE905" s="3"/>
      <c r="AF905" s="3"/>
    </row>
    <row r="906" spans="1:32" x14ac:dyDescent="0.15">
      <c r="A906" s="3"/>
      <c r="I906" s="3"/>
      <c r="J906" s="3"/>
      <c r="K906" s="3"/>
      <c r="L906" s="139"/>
      <c r="M906" s="3"/>
      <c r="N906" s="3"/>
      <c r="O906" s="3"/>
      <c r="P906" s="3"/>
      <c r="Q906" s="3"/>
      <c r="R906" s="3"/>
      <c r="S906" s="3"/>
      <c r="T906" s="3"/>
      <c r="U906" s="3"/>
      <c r="V906" s="3"/>
      <c r="W906" s="3"/>
      <c r="X906" s="3"/>
      <c r="Y906" s="3"/>
      <c r="Z906" s="3"/>
      <c r="AA906" s="3"/>
      <c r="AB906" s="3"/>
      <c r="AC906" s="3"/>
      <c r="AD906" s="3"/>
      <c r="AE906" s="3"/>
      <c r="AF906" s="3"/>
    </row>
    <row r="907" spans="1:32" x14ac:dyDescent="0.15">
      <c r="A907" s="3"/>
      <c r="I907" s="3"/>
      <c r="J907" s="3"/>
      <c r="K907" s="3"/>
      <c r="L907" s="139"/>
      <c r="M907" s="3"/>
      <c r="N907" s="3"/>
      <c r="O907" s="3"/>
      <c r="P907" s="3"/>
      <c r="Q907" s="3"/>
      <c r="R907" s="3"/>
      <c r="S907" s="3"/>
      <c r="T907" s="3"/>
      <c r="U907" s="3"/>
      <c r="V907" s="3"/>
      <c r="W907" s="3"/>
      <c r="X907" s="3"/>
      <c r="Y907" s="3"/>
      <c r="Z907" s="3"/>
      <c r="AA907" s="3"/>
      <c r="AB907" s="3"/>
      <c r="AC907" s="3"/>
      <c r="AD907" s="3"/>
      <c r="AE907" s="3"/>
      <c r="AF907" s="3"/>
    </row>
    <row r="908" spans="1:32" x14ac:dyDescent="0.15">
      <c r="A908" s="3"/>
      <c r="I908" s="3"/>
      <c r="J908" s="3"/>
      <c r="K908" s="3"/>
      <c r="L908" s="139"/>
      <c r="M908" s="3"/>
      <c r="N908" s="3"/>
      <c r="O908" s="3"/>
      <c r="P908" s="3"/>
      <c r="Q908" s="3"/>
      <c r="R908" s="3"/>
      <c r="S908" s="3"/>
      <c r="T908" s="3"/>
      <c r="U908" s="3"/>
      <c r="V908" s="3"/>
      <c r="W908" s="3"/>
      <c r="X908" s="3"/>
      <c r="Y908" s="3"/>
      <c r="Z908" s="3"/>
      <c r="AA908" s="3"/>
      <c r="AB908" s="3"/>
      <c r="AC908" s="3"/>
      <c r="AD908" s="3"/>
      <c r="AE908" s="3"/>
      <c r="AF908" s="3"/>
    </row>
    <row r="909" spans="1:32" x14ac:dyDescent="0.15">
      <c r="A909" s="3"/>
      <c r="I909" s="3"/>
      <c r="J909" s="3"/>
      <c r="K909" s="3"/>
      <c r="L909" s="139"/>
      <c r="M909" s="3"/>
      <c r="N909" s="3"/>
      <c r="O909" s="3"/>
      <c r="P909" s="3"/>
      <c r="Q909" s="3"/>
      <c r="R909" s="3"/>
      <c r="S909" s="3"/>
      <c r="T909" s="3"/>
      <c r="U909" s="3"/>
      <c r="V909" s="3"/>
      <c r="W909" s="3"/>
      <c r="X909" s="3"/>
      <c r="Y909" s="3"/>
      <c r="Z909" s="3"/>
      <c r="AA909" s="3"/>
      <c r="AB909" s="3"/>
      <c r="AC909" s="3"/>
      <c r="AD909" s="3"/>
      <c r="AE909" s="3"/>
      <c r="AF909" s="3"/>
    </row>
    <row r="910" spans="1:32" x14ac:dyDescent="0.15">
      <c r="A910" s="3"/>
      <c r="I910" s="3"/>
      <c r="J910" s="3"/>
      <c r="K910" s="3"/>
      <c r="L910" s="139"/>
      <c r="M910" s="3"/>
      <c r="N910" s="3"/>
      <c r="O910" s="3"/>
      <c r="P910" s="3"/>
      <c r="Q910" s="3"/>
      <c r="R910" s="3"/>
      <c r="S910" s="3"/>
      <c r="T910" s="3"/>
      <c r="U910" s="3"/>
      <c r="V910" s="3"/>
      <c r="W910" s="3"/>
      <c r="X910" s="3"/>
      <c r="Y910" s="3"/>
      <c r="Z910" s="3"/>
      <c r="AA910" s="3"/>
      <c r="AB910" s="3"/>
      <c r="AC910" s="3"/>
      <c r="AD910" s="3"/>
      <c r="AE910" s="3"/>
      <c r="AF910" s="3"/>
    </row>
    <row r="911" spans="1:32" x14ac:dyDescent="0.15">
      <c r="A911" s="3"/>
      <c r="I911" s="3"/>
      <c r="J911" s="3"/>
      <c r="K911" s="3"/>
      <c r="L911" s="139"/>
      <c r="M911" s="3"/>
      <c r="N911" s="3"/>
      <c r="O911" s="3"/>
      <c r="P911" s="3"/>
      <c r="Q911" s="3"/>
      <c r="R911" s="3"/>
      <c r="S911" s="3"/>
      <c r="T911" s="3"/>
      <c r="U911" s="3"/>
      <c r="V911" s="3"/>
      <c r="W911" s="3"/>
      <c r="X911" s="3"/>
      <c r="Y911" s="3"/>
      <c r="Z911" s="3"/>
      <c r="AA911" s="3"/>
      <c r="AB911" s="3"/>
      <c r="AC911" s="3"/>
      <c r="AD911" s="3"/>
      <c r="AE911" s="3"/>
      <c r="AF911" s="3"/>
    </row>
    <row r="912" spans="1:32" x14ac:dyDescent="0.15">
      <c r="A912" s="3"/>
      <c r="I912" s="3"/>
      <c r="J912" s="3"/>
      <c r="K912" s="3"/>
      <c r="L912" s="139"/>
      <c r="M912" s="3"/>
      <c r="N912" s="3"/>
      <c r="O912" s="3"/>
      <c r="P912" s="3"/>
      <c r="Q912" s="3"/>
      <c r="R912" s="3"/>
      <c r="S912" s="3"/>
      <c r="T912" s="3"/>
      <c r="U912" s="3"/>
      <c r="V912" s="3"/>
      <c r="W912" s="3"/>
      <c r="X912" s="3"/>
      <c r="Y912" s="3"/>
      <c r="Z912" s="3"/>
      <c r="AA912" s="3"/>
      <c r="AB912" s="3"/>
      <c r="AC912" s="3"/>
      <c r="AD912" s="3"/>
      <c r="AE912" s="3"/>
      <c r="AF912" s="3"/>
    </row>
    <row r="913" spans="1:32" x14ac:dyDescent="0.15">
      <c r="A913" s="3"/>
      <c r="I913" s="3"/>
      <c r="J913" s="3"/>
      <c r="K913" s="3"/>
      <c r="L913" s="139"/>
      <c r="M913" s="3"/>
      <c r="N913" s="3"/>
      <c r="O913" s="3"/>
      <c r="P913" s="3"/>
      <c r="Q913" s="3"/>
      <c r="R913" s="3"/>
      <c r="S913" s="3"/>
      <c r="T913" s="3"/>
      <c r="U913" s="3"/>
      <c r="V913" s="3"/>
      <c r="W913" s="3"/>
      <c r="X913" s="3"/>
      <c r="Y913" s="3"/>
      <c r="Z913" s="3"/>
      <c r="AA913" s="3"/>
      <c r="AB913" s="3"/>
      <c r="AC913" s="3"/>
      <c r="AD913" s="3"/>
      <c r="AE913" s="3"/>
      <c r="AF913" s="3"/>
    </row>
    <row r="914" spans="1:32" x14ac:dyDescent="0.15">
      <c r="A914" s="3"/>
      <c r="I914" s="3"/>
      <c r="J914" s="3"/>
      <c r="K914" s="3"/>
      <c r="L914" s="139"/>
      <c r="M914" s="3"/>
      <c r="N914" s="3"/>
      <c r="O914" s="3"/>
      <c r="P914" s="3"/>
      <c r="Q914" s="3"/>
      <c r="R914" s="3"/>
      <c r="S914" s="3"/>
      <c r="T914" s="3"/>
      <c r="U914" s="3"/>
      <c r="V914" s="3"/>
      <c r="W914" s="3"/>
      <c r="X914" s="3"/>
      <c r="Y914" s="3"/>
      <c r="Z914" s="3"/>
      <c r="AA914" s="3"/>
      <c r="AB914" s="3"/>
      <c r="AC914" s="3"/>
      <c r="AD914" s="3"/>
      <c r="AE914" s="3"/>
      <c r="AF914" s="3"/>
    </row>
    <row r="915" spans="1:32" x14ac:dyDescent="0.15">
      <c r="A915" s="3"/>
      <c r="I915" s="3"/>
      <c r="J915" s="3"/>
      <c r="K915" s="3"/>
      <c r="L915" s="139"/>
      <c r="M915" s="3"/>
      <c r="N915" s="3"/>
      <c r="O915" s="3"/>
      <c r="P915" s="3"/>
      <c r="Q915" s="3"/>
      <c r="R915" s="3"/>
      <c r="S915" s="3"/>
      <c r="T915" s="3"/>
      <c r="U915" s="3"/>
      <c r="V915" s="3"/>
      <c r="W915" s="3"/>
      <c r="X915" s="3"/>
      <c r="Y915" s="3"/>
      <c r="Z915" s="3"/>
      <c r="AA915" s="3"/>
      <c r="AB915" s="3"/>
      <c r="AC915" s="3"/>
      <c r="AD915" s="3"/>
      <c r="AE915" s="3"/>
      <c r="AF915" s="3"/>
    </row>
    <row r="916" spans="1:32" x14ac:dyDescent="0.15">
      <c r="A916" s="3"/>
      <c r="I916" s="3"/>
      <c r="J916" s="3"/>
      <c r="K916" s="3"/>
      <c r="L916" s="139"/>
      <c r="M916" s="3"/>
      <c r="N916" s="3"/>
      <c r="O916" s="3"/>
      <c r="P916" s="3"/>
      <c r="Q916" s="3"/>
      <c r="R916" s="3"/>
      <c r="S916" s="3"/>
      <c r="T916" s="3"/>
      <c r="U916" s="3"/>
      <c r="V916" s="3"/>
      <c r="W916" s="3"/>
      <c r="X916" s="3"/>
      <c r="Y916" s="3"/>
      <c r="Z916" s="3"/>
      <c r="AA916" s="3"/>
      <c r="AB916" s="3"/>
      <c r="AC916" s="3"/>
      <c r="AD916" s="3"/>
      <c r="AE916" s="3"/>
      <c r="AF916" s="3"/>
    </row>
    <row r="917" spans="1:32" x14ac:dyDescent="0.15">
      <c r="A917" s="3"/>
      <c r="I917" s="3"/>
      <c r="J917" s="3"/>
      <c r="K917" s="3"/>
      <c r="L917" s="139"/>
      <c r="M917" s="3"/>
      <c r="N917" s="3"/>
      <c r="O917" s="3"/>
      <c r="P917" s="3"/>
      <c r="Q917" s="3"/>
      <c r="R917" s="3"/>
      <c r="S917" s="3"/>
      <c r="T917" s="3"/>
      <c r="U917" s="3"/>
      <c r="V917" s="3"/>
      <c r="W917" s="3"/>
      <c r="X917" s="3"/>
      <c r="Y917" s="3"/>
      <c r="Z917" s="3"/>
      <c r="AA917" s="3"/>
      <c r="AB917" s="3"/>
      <c r="AC917" s="3"/>
      <c r="AD917" s="3"/>
      <c r="AE917" s="3"/>
      <c r="AF917" s="3"/>
    </row>
    <row r="918" spans="1:32" x14ac:dyDescent="0.15">
      <c r="A918" s="3"/>
      <c r="I918" s="3"/>
      <c r="J918" s="3"/>
      <c r="K918" s="3"/>
      <c r="L918" s="139"/>
      <c r="M918" s="3"/>
      <c r="N918" s="3"/>
      <c r="O918" s="3"/>
      <c r="P918" s="3"/>
      <c r="Q918" s="3"/>
      <c r="R918" s="3"/>
      <c r="S918" s="3"/>
      <c r="T918" s="3"/>
      <c r="U918" s="3"/>
      <c r="V918" s="3"/>
      <c r="W918" s="3"/>
      <c r="X918" s="3"/>
      <c r="Y918" s="3"/>
      <c r="Z918" s="3"/>
      <c r="AA918" s="3"/>
      <c r="AB918" s="3"/>
      <c r="AC918" s="3"/>
      <c r="AD918" s="3"/>
      <c r="AE918" s="3"/>
      <c r="AF918" s="3"/>
    </row>
    <row r="919" spans="1:32" x14ac:dyDescent="0.15">
      <c r="A919" s="3"/>
      <c r="I919" s="3"/>
      <c r="J919" s="3"/>
      <c r="K919" s="3"/>
      <c r="L919" s="139"/>
      <c r="M919" s="3"/>
      <c r="N919" s="3"/>
      <c r="O919" s="3"/>
      <c r="P919" s="3"/>
      <c r="Q919" s="3"/>
      <c r="R919" s="3"/>
      <c r="S919" s="3"/>
      <c r="T919" s="3"/>
      <c r="U919" s="3"/>
      <c r="V919" s="3"/>
      <c r="W919" s="3"/>
      <c r="X919" s="3"/>
      <c r="Y919" s="3"/>
      <c r="Z919" s="3"/>
      <c r="AA919" s="3"/>
      <c r="AB919" s="3"/>
      <c r="AC919" s="3"/>
      <c r="AD919" s="3"/>
      <c r="AE919" s="3"/>
      <c r="AF919" s="3"/>
    </row>
    <row r="920" spans="1:32" x14ac:dyDescent="0.15">
      <c r="A920" s="3"/>
      <c r="I920" s="3"/>
      <c r="J920" s="3"/>
      <c r="K920" s="3"/>
      <c r="L920" s="139"/>
      <c r="M920" s="3"/>
      <c r="N920" s="3"/>
      <c r="O920" s="3"/>
      <c r="P920" s="3"/>
      <c r="Q920" s="3"/>
      <c r="R920" s="3"/>
      <c r="S920" s="3"/>
      <c r="T920" s="3"/>
      <c r="U920" s="3"/>
      <c r="V920" s="3"/>
      <c r="W920" s="3"/>
      <c r="X920" s="3"/>
      <c r="Y920" s="3"/>
      <c r="Z920" s="3"/>
      <c r="AA920" s="3"/>
      <c r="AB920" s="3"/>
      <c r="AC920" s="3"/>
      <c r="AD920" s="3"/>
      <c r="AE920" s="3"/>
      <c r="AF920" s="3"/>
    </row>
    <row r="921" spans="1:32" x14ac:dyDescent="0.15">
      <c r="A921" s="3"/>
      <c r="I921" s="3"/>
      <c r="J921" s="3"/>
      <c r="K921" s="3"/>
      <c r="L921" s="139"/>
      <c r="M921" s="3"/>
      <c r="N921" s="3"/>
      <c r="O921" s="3"/>
      <c r="P921" s="3"/>
      <c r="Q921" s="3"/>
      <c r="R921" s="3"/>
      <c r="S921" s="3"/>
      <c r="T921" s="3"/>
      <c r="U921" s="3"/>
      <c r="V921" s="3"/>
      <c r="W921" s="3"/>
      <c r="X921" s="3"/>
      <c r="Y921" s="3"/>
      <c r="Z921" s="3"/>
      <c r="AA921" s="3"/>
      <c r="AB921" s="3"/>
      <c r="AC921" s="3"/>
      <c r="AD921" s="3"/>
      <c r="AE921" s="3"/>
      <c r="AF921" s="3"/>
    </row>
    <row r="922" spans="1:32" x14ac:dyDescent="0.15">
      <c r="A922" s="3"/>
      <c r="I922" s="3"/>
      <c r="J922" s="3"/>
      <c r="K922" s="3"/>
      <c r="L922" s="139"/>
      <c r="M922" s="3"/>
      <c r="N922" s="3"/>
      <c r="O922" s="3"/>
      <c r="P922" s="3"/>
      <c r="Q922" s="3"/>
      <c r="R922" s="3"/>
      <c r="S922" s="3"/>
      <c r="T922" s="3"/>
      <c r="U922" s="3"/>
      <c r="V922" s="3"/>
      <c r="W922" s="3"/>
      <c r="X922" s="3"/>
      <c r="Y922" s="3"/>
      <c r="Z922" s="3"/>
      <c r="AA922" s="3"/>
      <c r="AB922" s="3"/>
      <c r="AC922" s="3"/>
      <c r="AD922" s="3"/>
      <c r="AE922" s="3"/>
      <c r="AF922" s="3"/>
    </row>
    <row r="923" spans="1:32" x14ac:dyDescent="0.15">
      <c r="A923" s="3"/>
      <c r="I923" s="3"/>
      <c r="J923" s="3"/>
      <c r="K923" s="3"/>
      <c r="L923" s="139"/>
      <c r="M923" s="3"/>
      <c r="N923" s="3"/>
      <c r="O923" s="3"/>
      <c r="P923" s="3"/>
      <c r="Q923" s="3"/>
      <c r="R923" s="3"/>
      <c r="S923" s="3"/>
      <c r="T923" s="3"/>
      <c r="U923" s="3"/>
      <c r="V923" s="3"/>
      <c r="W923" s="3"/>
      <c r="X923" s="3"/>
      <c r="Y923" s="3"/>
      <c r="Z923" s="3"/>
      <c r="AA923" s="3"/>
      <c r="AB923" s="3"/>
      <c r="AC923" s="3"/>
      <c r="AD923" s="3"/>
      <c r="AE923" s="3"/>
      <c r="AF923" s="3"/>
    </row>
    <row r="924" spans="1:32" x14ac:dyDescent="0.15">
      <c r="A924" s="3"/>
      <c r="I924" s="3"/>
      <c r="J924" s="3"/>
      <c r="K924" s="3"/>
      <c r="L924" s="139"/>
      <c r="M924" s="3"/>
      <c r="N924" s="3"/>
      <c r="O924" s="3"/>
      <c r="P924" s="3"/>
      <c r="Q924" s="3"/>
      <c r="R924" s="3"/>
      <c r="S924" s="3"/>
      <c r="T924" s="3"/>
      <c r="U924" s="3"/>
      <c r="V924" s="3"/>
      <c r="W924" s="3"/>
      <c r="X924" s="3"/>
      <c r="Y924" s="3"/>
      <c r="Z924" s="3"/>
      <c r="AA924" s="3"/>
      <c r="AB924" s="3"/>
      <c r="AC924" s="3"/>
      <c r="AD924" s="3"/>
      <c r="AE924" s="3"/>
      <c r="AF924" s="3"/>
    </row>
    <row r="925" spans="1:32" x14ac:dyDescent="0.15">
      <c r="A925" s="3"/>
      <c r="I925" s="3"/>
      <c r="J925" s="3"/>
      <c r="K925" s="3"/>
      <c r="L925" s="139"/>
      <c r="M925" s="3"/>
      <c r="N925" s="3"/>
      <c r="O925" s="3"/>
      <c r="P925" s="3"/>
      <c r="Q925" s="3"/>
      <c r="R925" s="3"/>
      <c r="S925" s="3"/>
      <c r="T925" s="3"/>
      <c r="U925" s="3"/>
      <c r="V925" s="3"/>
      <c r="W925" s="3"/>
      <c r="X925" s="3"/>
      <c r="Y925" s="3"/>
      <c r="Z925" s="3"/>
      <c r="AA925" s="3"/>
      <c r="AB925" s="3"/>
      <c r="AC925" s="3"/>
      <c r="AD925" s="3"/>
      <c r="AE925" s="3"/>
      <c r="AF925" s="3"/>
    </row>
    <row r="926" spans="1:32" x14ac:dyDescent="0.15">
      <c r="A926" s="3"/>
      <c r="I926" s="3"/>
      <c r="J926" s="3"/>
      <c r="K926" s="3"/>
      <c r="L926" s="139"/>
      <c r="M926" s="3"/>
      <c r="N926" s="3"/>
      <c r="O926" s="3"/>
      <c r="P926" s="3"/>
      <c r="Q926" s="3"/>
      <c r="R926" s="3"/>
      <c r="S926" s="3"/>
      <c r="T926" s="3"/>
      <c r="U926" s="3"/>
      <c r="V926" s="3"/>
      <c r="W926" s="3"/>
      <c r="X926" s="3"/>
      <c r="Y926" s="3"/>
      <c r="Z926" s="3"/>
      <c r="AA926" s="3"/>
      <c r="AB926" s="3"/>
      <c r="AC926" s="3"/>
      <c r="AD926" s="3"/>
      <c r="AE926" s="3"/>
      <c r="AF926" s="3"/>
    </row>
    <row r="927" spans="1:32" x14ac:dyDescent="0.15">
      <c r="A927" s="3"/>
      <c r="I927" s="3"/>
      <c r="J927" s="3"/>
      <c r="K927" s="3"/>
      <c r="L927" s="139"/>
      <c r="M927" s="3"/>
      <c r="N927" s="3"/>
      <c r="O927" s="3"/>
      <c r="P927" s="3"/>
      <c r="Q927" s="3"/>
      <c r="R927" s="3"/>
      <c r="S927" s="3"/>
      <c r="T927" s="3"/>
      <c r="U927" s="3"/>
      <c r="V927" s="3"/>
      <c r="W927" s="3"/>
      <c r="X927" s="3"/>
      <c r="Y927" s="3"/>
      <c r="Z927" s="3"/>
      <c r="AA927" s="3"/>
      <c r="AB927" s="3"/>
      <c r="AC927" s="3"/>
      <c r="AD927" s="3"/>
      <c r="AE927" s="3"/>
      <c r="AF927" s="3"/>
    </row>
    <row r="928" spans="1:32" x14ac:dyDescent="0.15">
      <c r="A928" s="3"/>
      <c r="I928" s="3"/>
      <c r="J928" s="3"/>
      <c r="K928" s="3"/>
      <c r="L928" s="139"/>
      <c r="M928" s="3"/>
      <c r="N928" s="3"/>
      <c r="O928" s="3"/>
      <c r="P928" s="3"/>
      <c r="Q928" s="3"/>
      <c r="R928" s="3"/>
      <c r="S928" s="3"/>
      <c r="T928" s="3"/>
      <c r="U928" s="3"/>
      <c r="V928" s="3"/>
      <c r="W928" s="3"/>
      <c r="X928" s="3"/>
      <c r="Y928" s="3"/>
      <c r="Z928" s="3"/>
      <c r="AA928" s="3"/>
      <c r="AB928" s="3"/>
      <c r="AC928" s="3"/>
      <c r="AD928" s="3"/>
      <c r="AE928" s="3"/>
      <c r="AF928" s="3"/>
    </row>
    <row r="929" spans="1:32" x14ac:dyDescent="0.15">
      <c r="A929" s="3"/>
      <c r="I929" s="3"/>
      <c r="J929" s="3"/>
      <c r="K929" s="3"/>
      <c r="L929" s="139"/>
      <c r="M929" s="3"/>
      <c r="N929" s="3"/>
      <c r="O929" s="3"/>
      <c r="P929" s="3"/>
      <c r="Q929" s="3"/>
      <c r="R929" s="3"/>
      <c r="S929" s="3"/>
      <c r="T929" s="3"/>
      <c r="U929" s="3"/>
      <c r="V929" s="3"/>
      <c r="W929" s="3"/>
      <c r="X929" s="3"/>
      <c r="Y929" s="3"/>
      <c r="Z929" s="3"/>
      <c r="AA929" s="3"/>
      <c r="AB929" s="3"/>
      <c r="AC929" s="3"/>
      <c r="AD929" s="3"/>
      <c r="AE929" s="3"/>
      <c r="AF929" s="3"/>
    </row>
    <row r="930" spans="1:32" x14ac:dyDescent="0.15">
      <c r="A930" s="3"/>
      <c r="I930" s="3"/>
      <c r="J930" s="3"/>
      <c r="K930" s="3"/>
      <c r="L930" s="139"/>
      <c r="M930" s="3"/>
      <c r="N930" s="3"/>
      <c r="O930" s="3"/>
      <c r="P930" s="3"/>
      <c r="Q930" s="3"/>
      <c r="R930" s="3"/>
      <c r="S930" s="3"/>
      <c r="T930" s="3"/>
      <c r="U930" s="3"/>
      <c r="V930" s="3"/>
      <c r="W930" s="3"/>
      <c r="X930" s="3"/>
      <c r="Y930" s="3"/>
      <c r="Z930" s="3"/>
      <c r="AA930" s="3"/>
      <c r="AB930" s="3"/>
      <c r="AC930" s="3"/>
      <c r="AD930" s="3"/>
      <c r="AE930" s="3"/>
      <c r="AF930" s="3"/>
    </row>
    <row r="931" spans="1:32" x14ac:dyDescent="0.15">
      <c r="A931" s="3"/>
      <c r="I931" s="3"/>
      <c r="J931" s="3"/>
      <c r="K931" s="3"/>
      <c r="L931" s="139"/>
      <c r="M931" s="3"/>
      <c r="N931" s="3"/>
      <c r="O931" s="3"/>
      <c r="P931" s="3"/>
      <c r="Q931" s="3"/>
      <c r="R931" s="3"/>
      <c r="S931" s="3"/>
      <c r="T931" s="3"/>
      <c r="U931" s="3"/>
      <c r="V931" s="3"/>
      <c r="W931" s="3"/>
      <c r="X931" s="3"/>
      <c r="Y931" s="3"/>
      <c r="Z931" s="3"/>
      <c r="AA931" s="3"/>
      <c r="AB931" s="3"/>
      <c r="AC931" s="3"/>
      <c r="AD931" s="3"/>
      <c r="AE931" s="3"/>
      <c r="AF931" s="3"/>
    </row>
    <row r="932" spans="1:32" x14ac:dyDescent="0.15">
      <c r="A932" s="3"/>
      <c r="I932" s="3"/>
      <c r="J932" s="3"/>
      <c r="K932" s="3"/>
      <c r="L932" s="139"/>
      <c r="M932" s="3"/>
      <c r="N932" s="3"/>
      <c r="O932" s="3"/>
      <c r="P932" s="3"/>
      <c r="Q932" s="3"/>
      <c r="R932" s="3"/>
      <c r="S932" s="3"/>
      <c r="T932" s="3"/>
      <c r="U932" s="3"/>
      <c r="V932" s="3"/>
      <c r="W932" s="3"/>
      <c r="X932" s="3"/>
      <c r="Y932" s="3"/>
      <c r="Z932" s="3"/>
      <c r="AA932" s="3"/>
      <c r="AB932" s="3"/>
      <c r="AC932" s="3"/>
      <c r="AD932" s="3"/>
      <c r="AE932" s="3"/>
      <c r="AF932" s="3"/>
    </row>
    <row r="933" spans="1:32" x14ac:dyDescent="0.15">
      <c r="A933" s="3"/>
      <c r="I933" s="3"/>
      <c r="J933" s="3"/>
      <c r="K933" s="3"/>
      <c r="L933" s="139"/>
      <c r="M933" s="3"/>
      <c r="N933" s="3"/>
      <c r="O933" s="3"/>
      <c r="P933" s="3"/>
      <c r="Q933" s="3"/>
      <c r="R933" s="3"/>
      <c r="S933" s="3"/>
      <c r="T933" s="3"/>
      <c r="U933" s="3"/>
      <c r="V933" s="3"/>
      <c r="W933" s="3"/>
      <c r="X933" s="3"/>
      <c r="Y933" s="3"/>
      <c r="Z933" s="3"/>
      <c r="AA933" s="3"/>
      <c r="AB933" s="3"/>
      <c r="AC933" s="3"/>
      <c r="AD933" s="3"/>
      <c r="AE933" s="3"/>
      <c r="AF933" s="3"/>
    </row>
    <row r="934" spans="1:32" x14ac:dyDescent="0.15">
      <c r="A934" s="3"/>
      <c r="I934" s="3"/>
      <c r="J934" s="3"/>
      <c r="K934" s="3"/>
      <c r="L934" s="139"/>
      <c r="M934" s="3"/>
      <c r="N934" s="3"/>
      <c r="O934" s="3"/>
      <c r="P934" s="3"/>
      <c r="Q934" s="3"/>
      <c r="R934" s="3"/>
      <c r="S934" s="3"/>
      <c r="T934" s="3"/>
      <c r="U934" s="3"/>
      <c r="V934" s="3"/>
      <c r="W934" s="3"/>
      <c r="X934" s="3"/>
      <c r="Y934" s="3"/>
      <c r="Z934" s="3"/>
      <c r="AA934" s="3"/>
      <c r="AB934" s="3"/>
      <c r="AC934" s="3"/>
      <c r="AD934" s="3"/>
      <c r="AE934" s="3"/>
      <c r="AF934" s="3"/>
    </row>
    <row r="935" spans="1:32" x14ac:dyDescent="0.15">
      <c r="A935" s="3"/>
      <c r="I935" s="3"/>
      <c r="J935" s="3"/>
      <c r="K935" s="3"/>
      <c r="L935" s="139"/>
      <c r="M935" s="3"/>
      <c r="N935" s="3"/>
      <c r="O935" s="3"/>
      <c r="P935" s="3"/>
      <c r="Q935" s="3"/>
      <c r="R935" s="3"/>
      <c r="S935" s="3"/>
      <c r="T935" s="3"/>
      <c r="U935" s="3"/>
      <c r="V935" s="3"/>
      <c r="W935" s="3"/>
      <c r="X935" s="3"/>
      <c r="Y935" s="3"/>
      <c r="Z935" s="3"/>
      <c r="AA935" s="3"/>
      <c r="AB935" s="3"/>
      <c r="AC935" s="3"/>
      <c r="AD935" s="3"/>
      <c r="AE935" s="3"/>
      <c r="AF935" s="3"/>
    </row>
    <row r="936" spans="1:32" x14ac:dyDescent="0.15">
      <c r="A936" s="3"/>
      <c r="I936" s="3"/>
      <c r="J936" s="3"/>
      <c r="K936" s="3"/>
      <c r="L936" s="139"/>
      <c r="M936" s="3"/>
      <c r="N936" s="3"/>
      <c r="O936" s="3"/>
      <c r="P936" s="3"/>
      <c r="Q936" s="3"/>
      <c r="R936" s="3"/>
      <c r="S936" s="3"/>
      <c r="T936" s="3"/>
      <c r="U936" s="3"/>
      <c r="V936" s="3"/>
      <c r="W936" s="3"/>
      <c r="X936" s="3"/>
      <c r="Y936" s="3"/>
      <c r="Z936" s="3"/>
      <c r="AA936" s="3"/>
      <c r="AB936" s="3"/>
      <c r="AC936" s="3"/>
      <c r="AD936" s="3"/>
      <c r="AE936" s="3"/>
      <c r="AF936" s="3"/>
    </row>
    <row r="937" spans="1:32" x14ac:dyDescent="0.15">
      <c r="A937" s="3"/>
      <c r="I937" s="3"/>
      <c r="J937" s="3"/>
      <c r="K937" s="3"/>
      <c r="L937" s="139"/>
      <c r="M937" s="3"/>
      <c r="N937" s="3"/>
      <c r="O937" s="3"/>
      <c r="P937" s="3"/>
      <c r="Q937" s="3"/>
      <c r="R937" s="3"/>
      <c r="S937" s="3"/>
      <c r="T937" s="3"/>
      <c r="U937" s="3"/>
      <c r="V937" s="3"/>
      <c r="W937" s="3"/>
      <c r="X937" s="3"/>
      <c r="Y937" s="3"/>
      <c r="Z937" s="3"/>
      <c r="AA937" s="3"/>
      <c r="AB937" s="3"/>
      <c r="AC937" s="3"/>
      <c r="AD937" s="3"/>
      <c r="AE937" s="3"/>
      <c r="AF937" s="3"/>
    </row>
    <row r="938" spans="1:32" x14ac:dyDescent="0.15">
      <c r="A938" s="3"/>
      <c r="I938" s="3"/>
      <c r="J938" s="3"/>
      <c r="K938" s="3"/>
      <c r="L938" s="139"/>
      <c r="M938" s="3"/>
      <c r="N938" s="3"/>
      <c r="O938" s="3"/>
      <c r="P938" s="3"/>
      <c r="Q938" s="3"/>
      <c r="R938" s="3"/>
      <c r="S938" s="3"/>
      <c r="T938" s="3"/>
      <c r="U938" s="3"/>
      <c r="V938" s="3"/>
      <c r="W938" s="3"/>
      <c r="X938" s="3"/>
      <c r="Y938" s="3"/>
      <c r="Z938" s="3"/>
      <c r="AA938" s="3"/>
      <c r="AB938" s="3"/>
      <c r="AC938" s="3"/>
      <c r="AD938" s="3"/>
      <c r="AE938" s="3"/>
      <c r="AF938" s="3"/>
    </row>
    <row r="939" spans="1:32" x14ac:dyDescent="0.15">
      <c r="A939" s="3"/>
      <c r="I939" s="3"/>
      <c r="J939" s="3"/>
      <c r="K939" s="3"/>
      <c r="L939" s="139"/>
      <c r="M939" s="3"/>
      <c r="N939" s="3"/>
      <c r="O939" s="3"/>
      <c r="P939" s="3"/>
      <c r="Q939" s="3"/>
      <c r="R939" s="3"/>
      <c r="S939" s="3"/>
      <c r="T939" s="3"/>
      <c r="U939" s="3"/>
      <c r="V939" s="3"/>
      <c r="W939" s="3"/>
      <c r="X939" s="3"/>
      <c r="Y939" s="3"/>
      <c r="Z939" s="3"/>
      <c r="AA939" s="3"/>
      <c r="AB939" s="3"/>
      <c r="AC939" s="3"/>
      <c r="AD939" s="3"/>
      <c r="AE939" s="3"/>
      <c r="AF939" s="3"/>
    </row>
    <row r="940" spans="1:32" x14ac:dyDescent="0.15">
      <c r="A940" s="3"/>
      <c r="I940" s="3"/>
      <c r="J940" s="3"/>
      <c r="K940" s="3"/>
      <c r="L940" s="139"/>
      <c r="M940" s="3"/>
      <c r="N940" s="3"/>
      <c r="O940" s="3"/>
      <c r="P940" s="3"/>
      <c r="Q940" s="3"/>
      <c r="R940" s="3"/>
      <c r="S940" s="3"/>
      <c r="T940" s="3"/>
      <c r="U940" s="3"/>
      <c r="V940" s="3"/>
      <c r="W940" s="3"/>
      <c r="X940" s="3"/>
      <c r="Y940" s="3"/>
      <c r="Z940" s="3"/>
      <c r="AA940" s="3"/>
      <c r="AB940" s="3"/>
      <c r="AC940" s="3"/>
      <c r="AD940" s="3"/>
      <c r="AE940" s="3"/>
      <c r="AF940" s="3"/>
    </row>
    <row r="941" spans="1:32" x14ac:dyDescent="0.15">
      <c r="A941" s="3"/>
      <c r="I941" s="3"/>
      <c r="J941" s="3"/>
      <c r="K941" s="3"/>
      <c r="L941" s="139"/>
      <c r="M941" s="3"/>
      <c r="N941" s="3"/>
      <c r="O941" s="3"/>
      <c r="P941" s="3"/>
      <c r="Q941" s="3"/>
      <c r="R941" s="3"/>
      <c r="S941" s="3"/>
      <c r="T941" s="3"/>
      <c r="U941" s="3"/>
      <c r="V941" s="3"/>
      <c r="W941" s="3"/>
      <c r="X941" s="3"/>
      <c r="Y941" s="3"/>
      <c r="Z941" s="3"/>
      <c r="AA941" s="3"/>
      <c r="AB941" s="3"/>
      <c r="AC941" s="3"/>
      <c r="AD941" s="3"/>
      <c r="AE941" s="3"/>
      <c r="AF941" s="3"/>
    </row>
    <row r="942" spans="1:32" x14ac:dyDescent="0.15">
      <c r="A942" s="3"/>
      <c r="I942" s="3"/>
      <c r="J942" s="3"/>
      <c r="K942" s="3"/>
      <c r="L942" s="139"/>
      <c r="M942" s="3"/>
      <c r="N942" s="3"/>
      <c r="O942" s="3"/>
      <c r="P942" s="3"/>
      <c r="Q942" s="3"/>
      <c r="R942" s="3"/>
      <c r="S942" s="3"/>
      <c r="T942" s="3"/>
      <c r="U942" s="3"/>
      <c r="V942" s="3"/>
      <c r="W942" s="3"/>
      <c r="X942" s="3"/>
      <c r="Y942" s="3"/>
      <c r="Z942" s="3"/>
      <c r="AA942" s="3"/>
      <c r="AB942" s="3"/>
      <c r="AC942" s="3"/>
      <c r="AD942" s="3"/>
      <c r="AE942" s="3"/>
      <c r="AF942" s="3"/>
    </row>
    <row r="943" spans="1:32" x14ac:dyDescent="0.15">
      <c r="A943" s="3"/>
      <c r="I943" s="3"/>
      <c r="J943" s="3"/>
      <c r="K943" s="3"/>
      <c r="L943" s="139"/>
      <c r="M943" s="3"/>
      <c r="N943" s="3"/>
      <c r="O943" s="3"/>
      <c r="P943" s="3"/>
      <c r="Q943" s="3"/>
      <c r="R943" s="3"/>
      <c r="S943" s="3"/>
      <c r="T943" s="3"/>
      <c r="U943" s="3"/>
      <c r="V943" s="3"/>
      <c r="W943" s="3"/>
      <c r="X943" s="3"/>
      <c r="Y943" s="3"/>
      <c r="Z943" s="3"/>
      <c r="AA943" s="3"/>
      <c r="AB943" s="3"/>
      <c r="AC943" s="3"/>
      <c r="AD943" s="3"/>
      <c r="AE943" s="3"/>
      <c r="AF943" s="3"/>
    </row>
    <row r="944" spans="1:32" x14ac:dyDescent="0.15">
      <c r="A944" s="3"/>
      <c r="I944" s="3"/>
      <c r="J944" s="3"/>
      <c r="K944" s="3"/>
      <c r="L944" s="139"/>
      <c r="M944" s="3"/>
      <c r="N944" s="3"/>
      <c r="O944" s="3"/>
      <c r="P944" s="3"/>
      <c r="Q944" s="3"/>
      <c r="R944" s="3"/>
      <c r="S944" s="3"/>
      <c r="T944" s="3"/>
      <c r="U944" s="3"/>
      <c r="V944" s="3"/>
      <c r="W944" s="3"/>
      <c r="X944" s="3"/>
      <c r="Y944" s="3"/>
      <c r="Z944" s="3"/>
      <c r="AA944" s="3"/>
      <c r="AB944" s="3"/>
      <c r="AC944" s="3"/>
      <c r="AD944" s="3"/>
      <c r="AE944" s="3"/>
      <c r="AF944" s="3"/>
    </row>
    <row r="945" spans="1:32" x14ac:dyDescent="0.15">
      <c r="A945" s="3"/>
      <c r="I945" s="3"/>
      <c r="J945" s="3"/>
      <c r="K945" s="3"/>
      <c r="L945" s="139"/>
      <c r="M945" s="3"/>
      <c r="N945" s="3"/>
      <c r="O945" s="3"/>
      <c r="P945" s="3"/>
      <c r="Q945" s="3"/>
      <c r="R945" s="3"/>
      <c r="S945" s="3"/>
      <c r="T945" s="3"/>
      <c r="U945" s="3"/>
      <c r="V945" s="3"/>
      <c r="W945" s="3"/>
      <c r="X945" s="3"/>
      <c r="Y945" s="3"/>
      <c r="Z945" s="3"/>
      <c r="AA945" s="3"/>
      <c r="AB945" s="3"/>
      <c r="AC945" s="3"/>
      <c r="AD945" s="3"/>
      <c r="AE945" s="3"/>
      <c r="AF945" s="3"/>
    </row>
    <row r="946" spans="1:32" x14ac:dyDescent="0.15">
      <c r="A946" s="3"/>
      <c r="I946" s="3"/>
      <c r="J946" s="3"/>
      <c r="K946" s="3"/>
      <c r="L946" s="139"/>
      <c r="M946" s="3"/>
      <c r="N946" s="3"/>
      <c r="O946" s="3"/>
      <c r="P946" s="3"/>
      <c r="Q946" s="3"/>
      <c r="R946" s="3"/>
      <c r="S946" s="3"/>
      <c r="T946" s="3"/>
      <c r="U946" s="3"/>
      <c r="V946" s="3"/>
      <c r="W946" s="3"/>
      <c r="X946" s="3"/>
      <c r="Y946" s="3"/>
      <c r="Z946" s="3"/>
      <c r="AA946" s="3"/>
      <c r="AB946" s="3"/>
      <c r="AC946" s="3"/>
      <c r="AD946" s="3"/>
      <c r="AE946" s="3"/>
      <c r="AF946" s="3"/>
    </row>
    <row r="947" spans="1:32" x14ac:dyDescent="0.15">
      <c r="A947" s="3"/>
      <c r="I947" s="3"/>
      <c r="J947" s="3"/>
      <c r="K947" s="3"/>
      <c r="L947" s="139"/>
      <c r="M947" s="3"/>
      <c r="N947" s="3"/>
      <c r="O947" s="3"/>
      <c r="P947" s="3"/>
      <c r="Q947" s="3"/>
      <c r="R947" s="3"/>
      <c r="S947" s="3"/>
      <c r="T947" s="3"/>
      <c r="U947" s="3"/>
      <c r="V947" s="3"/>
      <c r="W947" s="3"/>
      <c r="X947" s="3"/>
      <c r="Y947" s="3"/>
      <c r="Z947" s="3"/>
      <c r="AA947" s="3"/>
      <c r="AB947" s="3"/>
      <c r="AC947" s="3"/>
      <c r="AD947" s="3"/>
      <c r="AE947" s="3"/>
      <c r="AF947" s="3"/>
    </row>
    <row r="948" spans="1:32" x14ac:dyDescent="0.15">
      <c r="A948" s="3"/>
      <c r="I948" s="3"/>
      <c r="J948" s="3"/>
      <c r="K948" s="3"/>
      <c r="L948" s="139"/>
      <c r="M948" s="3"/>
      <c r="N948" s="3"/>
      <c r="O948" s="3"/>
      <c r="P948" s="3"/>
      <c r="Q948" s="3"/>
      <c r="R948" s="3"/>
      <c r="S948" s="3"/>
      <c r="T948" s="3"/>
      <c r="U948" s="3"/>
      <c r="V948" s="3"/>
      <c r="W948" s="3"/>
      <c r="X948" s="3"/>
      <c r="Y948" s="3"/>
      <c r="Z948" s="3"/>
      <c r="AA948" s="3"/>
      <c r="AB948" s="3"/>
      <c r="AC948" s="3"/>
      <c r="AD948" s="3"/>
      <c r="AE948" s="3"/>
      <c r="AF948" s="3"/>
    </row>
    <row r="949" spans="1:32" x14ac:dyDescent="0.15">
      <c r="A949" s="3"/>
      <c r="I949" s="3"/>
      <c r="J949" s="3"/>
      <c r="K949" s="3"/>
      <c r="L949" s="139"/>
      <c r="M949" s="3"/>
      <c r="N949" s="3"/>
      <c r="O949" s="3"/>
      <c r="P949" s="3"/>
      <c r="Q949" s="3"/>
      <c r="R949" s="3"/>
      <c r="S949" s="3"/>
      <c r="T949" s="3"/>
      <c r="U949" s="3"/>
      <c r="V949" s="3"/>
      <c r="W949" s="3"/>
      <c r="X949" s="3"/>
      <c r="Y949" s="3"/>
      <c r="Z949" s="3"/>
      <c r="AA949" s="3"/>
      <c r="AB949" s="3"/>
      <c r="AC949" s="3"/>
      <c r="AD949" s="3"/>
      <c r="AE949" s="3"/>
      <c r="AF949" s="3"/>
    </row>
    <row r="950" spans="1:32" x14ac:dyDescent="0.15">
      <c r="A950" s="3"/>
      <c r="I950" s="3"/>
      <c r="J950" s="3"/>
      <c r="K950" s="3"/>
      <c r="L950" s="139"/>
      <c r="M950" s="3"/>
      <c r="N950" s="3"/>
      <c r="O950" s="3"/>
      <c r="P950" s="3"/>
      <c r="Q950" s="3"/>
      <c r="R950" s="3"/>
      <c r="S950" s="3"/>
      <c r="T950" s="3"/>
      <c r="U950" s="3"/>
      <c r="V950" s="3"/>
      <c r="W950" s="3"/>
      <c r="X950" s="3"/>
      <c r="Y950" s="3"/>
      <c r="Z950" s="3"/>
      <c r="AA950" s="3"/>
      <c r="AB950" s="3"/>
      <c r="AC950" s="3"/>
      <c r="AD950" s="3"/>
      <c r="AE950" s="3"/>
      <c r="AF950" s="3"/>
    </row>
    <row r="951" spans="1:32" x14ac:dyDescent="0.15">
      <c r="A951" s="3"/>
      <c r="I951" s="3"/>
      <c r="J951" s="3"/>
      <c r="K951" s="3"/>
      <c r="L951" s="139"/>
      <c r="M951" s="3"/>
      <c r="N951" s="3"/>
      <c r="O951" s="3"/>
      <c r="P951" s="3"/>
      <c r="Q951" s="3"/>
      <c r="R951" s="3"/>
      <c r="S951" s="3"/>
      <c r="T951" s="3"/>
      <c r="U951" s="3"/>
      <c r="V951" s="3"/>
      <c r="W951" s="3"/>
      <c r="X951" s="3"/>
      <c r="Y951" s="3"/>
      <c r="Z951" s="3"/>
      <c r="AA951" s="3"/>
      <c r="AB951" s="3"/>
      <c r="AC951" s="3"/>
      <c r="AD951" s="3"/>
      <c r="AE951" s="3"/>
      <c r="AF951" s="3"/>
    </row>
    <row r="952" spans="1:32" x14ac:dyDescent="0.15">
      <c r="A952" s="3"/>
      <c r="I952" s="3"/>
      <c r="J952" s="3"/>
      <c r="K952" s="3"/>
      <c r="L952" s="139"/>
      <c r="M952" s="3"/>
      <c r="N952" s="3"/>
      <c r="O952" s="3"/>
      <c r="P952" s="3"/>
      <c r="Q952" s="3"/>
      <c r="R952" s="3"/>
      <c r="S952" s="3"/>
      <c r="T952" s="3"/>
      <c r="U952" s="3"/>
      <c r="V952" s="3"/>
      <c r="W952" s="3"/>
      <c r="X952" s="3"/>
      <c r="Y952" s="3"/>
      <c r="Z952" s="3"/>
      <c r="AA952" s="3"/>
      <c r="AB952" s="3"/>
      <c r="AC952" s="3"/>
      <c r="AD952" s="3"/>
      <c r="AE952" s="3"/>
      <c r="AF952" s="3"/>
    </row>
    <row r="953" spans="1:32" x14ac:dyDescent="0.15">
      <c r="A953" s="3"/>
      <c r="I953" s="3"/>
      <c r="J953" s="3"/>
      <c r="K953" s="3"/>
      <c r="L953" s="139"/>
      <c r="M953" s="3"/>
      <c r="N953" s="3"/>
      <c r="O953" s="3"/>
      <c r="P953" s="3"/>
      <c r="Q953" s="3"/>
      <c r="R953" s="3"/>
      <c r="S953" s="3"/>
      <c r="T953" s="3"/>
      <c r="U953" s="3"/>
      <c r="V953" s="3"/>
      <c r="W953" s="3"/>
      <c r="X953" s="3"/>
      <c r="Y953" s="3"/>
      <c r="Z953" s="3"/>
      <c r="AA953" s="3"/>
      <c r="AB953" s="3"/>
      <c r="AC953" s="3"/>
      <c r="AD953" s="3"/>
      <c r="AE953" s="3"/>
      <c r="AF953" s="3"/>
    </row>
    <row r="954" spans="1:32" x14ac:dyDescent="0.15">
      <c r="A954" s="3"/>
      <c r="I954" s="3"/>
      <c r="J954" s="3"/>
      <c r="K954" s="3"/>
      <c r="L954" s="139"/>
      <c r="M954" s="3"/>
      <c r="N954" s="3"/>
      <c r="O954" s="3"/>
      <c r="P954" s="3"/>
      <c r="Q954" s="3"/>
      <c r="R954" s="3"/>
      <c r="S954" s="3"/>
      <c r="T954" s="3"/>
      <c r="U954" s="3"/>
      <c r="V954" s="3"/>
      <c r="W954" s="3"/>
      <c r="X954" s="3"/>
      <c r="Y954" s="3"/>
      <c r="Z954" s="3"/>
      <c r="AA954" s="3"/>
      <c r="AB954" s="3"/>
      <c r="AC954" s="3"/>
      <c r="AD954" s="3"/>
      <c r="AE954" s="3"/>
      <c r="AF954" s="3"/>
    </row>
    <row r="955" spans="1:32" x14ac:dyDescent="0.15">
      <c r="A955" s="3"/>
      <c r="I955" s="3"/>
      <c r="J955" s="3"/>
      <c r="K955" s="3"/>
      <c r="L955" s="139"/>
      <c r="M955" s="3"/>
      <c r="N955" s="3"/>
      <c r="O955" s="3"/>
      <c r="P955" s="3"/>
      <c r="Q955" s="3"/>
      <c r="R955" s="3"/>
      <c r="S955" s="3"/>
      <c r="T955" s="3"/>
      <c r="U955" s="3"/>
      <c r="V955" s="3"/>
      <c r="W955" s="3"/>
      <c r="X955" s="3"/>
      <c r="Y955" s="3"/>
      <c r="Z955" s="3"/>
      <c r="AA955" s="3"/>
      <c r="AB955" s="3"/>
      <c r="AC955" s="3"/>
      <c r="AD955" s="3"/>
      <c r="AE955" s="3"/>
      <c r="AF955" s="3"/>
    </row>
    <row r="956" spans="1:32" x14ac:dyDescent="0.15">
      <c r="A956" s="3"/>
      <c r="I956" s="3"/>
      <c r="J956" s="3"/>
      <c r="K956" s="3"/>
      <c r="L956" s="139"/>
      <c r="M956" s="3"/>
      <c r="N956" s="3"/>
      <c r="O956" s="3"/>
      <c r="P956" s="3"/>
      <c r="Q956" s="3"/>
      <c r="R956" s="3"/>
      <c r="S956" s="3"/>
      <c r="T956" s="3"/>
      <c r="U956" s="3"/>
      <c r="V956" s="3"/>
      <c r="W956" s="3"/>
      <c r="X956" s="3"/>
      <c r="Y956" s="3"/>
      <c r="Z956" s="3"/>
      <c r="AA956" s="3"/>
      <c r="AB956" s="3"/>
      <c r="AC956" s="3"/>
      <c r="AD956" s="3"/>
      <c r="AE956" s="3"/>
      <c r="AF956" s="3"/>
    </row>
    <row r="957" spans="1:32" x14ac:dyDescent="0.15">
      <c r="A957" s="3"/>
      <c r="I957" s="3"/>
      <c r="J957" s="3"/>
      <c r="K957" s="3"/>
      <c r="L957" s="139"/>
      <c r="M957" s="3"/>
      <c r="N957" s="3"/>
      <c r="O957" s="3"/>
      <c r="P957" s="3"/>
      <c r="Q957" s="3"/>
      <c r="R957" s="3"/>
      <c r="S957" s="3"/>
      <c r="T957" s="3"/>
      <c r="U957" s="3"/>
      <c r="V957" s="3"/>
      <c r="W957" s="3"/>
      <c r="X957" s="3"/>
      <c r="Y957" s="3"/>
      <c r="Z957" s="3"/>
      <c r="AA957" s="3"/>
      <c r="AB957" s="3"/>
      <c r="AC957" s="3"/>
      <c r="AD957" s="3"/>
      <c r="AE957" s="3"/>
      <c r="AF957" s="3"/>
    </row>
    <row r="958" spans="1:32" x14ac:dyDescent="0.15">
      <c r="A958" s="3"/>
      <c r="I958" s="3"/>
      <c r="J958" s="3"/>
      <c r="K958" s="3"/>
      <c r="L958" s="139"/>
      <c r="M958" s="3"/>
      <c r="N958" s="3"/>
      <c r="O958" s="3"/>
      <c r="P958" s="3"/>
      <c r="Q958" s="3"/>
      <c r="R958" s="3"/>
      <c r="S958" s="3"/>
      <c r="T958" s="3"/>
      <c r="U958" s="3"/>
      <c r="V958" s="3"/>
      <c r="W958" s="3"/>
      <c r="X958" s="3"/>
      <c r="Y958" s="3"/>
      <c r="Z958" s="3"/>
      <c r="AA958" s="3"/>
      <c r="AB958" s="3"/>
      <c r="AC958" s="3"/>
      <c r="AD958" s="3"/>
      <c r="AE958" s="3"/>
      <c r="AF958" s="3"/>
    </row>
    <row r="959" spans="1:32" x14ac:dyDescent="0.15">
      <c r="A959" s="3"/>
      <c r="I959" s="3"/>
      <c r="J959" s="3"/>
      <c r="K959" s="3"/>
      <c r="L959" s="139"/>
      <c r="M959" s="3"/>
      <c r="N959" s="3"/>
      <c r="O959" s="3"/>
      <c r="P959" s="3"/>
      <c r="Q959" s="3"/>
      <c r="R959" s="3"/>
      <c r="S959" s="3"/>
      <c r="T959" s="3"/>
      <c r="U959" s="3"/>
      <c r="V959" s="3"/>
      <c r="W959" s="3"/>
      <c r="X959" s="3"/>
      <c r="Y959" s="3"/>
      <c r="Z959" s="3"/>
      <c r="AA959" s="3"/>
      <c r="AB959" s="3"/>
      <c r="AC959" s="3"/>
      <c r="AD959" s="3"/>
      <c r="AE959" s="3"/>
      <c r="AF959" s="3"/>
    </row>
    <row r="960" spans="1:32" x14ac:dyDescent="0.15">
      <c r="A960" s="3"/>
      <c r="I960" s="3"/>
      <c r="J960" s="3"/>
      <c r="K960" s="3"/>
      <c r="L960" s="139"/>
      <c r="M960" s="3"/>
      <c r="N960" s="3"/>
      <c r="O960" s="3"/>
      <c r="P960" s="3"/>
      <c r="Q960" s="3"/>
      <c r="R960" s="3"/>
      <c r="S960" s="3"/>
      <c r="T960" s="3"/>
      <c r="U960" s="3"/>
      <c r="V960" s="3"/>
      <c r="W960" s="3"/>
      <c r="X960" s="3"/>
      <c r="Y960" s="3"/>
      <c r="Z960" s="3"/>
      <c r="AA960" s="3"/>
      <c r="AB960" s="3"/>
      <c r="AC960" s="3"/>
      <c r="AD960" s="3"/>
      <c r="AE960" s="3"/>
      <c r="AF960" s="3"/>
    </row>
    <row r="961" spans="1:32" x14ac:dyDescent="0.15">
      <c r="A961" s="3"/>
      <c r="I961" s="3"/>
      <c r="J961" s="3"/>
      <c r="K961" s="3"/>
      <c r="L961" s="139"/>
      <c r="M961" s="3"/>
      <c r="N961" s="3"/>
      <c r="O961" s="3"/>
      <c r="P961" s="3"/>
      <c r="Q961" s="3"/>
      <c r="R961" s="3"/>
      <c r="S961" s="3"/>
      <c r="T961" s="3"/>
      <c r="U961" s="3"/>
      <c r="V961" s="3"/>
      <c r="W961" s="3"/>
      <c r="X961" s="3"/>
      <c r="Y961" s="3"/>
      <c r="Z961" s="3"/>
      <c r="AA961" s="3"/>
      <c r="AB961" s="3"/>
      <c r="AC961" s="3"/>
      <c r="AD961" s="3"/>
      <c r="AE961" s="3"/>
      <c r="AF961" s="3"/>
    </row>
    <row r="962" spans="1:32" x14ac:dyDescent="0.15">
      <c r="A962" s="3"/>
      <c r="I962" s="3"/>
      <c r="J962" s="3"/>
      <c r="K962" s="3"/>
      <c r="L962" s="139"/>
      <c r="M962" s="3"/>
      <c r="N962" s="3"/>
      <c r="O962" s="3"/>
      <c r="P962" s="3"/>
      <c r="Q962" s="3"/>
      <c r="R962" s="3"/>
      <c r="S962" s="3"/>
      <c r="T962" s="3"/>
      <c r="U962" s="3"/>
      <c r="V962" s="3"/>
      <c r="W962" s="3"/>
      <c r="X962" s="3"/>
      <c r="Y962" s="3"/>
      <c r="Z962" s="3"/>
      <c r="AA962" s="3"/>
      <c r="AB962" s="3"/>
      <c r="AC962" s="3"/>
      <c r="AD962" s="3"/>
      <c r="AE962" s="3"/>
      <c r="AF962" s="3"/>
    </row>
    <row r="963" spans="1:32" x14ac:dyDescent="0.15">
      <c r="A963" s="3"/>
      <c r="I963" s="3"/>
      <c r="J963" s="3"/>
      <c r="K963" s="3"/>
      <c r="L963" s="139"/>
      <c r="M963" s="3"/>
      <c r="N963" s="3"/>
      <c r="O963" s="3"/>
      <c r="P963" s="3"/>
      <c r="Q963" s="3"/>
      <c r="R963" s="3"/>
      <c r="S963" s="3"/>
      <c r="T963" s="3"/>
      <c r="U963" s="3"/>
      <c r="V963" s="3"/>
      <c r="W963" s="3"/>
      <c r="X963" s="3"/>
      <c r="Y963" s="3"/>
      <c r="Z963" s="3"/>
      <c r="AA963" s="3"/>
      <c r="AB963" s="3"/>
      <c r="AC963" s="3"/>
      <c r="AD963" s="3"/>
      <c r="AE963" s="3"/>
      <c r="AF963" s="3"/>
    </row>
    <row r="964" spans="1:32" x14ac:dyDescent="0.15">
      <c r="A964" s="3"/>
      <c r="I964" s="3"/>
      <c r="J964" s="3"/>
      <c r="K964" s="3"/>
      <c r="L964" s="139"/>
      <c r="M964" s="3"/>
      <c r="N964" s="3"/>
      <c r="O964" s="3"/>
      <c r="P964" s="3"/>
      <c r="Q964" s="3"/>
      <c r="R964" s="3"/>
      <c r="S964" s="3"/>
      <c r="T964" s="3"/>
      <c r="U964" s="3"/>
      <c r="V964" s="3"/>
      <c r="W964" s="3"/>
      <c r="X964" s="3"/>
      <c r="Y964" s="3"/>
      <c r="Z964" s="3"/>
      <c r="AA964" s="3"/>
      <c r="AB964" s="3"/>
      <c r="AC964" s="3"/>
      <c r="AD964" s="3"/>
      <c r="AE964" s="3"/>
      <c r="AF964" s="3"/>
    </row>
    <row r="965" spans="1:32" x14ac:dyDescent="0.15">
      <c r="A965" s="3"/>
      <c r="I965" s="3"/>
      <c r="J965" s="3"/>
      <c r="K965" s="3"/>
      <c r="L965" s="139"/>
      <c r="M965" s="3"/>
      <c r="N965" s="3"/>
      <c r="O965" s="3"/>
      <c r="P965" s="3"/>
      <c r="Q965" s="3"/>
      <c r="R965" s="3"/>
      <c r="S965" s="3"/>
      <c r="T965" s="3"/>
      <c r="U965" s="3"/>
      <c r="V965" s="3"/>
      <c r="W965" s="3"/>
      <c r="X965" s="3"/>
      <c r="Y965" s="3"/>
      <c r="Z965" s="3"/>
      <c r="AA965" s="3"/>
      <c r="AB965" s="3"/>
      <c r="AC965" s="3"/>
      <c r="AD965" s="3"/>
      <c r="AE965" s="3"/>
      <c r="AF965" s="3"/>
    </row>
    <row r="966" spans="1:32" x14ac:dyDescent="0.15">
      <c r="A966" s="3"/>
      <c r="I966" s="3"/>
      <c r="J966" s="3"/>
      <c r="K966" s="3"/>
      <c r="L966" s="139"/>
      <c r="M966" s="3"/>
      <c r="N966" s="3"/>
      <c r="O966" s="3"/>
      <c r="P966" s="3"/>
      <c r="Q966" s="3"/>
      <c r="R966" s="3"/>
      <c r="S966" s="3"/>
      <c r="T966" s="3"/>
      <c r="U966" s="3"/>
      <c r="V966" s="3"/>
      <c r="W966" s="3"/>
      <c r="X966" s="3"/>
      <c r="Y966" s="3"/>
      <c r="Z966" s="3"/>
      <c r="AA966" s="3"/>
      <c r="AB966" s="3"/>
      <c r="AC966" s="3"/>
      <c r="AD966" s="3"/>
      <c r="AE966" s="3"/>
      <c r="AF966" s="3"/>
    </row>
    <row r="967" spans="1:32" x14ac:dyDescent="0.15">
      <c r="A967" s="3"/>
      <c r="I967" s="3"/>
      <c r="J967" s="3"/>
      <c r="K967" s="3"/>
      <c r="L967" s="139"/>
      <c r="M967" s="3"/>
      <c r="N967" s="3"/>
      <c r="O967" s="3"/>
      <c r="P967" s="3"/>
      <c r="Q967" s="3"/>
      <c r="R967" s="3"/>
      <c r="S967" s="3"/>
      <c r="T967" s="3"/>
      <c r="U967" s="3"/>
      <c r="V967" s="3"/>
      <c r="W967" s="3"/>
      <c r="X967" s="3"/>
      <c r="Y967" s="3"/>
      <c r="Z967" s="3"/>
      <c r="AA967" s="3"/>
      <c r="AB967" s="3"/>
      <c r="AC967" s="3"/>
      <c r="AD967" s="3"/>
      <c r="AE967" s="3"/>
      <c r="AF967" s="3"/>
    </row>
    <row r="968" spans="1:32" x14ac:dyDescent="0.15">
      <c r="A968" s="3"/>
      <c r="I968" s="3"/>
      <c r="J968" s="3"/>
      <c r="K968" s="3"/>
      <c r="L968" s="139"/>
      <c r="M968" s="3"/>
      <c r="N968" s="3"/>
      <c r="O968" s="3"/>
      <c r="P968" s="3"/>
      <c r="Q968" s="3"/>
      <c r="R968" s="3"/>
      <c r="S968" s="3"/>
      <c r="T968" s="3"/>
      <c r="U968" s="3"/>
      <c r="V968" s="3"/>
      <c r="W968" s="3"/>
      <c r="X968" s="3"/>
      <c r="Y968" s="3"/>
      <c r="Z968" s="3"/>
      <c r="AA968" s="3"/>
      <c r="AB968" s="3"/>
      <c r="AC968" s="3"/>
      <c r="AD968" s="3"/>
      <c r="AE968" s="3"/>
      <c r="AF968" s="3"/>
    </row>
    <row r="969" spans="1:32" x14ac:dyDescent="0.15">
      <c r="A969" s="3"/>
      <c r="I969" s="3"/>
      <c r="J969" s="3"/>
      <c r="K969" s="3"/>
      <c r="L969" s="139"/>
      <c r="M969" s="3"/>
      <c r="N969" s="3"/>
      <c r="O969" s="3"/>
      <c r="P969" s="3"/>
      <c r="Q969" s="3"/>
      <c r="R969" s="3"/>
      <c r="S969" s="3"/>
      <c r="T969" s="3"/>
      <c r="U969" s="3"/>
      <c r="V969" s="3"/>
      <c r="W969" s="3"/>
      <c r="X969" s="3"/>
      <c r="Y969" s="3"/>
      <c r="Z969" s="3"/>
      <c r="AA969" s="3"/>
      <c r="AB969" s="3"/>
      <c r="AC969" s="3"/>
      <c r="AD969" s="3"/>
      <c r="AE969" s="3"/>
      <c r="AF969" s="3"/>
    </row>
    <row r="970" spans="1:32" x14ac:dyDescent="0.15">
      <c r="A970" s="3"/>
      <c r="I970" s="3"/>
      <c r="J970" s="3"/>
      <c r="K970" s="3"/>
      <c r="L970" s="139"/>
      <c r="M970" s="3"/>
      <c r="N970" s="3"/>
      <c r="O970" s="3"/>
      <c r="P970" s="3"/>
      <c r="Q970" s="3"/>
      <c r="R970" s="3"/>
      <c r="S970" s="3"/>
      <c r="T970" s="3"/>
      <c r="U970" s="3"/>
      <c r="V970" s="3"/>
      <c r="W970" s="3"/>
      <c r="X970" s="3"/>
      <c r="Y970" s="3"/>
      <c r="Z970" s="3"/>
      <c r="AA970" s="3"/>
      <c r="AB970" s="3"/>
      <c r="AC970" s="3"/>
      <c r="AD970" s="3"/>
      <c r="AE970" s="3"/>
      <c r="AF970" s="3"/>
    </row>
    <row r="971" spans="1:32" x14ac:dyDescent="0.15">
      <c r="A971" s="3"/>
      <c r="I971" s="3"/>
      <c r="J971" s="3"/>
      <c r="K971" s="3"/>
      <c r="L971" s="139"/>
      <c r="M971" s="3"/>
      <c r="N971" s="3"/>
      <c r="O971" s="3"/>
      <c r="P971" s="3"/>
      <c r="Q971" s="3"/>
      <c r="R971" s="3"/>
      <c r="S971" s="3"/>
      <c r="T971" s="3"/>
      <c r="U971" s="3"/>
      <c r="V971" s="3"/>
      <c r="W971" s="3"/>
      <c r="X971" s="3"/>
      <c r="Y971" s="3"/>
      <c r="Z971" s="3"/>
      <c r="AA971" s="3"/>
      <c r="AB971" s="3"/>
      <c r="AC971" s="3"/>
      <c r="AD971" s="3"/>
      <c r="AE971" s="3"/>
      <c r="AF971" s="3"/>
    </row>
    <row r="972" spans="1:32" x14ac:dyDescent="0.15">
      <c r="A972" s="3"/>
      <c r="I972" s="3"/>
      <c r="J972" s="3"/>
      <c r="K972" s="3"/>
      <c r="L972" s="139"/>
      <c r="M972" s="3"/>
      <c r="N972" s="3"/>
      <c r="O972" s="3"/>
      <c r="P972" s="3"/>
      <c r="Q972" s="3"/>
      <c r="R972" s="3"/>
      <c r="S972" s="3"/>
      <c r="T972" s="3"/>
      <c r="U972" s="3"/>
      <c r="V972" s="3"/>
      <c r="W972" s="3"/>
      <c r="X972" s="3"/>
      <c r="Y972" s="3"/>
      <c r="Z972" s="3"/>
      <c r="AA972" s="3"/>
      <c r="AB972" s="3"/>
      <c r="AC972" s="3"/>
      <c r="AD972" s="3"/>
      <c r="AE972" s="3"/>
      <c r="AF972" s="3"/>
    </row>
    <row r="973" spans="1:32" x14ac:dyDescent="0.15">
      <c r="A973" s="3"/>
      <c r="I973" s="3"/>
      <c r="J973" s="3"/>
      <c r="K973" s="3"/>
      <c r="L973" s="139"/>
      <c r="M973" s="3"/>
      <c r="N973" s="3"/>
      <c r="O973" s="3"/>
      <c r="P973" s="3"/>
      <c r="Q973" s="3"/>
      <c r="R973" s="3"/>
      <c r="S973" s="3"/>
      <c r="T973" s="3"/>
      <c r="U973" s="3"/>
      <c r="V973" s="3"/>
      <c r="W973" s="3"/>
      <c r="X973" s="3"/>
      <c r="Y973" s="3"/>
      <c r="Z973" s="3"/>
      <c r="AA973" s="3"/>
      <c r="AB973" s="3"/>
      <c r="AC973" s="3"/>
      <c r="AD973" s="3"/>
      <c r="AE973" s="3"/>
      <c r="AF973" s="3"/>
    </row>
    <row r="974" spans="1:32" x14ac:dyDescent="0.15">
      <c r="A974" s="3"/>
      <c r="I974" s="3"/>
      <c r="J974" s="3"/>
      <c r="K974" s="3"/>
      <c r="L974" s="139"/>
      <c r="M974" s="3"/>
      <c r="N974" s="3"/>
      <c r="O974" s="3"/>
      <c r="P974" s="3"/>
      <c r="Q974" s="3"/>
      <c r="R974" s="3"/>
      <c r="S974" s="3"/>
      <c r="T974" s="3"/>
      <c r="U974" s="3"/>
      <c r="V974" s="3"/>
      <c r="W974" s="3"/>
      <c r="X974" s="3"/>
      <c r="Y974" s="3"/>
      <c r="Z974" s="3"/>
      <c r="AA974" s="3"/>
      <c r="AB974" s="3"/>
      <c r="AC974" s="3"/>
      <c r="AD974" s="3"/>
      <c r="AE974" s="3"/>
      <c r="AF974" s="3"/>
    </row>
    <row r="975" spans="1:32" x14ac:dyDescent="0.15">
      <c r="A975" s="3"/>
      <c r="I975" s="3"/>
      <c r="J975" s="3"/>
      <c r="K975" s="3"/>
      <c r="L975" s="139"/>
      <c r="M975" s="3"/>
      <c r="N975" s="3"/>
      <c r="O975" s="3"/>
      <c r="P975" s="3"/>
      <c r="Q975" s="3"/>
      <c r="R975" s="3"/>
      <c r="S975" s="3"/>
      <c r="T975" s="3"/>
      <c r="U975" s="3"/>
      <c r="V975" s="3"/>
      <c r="W975" s="3"/>
      <c r="X975" s="3"/>
      <c r="Y975" s="3"/>
      <c r="Z975" s="3"/>
      <c r="AA975" s="3"/>
      <c r="AB975" s="3"/>
      <c r="AC975" s="3"/>
      <c r="AD975" s="3"/>
      <c r="AE975" s="3"/>
      <c r="AF975" s="3"/>
    </row>
    <row r="976" spans="1:32" x14ac:dyDescent="0.15">
      <c r="A976" s="3"/>
      <c r="I976" s="3"/>
      <c r="J976" s="3"/>
      <c r="K976" s="3"/>
      <c r="L976" s="139"/>
      <c r="M976" s="3"/>
      <c r="N976" s="3"/>
      <c r="O976" s="3"/>
      <c r="P976" s="3"/>
      <c r="Q976" s="3"/>
      <c r="R976" s="3"/>
      <c r="S976" s="3"/>
      <c r="T976" s="3"/>
      <c r="U976" s="3"/>
      <c r="V976" s="3"/>
      <c r="W976" s="3"/>
      <c r="X976" s="3"/>
      <c r="Y976" s="3"/>
      <c r="Z976" s="3"/>
      <c r="AA976" s="3"/>
      <c r="AB976" s="3"/>
      <c r="AC976" s="3"/>
      <c r="AD976" s="3"/>
      <c r="AE976" s="3"/>
      <c r="AF976" s="3"/>
    </row>
    <row r="977" spans="1:32" x14ac:dyDescent="0.15">
      <c r="A977" s="3"/>
      <c r="I977" s="3"/>
      <c r="J977" s="3"/>
      <c r="K977" s="3"/>
      <c r="L977" s="139"/>
      <c r="M977" s="3"/>
      <c r="N977" s="3"/>
      <c r="O977" s="3"/>
      <c r="P977" s="3"/>
      <c r="Q977" s="3"/>
      <c r="R977" s="3"/>
      <c r="S977" s="3"/>
      <c r="T977" s="3"/>
      <c r="U977" s="3"/>
      <c r="V977" s="3"/>
      <c r="W977" s="3"/>
      <c r="X977" s="3"/>
      <c r="Y977" s="3"/>
      <c r="Z977" s="3"/>
      <c r="AA977" s="3"/>
      <c r="AB977" s="3"/>
      <c r="AC977" s="3"/>
      <c r="AD977" s="3"/>
      <c r="AE977" s="3"/>
      <c r="AF977" s="3"/>
    </row>
    <row r="978" spans="1:32" x14ac:dyDescent="0.15">
      <c r="A978" s="3"/>
      <c r="I978" s="3"/>
      <c r="J978" s="3"/>
      <c r="K978" s="3"/>
      <c r="L978" s="139"/>
      <c r="M978" s="3"/>
      <c r="N978" s="3"/>
      <c r="O978" s="3"/>
      <c r="P978" s="3"/>
      <c r="Q978" s="3"/>
      <c r="R978" s="3"/>
      <c r="S978" s="3"/>
      <c r="T978" s="3"/>
      <c r="U978" s="3"/>
      <c r="V978" s="3"/>
      <c r="W978" s="3"/>
      <c r="X978" s="3"/>
      <c r="Y978" s="3"/>
      <c r="Z978" s="3"/>
      <c r="AA978" s="3"/>
      <c r="AB978" s="3"/>
      <c r="AC978" s="3"/>
      <c r="AD978" s="3"/>
      <c r="AE978" s="3"/>
      <c r="AF978" s="3"/>
    </row>
    <row r="979" spans="1:32" x14ac:dyDescent="0.15">
      <c r="A979" s="3"/>
      <c r="I979" s="3"/>
      <c r="J979" s="3"/>
      <c r="K979" s="3"/>
      <c r="L979" s="139"/>
      <c r="M979" s="3"/>
      <c r="N979" s="3"/>
      <c r="O979" s="3"/>
      <c r="P979" s="3"/>
      <c r="Q979" s="3"/>
      <c r="R979" s="3"/>
      <c r="S979" s="3"/>
      <c r="T979" s="3"/>
      <c r="U979" s="3"/>
      <c r="V979" s="3"/>
      <c r="W979" s="3"/>
      <c r="X979" s="3"/>
      <c r="Y979" s="3"/>
      <c r="Z979" s="3"/>
      <c r="AA979" s="3"/>
      <c r="AB979" s="3"/>
      <c r="AC979" s="3"/>
      <c r="AD979" s="3"/>
      <c r="AE979" s="3"/>
      <c r="AF979" s="3"/>
    </row>
    <row r="980" spans="1:32" x14ac:dyDescent="0.15">
      <c r="A980" s="3"/>
      <c r="I980" s="3"/>
      <c r="J980" s="3"/>
      <c r="K980" s="3"/>
      <c r="L980" s="139"/>
      <c r="M980" s="3"/>
      <c r="N980" s="3"/>
      <c r="O980" s="3"/>
      <c r="P980" s="3"/>
      <c r="Q980" s="3"/>
      <c r="R980" s="3"/>
      <c r="S980" s="3"/>
      <c r="T980" s="3"/>
      <c r="U980" s="3"/>
      <c r="V980" s="3"/>
      <c r="W980" s="3"/>
      <c r="X980" s="3"/>
      <c r="Y980" s="3"/>
      <c r="Z980" s="3"/>
      <c r="AA980" s="3"/>
      <c r="AB980" s="3"/>
      <c r="AC980" s="3"/>
      <c r="AD980" s="3"/>
      <c r="AE980" s="3"/>
      <c r="AF980" s="3"/>
    </row>
    <row r="981" spans="1:32" x14ac:dyDescent="0.15">
      <c r="A981" s="3"/>
      <c r="I981" s="3"/>
      <c r="J981" s="3"/>
      <c r="K981" s="3"/>
      <c r="L981" s="139"/>
      <c r="M981" s="3"/>
      <c r="N981" s="3"/>
      <c r="O981" s="3"/>
      <c r="P981" s="3"/>
      <c r="Q981" s="3"/>
      <c r="R981" s="3"/>
      <c r="S981" s="3"/>
      <c r="T981" s="3"/>
      <c r="U981" s="3"/>
      <c r="V981" s="3"/>
      <c r="W981" s="3"/>
      <c r="X981" s="3"/>
      <c r="Y981" s="3"/>
      <c r="Z981" s="3"/>
      <c r="AA981" s="3"/>
      <c r="AB981" s="3"/>
      <c r="AC981" s="3"/>
      <c r="AD981" s="3"/>
      <c r="AE981" s="3"/>
      <c r="AF981" s="3"/>
    </row>
    <row r="982" spans="1:32" x14ac:dyDescent="0.15">
      <c r="A982" s="3"/>
      <c r="I982" s="3"/>
      <c r="J982" s="3"/>
      <c r="K982" s="3"/>
      <c r="L982" s="139"/>
      <c r="M982" s="3"/>
      <c r="N982" s="3"/>
      <c r="O982" s="3"/>
      <c r="P982" s="3"/>
      <c r="Q982" s="3"/>
      <c r="R982" s="3"/>
      <c r="S982" s="3"/>
      <c r="T982" s="3"/>
      <c r="U982" s="3"/>
      <c r="V982" s="3"/>
      <c r="W982" s="3"/>
      <c r="X982" s="3"/>
      <c r="Y982" s="3"/>
      <c r="Z982" s="3"/>
      <c r="AA982" s="3"/>
      <c r="AB982" s="3"/>
      <c r="AC982" s="3"/>
      <c r="AD982" s="3"/>
      <c r="AE982" s="3"/>
      <c r="AF982" s="3"/>
    </row>
    <row r="983" spans="1:32" x14ac:dyDescent="0.15">
      <c r="A983" s="3"/>
      <c r="I983" s="3"/>
      <c r="J983" s="3"/>
      <c r="K983" s="3"/>
      <c r="L983" s="139"/>
      <c r="M983" s="3"/>
      <c r="N983" s="3"/>
      <c r="O983" s="3"/>
      <c r="P983" s="3"/>
      <c r="Q983" s="3"/>
      <c r="R983" s="3"/>
      <c r="S983" s="3"/>
      <c r="T983" s="3"/>
      <c r="U983" s="3"/>
      <c r="V983" s="3"/>
      <c r="W983" s="3"/>
      <c r="X983" s="3"/>
      <c r="Y983" s="3"/>
      <c r="Z983" s="3"/>
      <c r="AA983" s="3"/>
      <c r="AB983" s="3"/>
      <c r="AC983" s="3"/>
      <c r="AD983" s="3"/>
      <c r="AE983" s="3"/>
      <c r="AF983" s="3"/>
    </row>
    <row r="984" spans="1:32" x14ac:dyDescent="0.15">
      <c r="A984" s="3"/>
      <c r="I984" s="3"/>
      <c r="J984" s="3"/>
      <c r="K984" s="3"/>
      <c r="L984" s="139"/>
      <c r="M984" s="3"/>
      <c r="N984" s="3"/>
      <c r="O984" s="3"/>
      <c r="P984" s="3"/>
      <c r="Q984" s="3"/>
      <c r="R984" s="3"/>
      <c r="S984" s="3"/>
      <c r="T984" s="3"/>
      <c r="U984" s="3"/>
      <c r="V984" s="3"/>
      <c r="W984" s="3"/>
      <c r="X984" s="3"/>
      <c r="Y984" s="3"/>
      <c r="Z984" s="3"/>
      <c r="AA984" s="3"/>
      <c r="AB984" s="3"/>
      <c r="AC984" s="3"/>
      <c r="AD984" s="3"/>
      <c r="AE984" s="3"/>
      <c r="AF984" s="3"/>
    </row>
    <row r="985" spans="1:32" x14ac:dyDescent="0.15">
      <c r="A985" s="3"/>
      <c r="I985" s="3"/>
      <c r="J985" s="3"/>
      <c r="K985" s="3"/>
      <c r="L985" s="139"/>
      <c r="M985" s="3"/>
      <c r="N985" s="3"/>
      <c r="O985" s="3"/>
      <c r="P985" s="3"/>
      <c r="Q985" s="3"/>
      <c r="R985" s="3"/>
      <c r="S985" s="3"/>
      <c r="T985" s="3"/>
      <c r="U985" s="3"/>
      <c r="V985" s="3"/>
      <c r="W985" s="3"/>
      <c r="X985" s="3"/>
      <c r="Y985" s="3"/>
      <c r="Z985" s="3"/>
      <c r="AA985" s="3"/>
      <c r="AB985" s="3"/>
      <c r="AC985" s="3"/>
      <c r="AD985" s="3"/>
      <c r="AE985" s="3"/>
      <c r="AF985" s="3"/>
    </row>
    <row r="986" spans="1:32" x14ac:dyDescent="0.15">
      <c r="A986" s="3"/>
      <c r="I986" s="3"/>
      <c r="J986" s="3"/>
      <c r="K986" s="3"/>
      <c r="L986" s="139"/>
      <c r="M986" s="3"/>
      <c r="N986" s="3"/>
      <c r="O986" s="3"/>
      <c r="P986" s="3"/>
      <c r="Q986" s="3"/>
      <c r="R986" s="3"/>
      <c r="S986" s="3"/>
      <c r="T986" s="3"/>
      <c r="U986" s="3"/>
      <c r="V986" s="3"/>
      <c r="W986" s="3"/>
      <c r="X986" s="3"/>
      <c r="Y986" s="3"/>
      <c r="Z986" s="3"/>
      <c r="AA986" s="3"/>
      <c r="AB986" s="3"/>
      <c r="AC986" s="3"/>
      <c r="AD986" s="3"/>
      <c r="AE986" s="3"/>
      <c r="AF986" s="3"/>
    </row>
    <row r="987" spans="1:32" x14ac:dyDescent="0.15">
      <c r="A987" s="3"/>
      <c r="I987" s="3"/>
      <c r="J987" s="3"/>
      <c r="K987" s="3"/>
      <c r="L987" s="139"/>
      <c r="M987" s="3"/>
      <c r="N987" s="3"/>
      <c r="O987" s="3"/>
      <c r="P987" s="3"/>
      <c r="Q987" s="3"/>
      <c r="R987" s="3"/>
      <c r="S987" s="3"/>
      <c r="T987" s="3"/>
      <c r="U987" s="3"/>
      <c r="V987" s="3"/>
      <c r="W987" s="3"/>
      <c r="X987" s="3"/>
      <c r="Y987" s="3"/>
      <c r="Z987" s="3"/>
      <c r="AA987" s="3"/>
      <c r="AB987" s="3"/>
      <c r="AC987" s="3"/>
      <c r="AD987" s="3"/>
      <c r="AE987" s="3"/>
      <c r="AF987" s="3"/>
    </row>
    <row r="988" spans="1:32" x14ac:dyDescent="0.15">
      <c r="A988" s="3"/>
      <c r="I988" s="3"/>
      <c r="J988" s="3"/>
      <c r="K988" s="3"/>
      <c r="L988" s="139"/>
      <c r="M988" s="3"/>
      <c r="N988" s="3"/>
      <c r="O988" s="3"/>
      <c r="P988" s="3"/>
      <c r="Q988" s="3"/>
      <c r="R988" s="3"/>
      <c r="S988" s="3"/>
      <c r="T988" s="3"/>
      <c r="U988" s="3"/>
      <c r="V988" s="3"/>
      <c r="W988" s="3"/>
      <c r="X988" s="3"/>
      <c r="Y988" s="3"/>
      <c r="Z988" s="3"/>
      <c r="AA988" s="3"/>
      <c r="AB988" s="3"/>
      <c r="AC988" s="3"/>
      <c r="AD988" s="3"/>
      <c r="AE988" s="3"/>
      <c r="AF988" s="3"/>
    </row>
    <row r="989" spans="1:32" x14ac:dyDescent="0.15">
      <c r="A989" s="3"/>
      <c r="I989" s="3"/>
      <c r="J989" s="3"/>
      <c r="K989" s="3"/>
      <c r="L989" s="139"/>
      <c r="M989" s="3"/>
      <c r="N989" s="3"/>
      <c r="O989" s="3"/>
      <c r="P989" s="3"/>
      <c r="Q989" s="3"/>
      <c r="R989" s="3"/>
      <c r="S989" s="3"/>
      <c r="T989" s="3"/>
      <c r="U989" s="3"/>
      <c r="V989" s="3"/>
      <c r="W989" s="3"/>
      <c r="X989" s="3"/>
      <c r="Y989" s="3"/>
      <c r="Z989" s="3"/>
      <c r="AA989" s="3"/>
      <c r="AB989" s="3"/>
      <c r="AC989" s="3"/>
      <c r="AD989" s="3"/>
      <c r="AE989" s="3"/>
      <c r="AF989" s="3"/>
    </row>
    <row r="990" spans="1:32" x14ac:dyDescent="0.15">
      <c r="A990" s="3"/>
      <c r="I990" s="3"/>
      <c r="J990" s="3"/>
      <c r="K990" s="3"/>
      <c r="L990" s="139"/>
      <c r="M990" s="3"/>
      <c r="N990" s="3"/>
      <c r="O990" s="3"/>
      <c r="P990" s="3"/>
      <c r="Q990" s="3"/>
      <c r="R990" s="3"/>
      <c r="S990" s="3"/>
      <c r="T990" s="3"/>
      <c r="U990" s="3"/>
      <c r="V990" s="3"/>
      <c r="W990" s="3"/>
      <c r="X990" s="3"/>
      <c r="Y990" s="3"/>
      <c r="Z990" s="3"/>
      <c r="AA990" s="3"/>
      <c r="AB990" s="3"/>
      <c r="AC990" s="3"/>
      <c r="AD990" s="3"/>
      <c r="AE990" s="3"/>
      <c r="AF990" s="3"/>
    </row>
    <row r="991" spans="1:32" x14ac:dyDescent="0.15">
      <c r="A991" s="3"/>
      <c r="I991" s="3"/>
      <c r="J991" s="3"/>
      <c r="K991" s="3"/>
      <c r="L991" s="139"/>
      <c r="M991" s="3"/>
      <c r="N991" s="3"/>
      <c r="O991" s="3"/>
      <c r="P991" s="3"/>
      <c r="Q991" s="3"/>
      <c r="R991" s="3"/>
      <c r="S991" s="3"/>
      <c r="T991" s="3"/>
      <c r="U991" s="3"/>
      <c r="V991" s="3"/>
      <c r="W991" s="3"/>
      <c r="X991" s="3"/>
      <c r="Y991" s="3"/>
      <c r="Z991" s="3"/>
      <c r="AA991" s="3"/>
      <c r="AB991" s="3"/>
      <c r="AC991" s="3"/>
      <c r="AD991" s="3"/>
      <c r="AE991" s="3"/>
      <c r="AF991" s="3"/>
    </row>
    <row r="992" spans="1:32" x14ac:dyDescent="0.15">
      <c r="A992" s="3"/>
      <c r="I992" s="3"/>
      <c r="J992" s="3"/>
      <c r="K992" s="3"/>
      <c r="L992" s="139"/>
      <c r="M992" s="3"/>
      <c r="N992" s="3"/>
      <c r="O992" s="3"/>
      <c r="P992" s="3"/>
      <c r="Q992" s="3"/>
      <c r="R992" s="3"/>
      <c r="S992" s="3"/>
      <c r="T992" s="3"/>
      <c r="U992" s="3"/>
      <c r="V992" s="3"/>
      <c r="W992" s="3"/>
      <c r="X992" s="3"/>
      <c r="Y992" s="3"/>
      <c r="Z992" s="3"/>
      <c r="AA992" s="3"/>
      <c r="AB992" s="3"/>
      <c r="AC992" s="3"/>
      <c r="AD992" s="3"/>
      <c r="AE992" s="3"/>
      <c r="AF992" s="3"/>
    </row>
    <row r="993" spans="1:32" x14ac:dyDescent="0.15">
      <c r="A993" s="3"/>
      <c r="I993" s="3"/>
      <c r="J993" s="3"/>
      <c r="K993" s="3"/>
      <c r="L993" s="139"/>
      <c r="M993" s="3"/>
      <c r="N993" s="3"/>
      <c r="O993" s="3"/>
      <c r="P993" s="3"/>
      <c r="Q993" s="3"/>
      <c r="R993" s="3"/>
      <c r="S993" s="3"/>
      <c r="T993" s="3"/>
      <c r="U993" s="3"/>
      <c r="V993" s="3"/>
      <c r="W993" s="3"/>
      <c r="X993" s="3"/>
      <c r="Y993" s="3"/>
      <c r="Z993" s="3"/>
      <c r="AA993" s="3"/>
      <c r="AB993" s="3"/>
      <c r="AC993" s="3"/>
      <c r="AD993" s="3"/>
      <c r="AE993" s="3"/>
      <c r="AF993" s="3"/>
    </row>
    <row r="994" spans="1:32" x14ac:dyDescent="0.15">
      <c r="A994" s="3"/>
      <c r="I994" s="3"/>
      <c r="J994" s="3"/>
      <c r="K994" s="3"/>
      <c r="L994" s="139"/>
      <c r="M994" s="3"/>
      <c r="N994" s="3"/>
      <c r="O994" s="3"/>
      <c r="P994" s="3"/>
      <c r="Q994" s="3"/>
      <c r="R994" s="3"/>
      <c r="S994" s="3"/>
      <c r="T994" s="3"/>
      <c r="U994" s="3"/>
      <c r="V994" s="3"/>
      <c r="W994" s="3"/>
      <c r="X994" s="3"/>
      <c r="Y994" s="3"/>
      <c r="Z994" s="3"/>
      <c r="AA994" s="3"/>
      <c r="AB994" s="3"/>
      <c r="AC994" s="3"/>
      <c r="AD994" s="3"/>
      <c r="AE994" s="3"/>
      <c r="AF994" s="3"/>
    </row>
    <row r="995" spans="1:32" x14ac:dyDescent="0.15">
      <c r="A995" s="3"/>
      <c r="I995" s="3"/>
      <c r="J995" s="3"/>
      <c r="K995" s="3"/>
      <c r="L995" s="139"/>
      <c r="M995" s="3"/>
      <c r="N995" s="3"/>
      <c r="O995" s="3"/>
      <c r="P995" s="3"/>
      <c r="Q995" s="3"/>
      <c r="R995" s="3"/>
      <c r="S995" s="3"/>
      <c r="T995" s="3"/>
      <c r="U995" s="3"/>
      <c r="V995" s="3"/>
      <c r="W995" s="3"/>
      <c r="X995" s="3"/>
      <c r="Y995" s="3"/>
      <c r="Z995" s="3"/>
      <c r="AA995" s="3"/>
      <c r="AB995" s="3"/>
      <c r="AC995" s="3"/>
      <c r="AD995" s="3"/>
      <c r="AE995" s="3"/>
      <c r="AF995" s="3"/>
    </row>
    <row r="996" spans="1:32" x14ac:dyDescent="0.15">
      <c r="A996" s="3"/>
      <c r="I996" s="3"/>
      <c r="J996" s="3"/>
      <c r="K996" s="3"/>
      <c r="L996" s="139"/>
      <c r="M996" s="3"/>
      <c r="N996" s="3"/>
      <c r="O996" s="3"/>
      <c r="P996" s="3"/>
      <c r="Q996" s="3"/>
      <c r="R996" s="3"/>
      <c r="S996" s="3"/>
      <c r="T996" s="3"/>
      <c r="U996" s="3"/>
      <c r="V996" s="3"/>
      <c r="W996" s="3"/>
      <c r="X996" s="3"/>
      <c r="Y996" s="3"/>
      <c r="Z996" s="3"/>
      <c r="AA996" s="3"/>
      <c r="AB996" s="3"/>
      <c r="AC996" s="3"/>
      <c r="AD996" s="3"/>
      <c r="AE996" s="3"/>
      <c r="AF996" s="3"/>
    </row>
    <row r="997" spans="1:32" x14ac:dyDescent="0.15">
      <c r="A997" s="3"/>
      <c r="I997" s="3"/>
      <c r="J997" s="3"/>
      <c r="K997" s="3"/>
      <c r="L997" s="139"/>
      <c r="M997" s="3"/>
      <c r="N997" s="3"/>
      <c r="O997" s="3"/>
      <c r="P997" s="3"/>
      <c r="Q997" s="3"/>
      <c r="R997" s="3"/>
      <c r="S997" s="3"/>
      <c r="T997" s="3"/>
      <c r="U997" s="3"/>
      <c r="V997" s="3"/>
      <c r="W997" s="3"/>
      <c r="X997" s="3"/>
      <c r="Y997" s="3"/>
      <c r="Z997" s="3"/>
      <c r="AA997" s="3"/>
      <c r="AB997" s="3"/>
      <c r="AC997" s="3"/>
      <c r="AD997" s="3"/>
      <c r="AE997" s="3"/>
      <c r="AF997" s="3"/>
    </row>
    <row r="998" spans="1:32" x14ac:dyDescent="0.15">
      <c r="A998" s="3"/>
      <c r="I998" s="3"/>
      <c r="J998" s="3"/>
      <c r="K998" s="3"/>
      <c r="L998" s="139"/>
      <c r="M998" s="3"/>
      <c r="N998" s="3"/>
      <c r="O998" s="3"/>
      <c r="P998" s="3"/>
      <c r="Q998" s="3"/>
      <c r="R998" s="3"/>
      <c r="S998" s="3"/>
      <c r="T998" s="3"/>
      <c r="U998" s="3"/>
      <c r="V998" s="3"/>
      <c r="W998" s="3"/>
      <c r="X998" s="3"/>
      <c r="Y998" s="3"/>
      <c r="Z998" s="3"/>
      <c r="AA998" s="3"/>
      <c r="AB998" s="3"/>
      <c r="AC998" s="3"/>
      <c r="AD998" s="3"/>
      <c r="AE998" s="3"/>
      <c r="AF998" s="3"/>
    </row>
    <row r="999" spans="1:32" x14ac:dyDescent="0.15">
      <c r="A999" s="3"/>
      <c r="I999" s="3"/>
      <c r="J999" s="3"/>
      <c r="K999" s="3"/>
      <c r="L999" s="139"/>
      <c r="M999" s="3"/>
      <c r="N999" s="3"/>
      <c r="O999" s="3"/>
      <c r="P999" s="3"/>
      <c r="Q999" s="3"/>
      <c r="R999" s="3"/>
      <c r="S999" s="3"/>
      <c r="T999" s="3"/>
      <c r="U999" s="3"/>
      <c r="V999" s="3"/>
      <c r="W999" s="3"/>
      <c r="X999" s="3"/>
      <c r="Y999" s="3"/>
      <c r="Z999" s="3"/>
      <c r="AA999" s="3"/>
      <c r="AB999" s="3"/>
      <c r="AC999" s="3"/>
      <c r="AD999" s="3"/>
      <c r="AE999" s="3"/>
      <c r="AF999" s="3"/>
    </row>
    <row r="1000" spans="1:32" x14ac:dyDescent="0.15">
      <c r="A1000" s="3"/>
      <c r="I1000" s="3"/>
      <c r="J1000" s="3"/>
      <c r="K1000" s="3"/>
      <c r="L1000" s="139"/>
      <c r="M1000" s="3"/>
      <c r="N1000" s="3"/>
      <c r="O1000" s="3"/>
      <c r="P1000" s="3"/>
      <c r="Q1000" s="3"/>
      <c r="R1000" s="3"/>
      <c r="S1000" s="3"/>
      <c r="T1000" s="3"/>
      <c r="U1000" s="3"/>
      <c r="V1000" s="3"/>
      <c r="W1000" s="3"/>
      <c r="X1000" s="3"/>
      <c r="Y1000" s="3"/>
      <c r="Z1000" s="3"/>
      <c r="AA1000" s="3"/>
      <c r="AB1000" s="3"/>
      <c r="AC1000" s="3"/>
      <c r="AD1000" s="3"/>
      <c r="AE1000" s="3"/>
      <c r="AF1000" s="3"/>
    </row>
    <row r="1001" spans="1:32" x14ac:dyDescent="0.15">
      <c r="A1001" s="3"/>
      <c r="I1001" s="3"/>
      <c r="J1001" s="3"/>
      <c r="K1001" s="3"/>
      <c r="L1001" s="139"/>
      <c r="M1001" s="3"/>
      <c r="N1001" s="3"/>
      <c r="O1001" s="3"/>
      <c r="P1001" s="3"/>
      <c r="Q1001" s="3"/>
      <c r="R1001" s="3"/>
      <c r="S1001" s="3"/>
      <c r="T1001" s="3"/>
      <c r="U1001" s="3"/>
      <c r="V1001" s="3"/>
      <c r="W1001" s="3"/>
      <c r="X1001" s="3"/>
      <c r="Y1001" s="3"/>
      <c r="Z1001" s="3"/>
      <c r="AA1001" s="3"/>
      <c r="AB1001" s="3"/>
      <c r="AC1001" s="3"/>
      <c r="AD1001" s="3"/>
      <c r="AE1001" s="3"/>
      <c r="AF1001" s="3"/>
    </row>
    <row r="1002" spans="1:32" x14ac:dyDescent="0.15">
      <c r="A1002" s="3"/>
      <c r="I1002" s="3"/>
      <c r="J1002" s="3"/>
      <c r="K1002" s="3"/>
      <c r="L1002" s="139"/>
      <c r="M1002" s="3"/>
      <c r="N1002" s="3"/>
      <c r="O1002" s="3"/>
      <c r="P1002" s="3"/>
      <c r="Q1002" s="3"/>
      <c r="R1002" s="3"/>
      <c r="S1002" s="3"/>
      <c r="T1002" s="3"/>
      <c r="U1002" s="3"/>
      <c r="V1002" s="3"/>
      <c r="W1002" s="3"/>
      <c r="X1002" s="3"/>
      <c r="Y1002" s="3"/>
      <c r="Z1002" s="3"/>
      <c r="AA1002" s="3"/>
      <c r="AB1002" s="3"/>
      <c r="AC1002" s="3"/>
      <c r="AD1002" s="3"/>
      <c r="AE1002" s="3"/>
      <c r="AF1002" s="3"/>
    </row>
    <row r="1003" spans="1:32" x14ac:dyDescent="0.15">
      <c r="A1003" s="3"/>
      <c r="I1003" s="3"/>
      <c r="J1003" s="3"/>
      <c r="K1003" s="3"/>
      <c r="L1003" s="139"/>
      <c r="M1003" s="3"/>
      <c r="N1003" s="3"/>
      <c r="O1003" s="3"/>
      <c r="P1003" s="3"/>
      <c r="Q1003" s="3"/>
      <c r="R1003" s="3"/>
      <c r="S1003" s="3"/>
      <c r="T1003" s="3"/>
      <c r="U1003" s="3"/>
      <c r="V1003" s="3"/>
      <c r="W1003" s="3"/>
      <c r="X1003" s="3"/>
      <c r="Y1003" s="3"/>
      <c r="Z1003" s="3"/>
      <c r="AA1003" s="3"/>
      <c r="AB1003" s="3"/>
      <c r="AC1003" s="3"/>
      <c r="AD1003" s="3"/>
      <c r="AE1003" s="3"/>
      <c r="AF1003" s="3"/>
    </row>
    <row r="1004" spans="1:32" x14ac:dyDescent="0.15">
      <c r="A1004" s="3"/>
      <c r="I1004" s="3"/>
      <c r="J1004" s="3"/>
      <c r="K1004" s="3"/>
      <c r="L1004" s="139"/>
      <c r="M1004" s="3"/>
      <c r="N1004" s="3"/>
      <c r="O1004" s="3"/>
      <c r="P1004" s="3"/>
      <c r="Q1004" s="3"/>
      <c r="R1004" s="3"/>
      <c r="S1004" s="3"/>
      <c r="T1004" s="3"/>
      <c r="U1004" s="3"/>
      <c r="V1004" s="3"/>
      <c r="W1004" s="3"/>
      <c r="X1004" s="3"/>
      <c r="Y1004" s="3"/>
      <c r="Z1004" s="3"/>
      <c r="AA1004" s="3"/>
      <c r="AB1004" s="3"/>
      <c r="AC1004" s="3"/>
      <c r="AD1004" s="3"/>
      <c r="AE1004" s="3"/>
      <c r="AF1004" s="3"/>
    </row>
    <row r="1005" spans="1:32" x14ac:dyDescent="0.15">
      <c r="A1005" s="3"/>
      <c r="I1005" s="3"/>
      <c r="J1005" s="3"/>
      <c r="K1005" s="3"/>
      <c r="L1005" s="139"/>
      <c r="M1005" s="3"/>
      <c r="N1005" s="3"/>
      <c r="O1005" s="3"/>
      <c r="P1005" s="3"/>
      <c r="Q1005" s="3"/>
      <c r="R1005" s="3"/>
      <c r="S1005" s="3"/>
      <c r="T1005" s="3"/>
      <c r="U1005" s="3"/>
      <c r="V1005" s="3"/>
      <c r="W1005" s="3"/>
      <c r="X1005" s="3"/>
      <c r="Y1005" s="3"/>
      <c r="Z1005" s="3"/>
      <c r="AA1005" s="3"/>
      <c r="AB1005" s="3"/>
      <c r="AC1005" s="3"/>
      <c r="AD1005" s="3"/>
      <c r="AE1005" s="3"/>
      <c r="AF1005" s="3"/>
    </row>
    <row r="1006" spans="1:32" x14ac:dyDescent="0.15">
      <c r="A1006" s="3"/>
      <c r="I1006" s="3"/>
      <c r="J1006" s="3"/>
      <c r="K1006" s="3"/>
      <c r="L1006" s="139"/>
      <c r="M1006" s="3"/>
      <c r="N1006" s="3"/>
      <c r="O1006" s="3"/>
      <c r="P1006" s="3"/>
      <c r="Q1006" s="3"/>
      <c r="R1006" s="3"/>
      <c r="S1006" s="3"/>
      <c r="T1006" s="3"/>
      <c r="U1006" s="3"/>
      <c r="V1006" s="3"/>
      <c r="W1006" s="3"/>
      <c r="X1006" s="3"/>
      <c r="Y1006" s="3"/>
      <c r="Z1006" s="3"/>
      <c r="AA1006" s="3"/>
      <c r="AB1006" s="3"/>
      <c r="AC1006" s="3"/>
      <c r="AD1006" s="3"/>
      <c r="AE1006" s="3"/>
      <c r="AF1006" s="3"/>
    </row>
    <row r="1007" spans="1:32" x14ac:dyDescent="0.15">
      <c r="A1007" s="3"/>
      <c r="I1007" s="3"/>
      <c r="J1007" s="3"/>
      <c r="K1007" s="3"/>
      <c r="L1007" s="139"/>
      <c r="M1007" s="3"/>
      <c r="N1007" s="3"/>
      <c r="O1007" s="3"/>
      <c r="P1007" s="3"/>
      <c r="Q1007" s="3"/>
      <c r="R1007" s="3"/>
      <c r="S1007" s="3"/>
      <c r="T1007" s="3"/>
      <c r="U1007" s="3"/>
      <c r="V1007" s="3"/>
      <c r="W1007" s="3"/>
      <c r="X1007" s="3"/>
      <c r="Y1007" s="3"/>
      <c r="Z1007" s="3"/>
      <c r="AA1007" s="3"/>
      <c r="AB1007" s="3"/>
      <c r="AC1007" s="3"/>
      <c r="AD1007" s="3"/>
      <c r="AE1007" s="3"/>
      <c r="AF1007" s="3"/>
    </row>
    <row r="1008" spans="1:32" x14ac:dyDescent="0.15">
      <c r="A1008" s="3"/>
      <c r="I1008" s="3"/>
      <c r="J1008" s="3"/>
      <c r="K1008" s="3"/>
      <c r="L1008" s="139"/>
      <c r="M1008" s="3"/>
      <c r="N1008" s="3"/>
      <c r="O1008" s="3"/>
      <c r="P1008" s="3"/>
      <c r="Q1008" s="3"/>
      <c r="R1008" s="3"/>
      <c r="S1008" s="3"/>
      <c r="T1008" s="3"/>
      <c r="U1008" s="3"/>
      <c r="V1008" s="3"/>
      <c r="W1008" s="3"/>
      <c r="X1008" s="3"/>
      <c r="Y1008" s="3"/>
      <c r="Z1008" s="3"/>
      <c r="AA1008" s="3"/>
      <c r="AB1008" s="3"/>
      <c r="AC1008" s="3"/>
      <c r="AD1008" s="3"/>
      <c r="AE1008" s="3"/>
      <c r="AF1008" s="3"/>
    </row>
    <row r="1009" spans="1:18" x14ac:dyDescent="0.15">
      <c r="A1009" s="3"/>
      <c r="I1009" s="3"/>
      <c r="J1009" s="3"/>
      <c r="K1009" s="3"/>
      <c r="L1009" s="139"/>
      <c r="M1009" s="3"/>
      <c r="N1009" s="3"/>
      <c r="O1009" s="3"/>
      <c r="P1009" s="3"/>
      <c r="Q1009" s="3"/>
      <c r="R1009" s="3"/>
    </row>
    <row r="1010" spans="1:18" x14ac:dyDescent="0.15">
      <c r="A1010" s="3"/>
      <c r="I1010" s="3"/>
      <c r="J1010" s="3"/>
    </row>
    <row r="1011" spans="1:18" x14ac:dyDescent="0.15">
      <c r="A1011" s="3"/>
      <c r="I1011" s="3"/>
    </row>
    <row r="1012" spans="1:18" x14ac:dyDescent="0.15">
      <c r="A1012" s="3"/>
      <c r="I1012" s="3"/>
    </row>
    <row r="1013" spans="1:18" x14ac:dyDescent="0.15">
      <c r="A1013" s="3"/>
      <c r="I1013" s="3"/>
    </row>
  </sheetData>
  <scenarios current="0" sqref="B1">
    <scenario name="pH5" locked="1" count="1" user="Cora Went" comment="Created by Cora Went on 5/27/2021_x000a_Modified by Cora Went on 5/27/2021">
      <inputCells r="B10" val="5"/>
    </scenario>
    <scenario name="pH6" locked="1" count="1" user="Cora Went" comment="Created by Cora Went on 5/27/2021">
      <inputCells r="B10" val="6"/>
    </scenario>
    <scenario name="pH7" locked="1" count="1" user="Cora Went" comment="Created by Cora Went on 5/27/2021">
      <inputCells r="B10" val="7"/>
    </scenario>
  </scenarios>
  <phoneticPr fontId="16" type="noConversion"/>
  <dataValidations count="6">
    <dataValidation allowBlank="1" showInputMessage="1" showErrorMessage="1" prompt="https://fred.stlouisfed.org/series/GDPDEF/" sqref="C146" xr:uid="{9944CCDC-F906-4267-971E-3CA862DB696B}"/>
    <dataValidation type="list" allowBlank="1" showInputMessage="1" showErrorMessage="1" sqref="B79" xr:uid="{6C5AECEC-FF0F-41BF-A309-C3552D95CB49}">
      <formula1>"Straight Line, MACRS"</formula1>
    </dataValidation>
    <dataValidation allowBlank="1" showInputMessage="1" showErrorMessage="1" promptTitle="Total plant staff" prompt="FTE" sqref="B117" xr:uid="{85BA1700-F38D-4DF3-9730-C8E6C2FABE83}"/>
    <dataValidation type="whole" allowBlank="1" showInputMessage="1" showErrorMessage="1" error="Debt period may not exceed analysis period" sqref="B83" xr:uid="{12F97C0E-4DD7-415D-8757-4DFC6FDF4FB9}">
      <formula1>0</formula1>
      <formula2>B77</formula2>
    </dataValidation>
    <dataValidation type="list" allowBlank="1" showInputMessage="1" showErrorMessage="1" sqref="B3" xr:uid="{FAE39F5C-3A1D-5B4F-B0C2-A3059D27ADCF}">
      <formula1>"current,future"</formula1>
    </dataValidation>
    <dataValidation type="list" allowBlank="1" showInputMessage="1" showErrorMessage="1" sqref="B4" xr:uid="{2521D7EA-706D-0C46-BB2A-E49D75DAB673}">
      <formula1>"equilibrium,steady-state"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B94511-A6D2-5D43-AD6B-F735E90D81D4}">
  <sheetPr codeName="Sheet8"/>
  <dimension ref="A1:AT239"/>
  <sheetViews>
    <sheetView zoomScaleNormal="100" workbookViewId="0">
      <pane ySplit="1" topLeftCell="A2" activePane="bottomLeft" state="frozen"/>
      <selection pane="bottomLeft" activeCell="E46" sqref="E46"/>
    </sheetView>
  </sheetViews>
  <sheetFormatPr baseColWidth="10" defaultColWidth="16.83203125" defaultRowHeight="13" x14ac:dyDescent="0.15"/>
  <cols>
    <col min="8" max="8" width="19" customWidth="1"/>
  </cols>
  <sheetData>
    <row r="1" spans="1:46" s="385" customFormat="1" ht="27" x14ac:dyDescent="0.35">
      <c r="A1" s="383" t="s">
        <v>344</v>
      </c>
      <c r="B1" s="384">
        <f>H2_cost_infl*tons_to_kg</f>
        <v>138.15249440013105</v>
      </c>
      <c r="C1" s="383" t="s">
        <v>150</v>
      </c>
      <c r="H1" s="386"/>
    </row>
    <row r="2" spans="1:46" s="12" customFormat="1" x14ac:dyDescent="0.15"/>
    <row r="3" spans="1:46" ht="16" x14ac:dyDescent="0.2">
      <c r="A3" s="413" t="s">
        <v>361</v>
      </c>
      <c r="B3" s="414"/>
      <c r="C3" s="414"/>
      <c r="D3" s="414"/>
      <c r="E3" s="414"/>
      <c r="F3" s="414"/>
      <c r="G3" s="414"/>
      <c r="H3" s="414"/>
      <c r="I3" s="414"/>
    </row>
    <row r="4" spans="1:46" s="12" customFormat="1" ht="16" x14ac:dyDescent="0.2">
      <c r="A4" s="413"/>
      <c r="B4" s="414"/>
      <c r="C4" s="414"/>
      <c r="D4" s="414"/>
      <c r="E4" s="414"/>
      <c r="F4" s="414"/>
      <c r="G4" s="414"/>
      <c r="H4" s="414"/>
      <c r="I4" s="414"/>
    </row>
    <row r="5" spans="1:46" s="7" customFormat="1" ht="16" x14ac:dyDescent="0.2">
      <c r="A5" s="413"/>
      <c r="B5" s="429" t="s">
        <v>88</v>
      </c>
      <c r="C5" s="429" t="s">
        <v>79</v>
      </c>
      <c r="D5" s="429" t="s">
        <v>386</v>
      </c>
      <c r="E5" s="429"/>
      <c r="F5" s="429" t="s">
        <v>387</v>
      </c>
      <c r="G5" s="429" t="s">
        <v>388</v>
      </c>
      <c r="H5" s="429" t="s">
        <v>389</v>
      </c>
      <c r="I5" s="429" t="s">
        <v>385</v>
      </c>
    </row>
    <row r="6" spans="1:46" x14ac:dyDescent="0.15">
      <c r="A6" s="433" t="s">
        <v>377</v>
      </c>
      <c r="B6" s="431" cm="1">
        <f t="array" ref="B6:B22">TRANSPOSE('Cash flow analysis'!E61:U61)</f>
        <v>1615732386.3341694</v>
      </c>
      <c r="C6" s="431" cm="1">
        <f t="array" ref="C6:C22">TRANSPOSE('Cash flow analysis'!E62:U62)</f>
        <v>1745217179.7749896</v>
      </c>
      <c r="D6" s="414" t="s">
        <v>382</v>
      </c>
      <c r="E6" s="414"/>
      <c r="F6" s="414"/>
      <c r="G6" s="414"/>
      <c r="H6" s="414"/>
      <c r="I6" s="414"/>
      <c r="J6" s="12"/>
      <c r="K6" s="12"/>
      <c r="L6" s="12"/>
      <c r="M6" s="12"/>
      <c r="N6" s="12"/>
      <c r="O6" s="12"/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  <c r="AP6" s="12"/>
      <c r="AQ6" s="12"/>
      <c r="AR6" s="12"/>
      <c r="AS6" s="12"/>
      <c r="AT6" s="12"/>
    </row>
    <row r="7" spans="1:46" x14ac:dyDescent="0.15">
      <c r="A7" s="433" t="s">
        <v>8</v>
      </c>
      <c r="B7" s="431">
        <v>-215016344.30262768</v>
      </c>
      <c r="C7" s="431">
        <v>-232247754.13504025</v>
      </c>
      <c r="D7" s="414" t="s">
        <v>383</v>
      </c>
      <c r="E7" s="414"/>
      <c r="F7" s="414" t="s">
        <v>657</v>
      </c>
      <c r="G7" s="431">
        <f>-(C8+C11+C16+C21)</f>
        <v>276377006.25358826</v>
      </c>
      <c r="H7" s="437">
        <f>G7/G$14*(1+inflation_rate)^construct_period*tons_to_kg/(1+inflation_rate)^(startup_year-anal_year)</f>
        <v>21.87817840166845</v>
      </c>
      <c r="I7" s="440">
        <f>H7/H$16</f>
        <v>0.15836252900582942</v>
      </c>
      <c r="J7" s="397"/>
      <c r="K7" s="397"/>
      <c r="L7" s="397"/>
      <c r="M7" s="397"/>
      <c r="N7" s="397"/>
      <c r="O7" s="397"/>
      <c r="P7" s="397"/>
      <c r="Q7" s="397"/>
      <c r="R7" s="397"/>
      <c r="S7" s="397"/>
      <c r="T7" s="397"/>
      <c r="U7" s="397"/>
      <c r="V7" s="397"/>
      <c r="W7" s="397"/>
      <c r="X7" s="397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  <c r="AP7" s="12"/>
      <c r="AQ7" s="12"/>
      <c r="AR7" s="12"/>
      <c r="AS7" s="12"/>
      <c r="AT7" s="12"/>
    </row>
    <row r="8" spans="1:46" x14ac:dyDescent="0.15">
      <c r="A8" s="433" t="s">
        <v>9</v>
      </c>
      <c r="B8" s="431">
        <v>-143344229.53508514</v>
      </c>
      <c r="C8" s="431">
        <v>-154831836.09002686</v>
      </c>
      <c r="D8" s="414" t="s">
        <v>372</v>
      </c>
      <c r="E8" s="414"/>
      <c r="F8" s="414" t="s">
        <v>76</v>
      </c>
      <c r="G8" s="431">
        <f>-C9</f>
        <v>312736058.56019342</v>
      </c>
      <c r="H8" s="437">
        <f>G8/G$14*(1+inflation_rate)^construct_period*tons_to_kg/(1+inflation_rate)^(startup_year-anal_year)</f>
        <v>24.756383950177874</v>
      </c>
      <c r="I8" s="440">
        <f>H8/H$16</f>
        <v>0.17919606922532974</v>
      </c>
      <c r="J8" s="397"/>
      <c r="K8" s="397"/>
      <c r="L8" s="397"/>
      <c r="M8" s="397"/>
      <c r="N8" s="397"/>
      <c r="O8" s="397"/>
      <c r="P8" s="397"/>
      <c r="Q8" s="397"/>
      <c r="R8" s="397"/>
      <c r="S8" s="397"/>
      <c r="T8" s="397"/>
      <c r="U8" s="397"/>
      <c r="V8" s="397"/>
      <c r="W8" s="397"/>
      <c r="X8" s="397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  <c r="AP8" s="12"/>
      <c r="AQ8" s="12"/>
      <c r="AR8" s="12"/>
      <c r="AS8" s="12"/>
      <c r="AT8" s="12"/>
    </row>
    <row r="9" spans="1:46" x14ac:dyDescent="0.15">
      <c r="A9" s="433" t="s">
        <v>10</v>
      </c>
      <c r="B9" s="431">
        <v>-289532892.55114454</v>
      </c>
      <c r="C9" s="431">
        <v>-312736058.56019342</v>
      </c>
      <c r="D9" s="414" t="s">
        <v>371</v>
      </c>
      <c r="E9" s="414"/>
      <c r="F9" s="414" t="s">
        <v>407</v>
      </c>
      <c r="G9" s="431">
        <f>-(C12+C13+C14)</f>
        <v>269906273.09919643</v>
      </c>
      <c r="H9" s="437">
        <f>G9/G$14*(1+inflation_rate)^construct_period*tons_to_kg/(1+inflation_rate)^(startup_year-anal_year)</f>
        <v>21.365951077621528</v>
      </c>
      <c r="I9" s="440">
        <f>H9/H$16</f>
        <v>0.1546548339238763</v>
      </c>
      <c r="J9" s="12"/>
      <c r="K9" s="12"/>
      <c r="L9" s="12"/>
      <c r="M9" s="12"/>
      <c r="N9" s="12"/>
      <c r="O9" s="12"/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  <c r="AP9" s="12"/>
      <c r="AQ9" s="12"/>
      <c r="AR9" s="12"/>
      <c r="AS9" s="12"/>
      <c r="AT9" s="12"/>
    </row>
    <row r="10" spans="1:46" x14ac:dyDescent="0.15">
      <c r="A10" s="433" t="s">
        <v>11</v>
      </c>
      <c r="B10" s="431">
        <v>-11329364.036503328</v>
      </c>
      <c r="C10" s="431">
        <v>-12237299.270388704</v>
      </c>
      <c r="D10" s="414" t="s">
        <v>381</v>
      </c>
      <c r="E10" s="414"/>
      <c r="F10" s="414" t="s">
        <v>658</v>
      </c>
      <c r="G10" s="431">
        <f>-C15</f>
        <v>836934957.44749725</v>
      </c>
      <c r="H10" s="437">
        <f>G10/G$14*(1+inflation_rate)^construct_period*tons_to_kg/(1+inflation_rate)^(startup_year-anal_year)</f>
        <v>66.25229992117481</v>
      </c>
      <c r="I10" s="440">
        <f>H10/H$16</f>
        <v>0.47955920165500782</v>
      </c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  <c r="AP10" s="12"/>
      <c r="AQ10" s="12"/>
      <c r="AR10" s="12"/>
      <c r="AS10" s="12"/>
      <c r="AT10" s="12"/>
    </row>
    <row r="11" spans="1:46" x14ac:dyDescent="0.15">
      <c r="A11" s="433" t="s">
        <v>187</v>
      </c>
      <c r="B11" s="431">
        <v>0</v>
      </c>
      <c r="C11" s="431">
        <v>0</v>
      </c>
      <c r="D11" s="414" t="s">
        <v>372</v>
      </c>
      <c r="E11" s="414"/>
      <c r="F11" s="414" t="s">
        <v>379</v>
      </c>
      <c r="G11" s="431">
        <f>-(C20+C10)</f>
        <v>49262884.414512083</v>
      </c>
      <c r="H11" s="437">
        <f>G11/G$14*(1+inflation_rate)^construct_period*tons_to_kg/(1+inflation_rate)^(startup_year-anal_year)</f>
        <v>3.8996810494884446</v>
      </c>
      <c r="I11" s="440">
        <f>H11/H$16</f>
        <v>2.822736618995671E-2</v>
      </c>
      <c r="J11" s="12"/>
      <c r="K11" s="12"/>
      <c r="L11" s="12"/>
      <c r="M11" s="12"/>
      <c r="N11" s="12"/>
      <c r="O11" s="12"/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  <c r="AP11" s="12"/>
      <c r="AQ11" s="12"/>
      <c r="AR11" s="12"/>
      <c r="AS11" s="12"/>
      <c r="AT11" s="12"/>
    </row>
    <row r="12" spans="1:46" x14ac:dyDescent="0.15">
      <c r="A12" s="433" t="s">
        <v>12</v>
      </c>
      <c r="B12" s="431">
        <v>3484059.8976978054</v>
      </c>
      <c r="C12" s="431">
        <v>3763272.4578993074</v>
      </c>
      <c r="D12" s="414" t="s">
        <v>380</v>
      </c>
      <c r="E12" s="414"/>
      <c r="F12" s="414"/>
      <c r="G12" s="414"/>
      <c r="H12" s="414"/>
      <c r="I12" s="414"/>
      <c r="J12" s="12"/>
      <c r="K12" s="12"/>
      <c r="L12" s="12"/>
      <c r="M12" s="12"/>
      <c r="N12" s="12"/>
      <c r="O12" s="12"/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  <c r="AP12" s="12"/>
      <c r="AQ12" s="12"/>
      <c r="AR12" s="12"/>
      <c r="AS12" s="12"/>
      <c r="AT12" s="12"/>
    </row>
    <row r="13" spans="1:46" x14ac:dyDescent="0.15">
      <c r="A13" s="433" t="s">
        <v>13</v>
      </c>
      <c r="B13" s="431">
        <v>-3484059.8976978054</v>
      </c>
      <c r="C13" s="431">
        <v>-3763272.4578993074</v>
      </c>
      <c r="D13" s="414" t="s">
        <v>380</v>
      </c>
      <c r="E13" s="414"/>
      <c r="F13" s="414" t="s">
        <v>377</v>
      </c>
      <c r="G13" s="432">
        <f>C6</f>
        <v>1745217179.7749896</v>
      </c>
      <c r="H13" s="414"/>
      <c r="I13" s="414"/>
      <c r="J13" s="12"/>
      <c r="K13" s="12"/>
      <c r="L13" s="12"/>
      <c r="M13" s="12"/>
      <c r="N13" s="12"/>
      <c r="O13" s="12"/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  <c r="AP13" s="12"/>
      <c r="AQ13" s="12"/>
      <c r="AR13" s="12"/>
      <c r="AS13" s="12"/>
      <c r="AT13" s="12"/>
    </row>
    <row r="14" spans="1:46" x14ac:dyDescent="0.15">
      <c r="A14" s="433" t="s">
        <v>14</v>
      </c>
      <c r="B14" s="431">
        <v>-249880823.87393895</v>
      </c>
      <c r="C14" s="431">
        <v>-269906273.09919643</v>
      </c>
      <c r="D14" s="414" t="s">
        <v>369</v>
      </c>
      <c r="E14" s="414"/>
      <c r="F14" s="414" t="s">
        <v>390</v>
      </c>
      <c r="G14" s="415">
        <f>'Cash flow analysis'!G12</f>
        <v>13117138882.485611</v>
      </c>
      <c r="H14" s="414"/>
      <c r="I14" s="414"/>
      <c r="J14" s="12"/>
      <c r="K14" s="12"/>
      <c r="L14" s="12"/>
      <c r="M14" s="12"/>
      <c r="N14" s="12"/>
      <c r="O14" s="12"/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  <c r="AP14" s="12"/>
      <c r="AQ14" s="12"/>
      <c r="AR14" s="12"/>
      <c r="AS14" s="12"/>
      <c r="AT14" s="12"/>
    </row>
    <row r="15" spans="1:46" x14ac:dyDescent="0.15">
      <c r="A15" s="433" t="s">
        <v>15</v>
      </c>
      <c r="B15" s="431">
        <v>-774839333.27855432</v>
      </c>
      <c r="C15" s="431">
        <v>-836934957.44749725</v>
      </c>
      <c r="D15" s="414" t="s">
        <v>370</v>
      </c>
      <c r="E15" s="414"/>
      <c r="F15" s="414"/>
      <c r="G15" s="414"/>
      <c r="H15" s="414"/>
      <c r="I15" s="414"/>
      <c r="J15" s="12"/>
      <c r="K15" s="12"/>
      <c r="L15" s="12"/>
      <c r="M15" s="12"/>
      <c r="N15" s="12"/>
      <c r="O15" s="12"/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  <c r="AP15" s="12"/>
      <c r="AQ15" s="12"/>
      <c r="AR15" s="12"/>
      <c r="AS15" s="12"/>
      <c r="AT15" s="12"/>
    </row>
    <row r="16" spans="1:46" x14ac:dyDescent="0.15">
      <c r="A16" s="433" t="s">
        <v>16</v>
      </c>
      <c r="B16" s="431">
        <v>-102681018.09513344</v>
      </c>
      <c r="C16" s="431">
        <v>-110909874.88527744</v>
      </c>
      <c r="D16" s="414" t="s">
        <v>372</v>
      </c>
      <c r="E16" s="414"/>
      <c r="F16" s="429" t="s">
        <v>29</v>
      </c>
      <c r="G16" s="432">
        <f>SUM(G7:G11,-G13)</f>
        <v>-1.9073486328125E-6</v>
      </c>
      <c r="H16" s="436">
        <f>SUM(H7:H11,-H13)</f>
        <v>138.1524944001311</v>
      </c>
      <c r="I16" s="414"/>
      <c r="J16" s="12"/>
      <c r="K16" s="12"/>
      <c r="L16" s="12"/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  <c r="AP16" s="12"/>
      <c r="AQ16" s="12"/>
      <c r="AR16" s="12"/>
      <c r="AS16" s="12"/>
      <c r="AT16" s="12"/>
    </row>
    <row r="17" spans="1:46" x14ac:dyDescent="0.15">
      <c r="A17" s="433" t="s">
        <v>17</v>
      </c>
      <c r="B17" s="431">
        <v>488331211.08654267</v>
      </c>
      <c r="C17" s="431">
        <v>527466074.34301823</v>
      </c>
      <c r="D17" s="414" t="s">
        <v>384</v>
      </c>
      <c r="E17" s="414"/>
      <c r="F17" s="414"/>
      <c r="G17" s="414"/>
      <c r="H17" s="414"/>
      <c r="I17" s="414"/>
      <c r="J17" s="12"/>
      <c r="K17" s="12"/>
      <c r="L17" s="12"/>
      <c r="M17" s="12"/>
      <c r="N17" s="12"/>
      <c r="O17" s="12"/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  <c r="AP17" s="12"/>
      <c r="AQ17" s="12"/>
      <c r="AR17" s="12"/>
      <c r="AS17" s="12"/>
      <c r="AT17" s="12"/>
    </row>
    <row r="18" spans="1:46" x14ac:dyDescent="0.15">
      <c r="A18" s="433" t="s">
        <v>18</v>
      </c>
      <c r="B18" s="431">
        <v>-355159083.27953482</v>
      </c>
      <c r="C18" s="431">
        <v>-383621532.21355689</v>
      </c>
      <c r="D18" s="414" t="s">
        <v>384</v>
      </c>
      <c r="E18" s="414"/>
      <c r="F18" s="414"/>
      <c r="G18" s="414"/>
      <c r="H18" s="414"/>
      <c r="I18" s="414"/>
      <c r="J18" s="12"/>
      <c r="K18" s="12"/>
      <c r="L18" s="12"/>
      <c r="M18" s="12"/>
      <c r="N18" s="12"/>
      <c r="O18" s="12"/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  <c r="AP18" s="12"/>
      <c r="AQ18" s="12"/>
      <c r="AR18" s="12"/>
      <c r="AS18" s="12"/>
      <c r="AT18" s="12"/>
    </row>
    <row r="19" spans="1:46" x14ac:dyDescent="0.15">
      <c r="A19" s="433" t="s">
        <v>19</v>
      </c>
      <c r="B19" s="431">
        <v>133172127.80700789</v>
      </c>
      <c r="C19" s="431">
        <v>143844542.1294615</v>
      </c>
      <c r="D19" s="414" t="s">
        <v>384</v>
      </c>
      <c r="E19" s="414"/>
      <c r="F19" s="414"/>
      <c r="G19" s="414"/>
      <c r="H19" s="414"/>
      <c r="I19" s="414"/>
      <c r="J19" s="12"/>
      <c r="K19" s="12"/>
      <c r="L19" s="12"/>
      <c r="M19" s="12"/>
      <c r="N19" s="12"/>
      <c r="O19" s="12"/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  <c r="AP19" s="12"/>
      <c r="AQ19" s="12"/>
      <c r="AR19" s="12"/>
      <c r="AS19" s="12"/>
      <c r="AT19" s="12"/>
    </row>
    <row r="20" spans="1:46" x14ac:dyDescent="0.15">
      <c r="A20" s="433" t="s">
        <v>20</v>
      </c>
      <c r="B20" s="431">
        <v>-34278505.697523817</v>
      </c>
      <c r="C20" s="431">
        <v>-37025585.144123383</v>
      </c>
      <c r="D20" s="414" t="s">
        <v>381</v>
      </c>
      <c r="E20" s="414"/>
      <c r="F20" s="414"/>
      <c r="G20" s="414"/>
      <c r="H20" s="414"/>
      <c r="I20" s="414"/>
      <c r="J20" s="12"/>
      <c r="K20" s="12"/>
      <c r="L20" s="12"/>
      <c r="M20" s="12"/>
      <c r="N20" s="12"/>
      <c r="O20" s="12"/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  <c r="AP20" s="12"/>
      <c r="AQ20" s="12"/>
      <c r="AR20" s="12"/>
      <c r="AS20" s="12"/>
      <c r="AT20" s="12"/>
    </row>
    <row r="21" spans="1:46" x14ac:dyDescent="0.15">
      <c r="A21" s="433" t="s">
        <v>21</v>
      </c>
      <c r="B21" s="431">
        <v>-9846219.266283961</v>
      </c>
      <c r="C21" s="431">
        <v>-10635295.278283959</v>
      </c>
      <c r="D21" s="414" t="s">
        <v>372</v>
      </c>
      <c r="E21" s="414"/>
      <c r="F21" s="414"/>
      <c r="G21" s="414"/>
      <c r="H21" s="414"/>
      <c r="I21" s="414"/>
      <c r="J21" s="12"/>
      <c r="K21" s="12"/>
      <c r="L21" s="12"/>
      <c r="M21" s="12"/>
      <c r="N21" s="12"/>
      <c r="O21" s="12"/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  <c r="AP21" s="12"/>
      <c r="AQ21" s="12"/>
      <c r="AR21" s="12"/>
      <c r="AS21" s="12"/>
      <c r="AT21" s="12"/>
    </row>
    <row r="22" spans="1:46" x14ac:dyDescent="0.15">
      <c r="A22" s="433" t="s">
        <v>22</v>
      </c>
      <c r="B22" s="431">
        <v>1.8294236605351083E-6</v>
      </c>
      <c r="C22" s="431">
        <v>1.9669532775878906E-6</v>
      </c>
      <c r="D22" s="414" t="s">
        <v>384</v>
      </c>
      <c r="E22" s="414"/>
      <c r="F22" s="414"/>
      <c r="G22" s="414"/>
      <c r="H22" s="414"/>
      <c r="I22" s="414"/>
      <c r="J22" s="12"/>
      <c r="K22" s="12"/>
      <c r="L22" s="12"/>
      <c r="M22" s="12"/>
      <c r="N22" s="12"/>
      <c r="O22" s="12"/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  <c r="AP22" s="12"/>
      <c r="AQ22" s="12"/>
      <c r="AR22" s="12"/>
      <c r="AS22" s="12"/>
      <c r="AT22" s="12"/>
    </row>
    <row r="23" spans="1:46" x14ac:dyDescent="0.15">
      <c r="A23" s="429" t="s">
        <v>29</v>
      </c>
      <c r="B23" s="415">
        <f>SUM(B6,B8:B10,B14:B16,B20,B21)</f>
        <v>1.8160790205001831E-6</v>
      </c>
      <c r="C23" s="431">
        <f>SUM(C6,C8:C10,C14:C16,C20,C21)</f>
        <v>2.1476298570632935E-6</v>
      </c>
      <c r="D23" s="414"/>
      <c r="E23" s="414"/>
      <c r="F23" s="414"/>
      <c r="G23" s="414"/>
      <c r="H23" s="414"/>
      <c r="I23" s="414"/>
    </row>
    <row r="29" spans="1:46" ht="16" x14ac:dyDescent="0.2">
      <c r="A29" s="416" t="s">
        <v>362</v>
      </c>
      <c r="B29" s="417"/>
      <c r="C29" s="417"/>
      <c r="D29" s="417"/>
      <c r="E29" s="417"/>
      <c r="F29" s="417"/>
      <c r="G29" s="417"/>
      <c r="W29" s="400"/>
      <c r="X29" s="12"/>
      <c r="Y29" s="12"/>
      <c r="Z29" s="12"/>
      <c r="AA29" s="12"/>
      <c r="AB29" s="12"/>
      <c r="AC29" s="12"/>
      <c r="AD29" s="12"/>
      <c r="AE29" s="12"/>
    </row>
    <row r="30" spans="1:46" x14ac:dyDescent="0.15">
      <c r="A30" s="417"/>
      <c r="B30" s="417"/>
      <c r="C30" s="417"/>
      <c r="D30" s="417"/>
      <c r="E30" s="417"/>
      <c r="F30" s="417"/>
      <c r="G30" s="417"/>
      <c r="W30" s="400"/>
      <c r="X30" s="12"/>
      <c r="Y30" s="12"/>
      <c r="Z30" s="12"/>
      <c r="AA30" s="12"/>
      <c r="AB30" s="12"/>
      <c r="AC30" s="12"/>
      <c r="AD30" s="12"/>
      <c r="AE30" s="12"/>
    </row>
    <row r="31" spans="1:46" x14ac:dyDescent="0.15">
      <c r="A31" s="417"/>
      <c r="B31" s="418" t="s">
        <v>432</v>
      </c>
      <c r="C31" s="418" t="s">
        <v>430</v>
      </c>
      <c r="D31" s="418" t="s">
        <v>431</v>
      </c>
      <c r="E31" s="418" t="s">
        <v>394</v>
      </c>
      <c r="F31" s="418" t="s">
        <v>392</v>
      </c>
      <c r="G31" s="418" t="s">
        <v>393</v>
      </c>
      <c r="W31" s="452"/>
      <c r="X31" s="12"/>
      <c r="Y31" s="12"/>
      <c r="Z31" s="12"/>
      <c r="AA31" s="12"/>
      <c r="AB31" s="12"/>
      <c r="AC31" s="12"/>
      <c r="AD31" s="12"/>
      <c r="AE31" s="12"/>
    </row>
    <row r="32" spans="1:46" x14ac:dyDescent="0.15">
      <c r="A32" s="240" t="s">
        <v>189</v>
      </c>
      <c r="B32" s="445">
        <f>E32*H$7</f>
        <v>3.5693690923900561</v>
      </c>
      <c r="C32" s="445">
        <f t="shared" ref="C32:C38" si="0">F32*H$10</f>
        <v>11.621607138366796</v>
      </c>
      <c r="D32" s="445">
        <f t="shared" ref="D32:D38" si="1">G32*H$8</f>
        <v>0</v>
      </c>
      <c r="E32" s="542">
        <f>cap_intake_scaled/direct_cap</f>
        <v>0.16314745345151097</v>
      </c>
      <c r="F32" s="446">
        <f>energy_intake/energy_total</f>
        <v>0.17541439545787646</v>
      </c>
      <c r="G32" s="434">
        <v>0</v>
      </c>
      <c r="W32" s="536"/>
      <c r="X32" s="12"/>
      <c r="Y32" s="12"/>
      <c r="Z32" s="12"/>
      <c r="AA32" s="12"/>
      <c r="AB32" s="12"/>
      <c r="AC32" s="12"/>
      <c r="AD32" s="12"/>
      <c r="AE32" s="12"/>
    </row>
    <row r="33" spans="1:31" x14ac:dyDescent="0.15">
      <c r="A33" s="243" t="s">
        <v>113</v>
      </c>
      <c r="B33" s="445">
        <f t="shared" ref="B33:B38" si="2">E33*H$7</f>
        <v>4.6361825823956844</v>
      </c>
      <c r="C33" s="445">
        <f t="shared" si="0"/>
        <v>0</v>
      </c>
      <c r="D33" s="445">
        <f t="shared" si="1"/>
        <v>0</v>
      </c>
      <c r="E33" s="444">
        <f>cap_screening_scaled/direct_cap</f>
        <v>0.21190898516679638</v>
      </c>
      <c r="F33" s="446">
        <f>0/energy_total</f>
        <v>0</v>
      </c>
      <c r="G33" s="434">
        <v>0</v>
      </c>
      <c r="W33" s="536"/>
      <c r="X33" s="12"/>
      <c r="Y33" s="12"/>
      <c r="Z33" s="12"/>
      <c r="AA33" s="12"/>
      <c r="AB33" s="12"/>
      <c r="AC33" s="12"/>
      <c r="AD33" s="12"/>
      <c r="AE33" s="12"/>
    </row>
    <row r="34" spans="1:31" x14ac:dyDescent="0.15">
      <c r="A34" s="243" t="s">
        <v>404</v>
      </c>
      <c r="B34" s="445">
        <f t="shared" si="2"/>
        <v>2.4567109723512202</v>
      </c>
      <c r="C34" s="445">
        <f t="shared" si="0"/>
        <v>0.47004585612998195</v>
      </c>
      <c r="D34" s="445">
        <f t="shared" si="1"/>
        <v>4.5033019042274454</v>
      </c>
      <c r="E34" s="444">
        <f>cap_micro_scaled/direct_cap</f>
        <v>0.11229047168588173</v>
      </c>
      <c r="F34" s="446">
        <f>energy_micro/energy_total</f>
        <v>7.0947854895487368E-3</v>
      </c>
      <c r="G34" s="434">
        <f>'Cash flow analysis'!H210/'Cash flow analysis'!J210</f>
        <v>0.18190467207530481</v>
      </c>
      <c r="W34" s="536"/>
      <c r="X34" s="12"/>
      <c r="Y34" s="12"/>
      <c r="Z34" s="12"/>
      <c r="AA34" s="12"/>
      <c r="AB34" s="12"/>
      <c r="AC34" s="12"/>
      <c r="AD34" s="12"/>
      <c r="AE34" s="12"/>
    </row>
    <row r="35" spans="1:31" x14ac:dyDescent="0.15">
      <c r="A35" s="58" t="s">
        <v>148</v>
      </c>
      <c r="B35" s="445">
        <f t="shared" si="2"/>
        <v>0.51392420553851903</v>
      </c>
      <c r="C35" s="445">
        <f t="shared" si="0"/>
        <v>0.41025612794611499</v>
      </c>
      <c r="D35" s="445">
        <f t="shared" si="1"/>
        <v>0</v>
      </c>
      <c r="E35" s="443">
        <f>cap_nano_scaled/direct_cap</f>
        <v>2.3490264870466855E-2</v>
      </c>
      <c r="F35" s="446">
        <f>energy_nano/energy_total</f>
        <v>6.1923303558401232E-3</v>
      </c>
      <c r="G35" s="434">
        <v>0</v>
      </c>
      <c r="W35" s="12"/>
      <c r="X35" s="12"/>
      <c r="Y35" s="12"/>
      <c r="Z35" s="12"/>
      <c r="AA35" s="12"/>
      <c r="AB35" s="12"/>
      <c r="AC35" s="12"/>
      <c r="AD35" s="12"/>
      <c r="AE35" s="12"/>
    </row>
    <row r="36" spans="1:31" x14ac:dyDescent="0.15">
      <c r="A36" s="58" t="s">
        <v>112</v>
      </c>
      <c r="B36" s="445">
        <f t="shared" si="2"/>
        <v>1.0593863242528261</v>
      </c>
      <c r="C36" s="445">
        <f t="shared" si="0"/>
        <v>46.058382956422676</v>
      </c>
      <c r="D36" s="445">
        <f t="shared" si="1"/>
        <v>2.6766085172786016</v>
      </c>
      <c r="E36" s="443">
        <f>cap_ed_scaled/direct_cap</f>
        <v>4.8422053463648342E-2</v>
      </c>
      <c r="F36" s="446">
        <f>energy_ed/energy_total</f>
        <v>0.69519674050895885</v>
      </c>
      <c r="G36" s="434">
        <f>'Cash flow analysis'!G210/'Cash flow analysis'!J210</f>
        <v>0.10811791102712197</v>
      </c>
      <c r="W36" s="12"/>
      <c r="X36" s="12"/>
      <c r="Y36" s="12"/>
      <c r="Z36" s="12"/>
      <c r="AA36" s="12"/>
      <c r="AB36" s="12"/>
      <c r="AC36" s="12"/>
      <c r="AD36" s="12"/>
      <c r="AE36" s="12"/>
    </row>
    <row r="37" spans="1:31" ht="15" x14ac:dyDescent="0.2">
      <c r="A37" s="58" t="s">
        <v>317</v>
      </c>
      <c r="B37" s="445">
        <f t="shared" si="2"/>
        <v>9.6426052247401461</v>
      </c>
      <c r="C37" s="445">
        <f t="shared" si="0"/>
        <v>7.6920078423092315</v>
      </c>
      <c r="D37" s="445">
        <f t="shared" si="1"/>
        <v>9.8922227339658786</v>
      </c>
      <c r="E37" s="443">
        <f>cap_co2_scaled/direct_cap</f>
        <v>0.44074077136169587</v>
      </c>
      <c r="F37" s="446">
        <f>energy_co2/energy_total</f>
        <v>0.11610174818777573</v>
      </c>
      <c r="G37" s="434">
        <f>'Cash flow analysis'!I210/'Cash flow analysis'!J210</f>
        <v>0.39958269971389759</v>
      </c>
      <c r="W37" s="12"/>
      <c r="X37" s="12"/>
      <c r="Y37" s="12"/>
      <c r="Z37" s="12"/>
      <c r="AA37" s="12"/>
      <c r="AB37" s="12"/>
      <c r="AC37" s="12"/>
      <c r="AD37" s="12"/>
      <c r="AE37" s="12"/>
    </row>
    <row r="38" spans="1:31" x14ac:dyDescent="0.15">
      <c r="A38" s="58" t="s">
        <v>345</v>
      </c>
      <c r="B38" s="445">
        <f t="shared" si="2"/>
        <v>0</v>
      </c>
      <c r="C38" s="445">
        <f t="shared" si="0"/>
        <v>0</v>
      </c>
      <c r="D38" s="445">
        <f t="shared" si="1"/>
        <v>7.6842507947059486</v>
      </c>
      <c r="E38" s="434">
        <v>0</v>
      </c>
      <c r="F38" s="434">
        <v>0</v>
      </c>
      <c r="G38" s="434">
        <f>('Cash flow analysis'!E210+'Cash flow analysis'!F210)/'Cash flow analysis'!J210</f>
        <v>0.31039471718367567</v>
      </c>
      <c r="W38" s="12"/>
      <c r="X38" s="12"/>
      <c r="Y38" s="12"/>
      <c r="Z38" s="12"/>
      <c r="AA38" s="12"/>
      <c r="AB38" s="12"/>
      <c r="AC38" s="12"/>
      <c r="AD38" s="12"/>
      <c r="AE38" s="12"/>
    </row>
    <row r="39" spans="1:31" x14ac:dyDescent="0.15">
      <c r="A39" s="141" t="s">
        <v>29</v>
      </c>
      <c r="B39" s="445">
        <f t="shared" ref="B39:G39" si="3">SUM(B32:B38)</f>
        <v>21.87817840166845</v>
      </c>
      <c r="C39" s="445">
        <f t="shared" si="3"/>
        <v>66.25229992117481</v>
      </c>
      <c r="D39" s="445">
        <f t="shared" si="3"/>
        <v>24.756383950177874</v>
      </c>
      <c r="E39" s="434">
        <f t="shared" si="3"/>
        <v>1.0000000000000002</v>
      </c>
      <c r="F39" s="434">
        <f t="shared" si="3"/>
        <v>0.99999999999999989</v>
      </c>
      <c r="G39" s="434">
        <f t="shared" si="3"/>
        <v>1</v>
      </c>
      <c r="W39" s="12"/>
      <c r="X39" s="12"/>
      <c r="Y39" s="12"/>
      <c r="Z39" s="12"/>
      <c r="AA39" s="12"/>
      <c r="AB39" s="12"/>
      <c r="AC39" s="12"/>
      <c r="AD39" s="12"/>
      <c r="AE39" s="12"/>
    </row>
    <row r="40" spans="1:31" x14ac:dyDescent="0.15">
      <c r="A40" s="399"/>
      <c r="B40" s="401"/>
      <c r="C40" s="452" t="s">
        <v>29</v>
      </c>
      <c r="D40" s="441">
        <f>SUM(B39:D39)+H11+H9</f>
        <v>138.1524944001311</v>
      </c>
      <c r="W40" s="12"/>
      <c r="X40" s="12"/>
      <c r="Y40" s="12"/>
      <c r="Z40" s="12"/>
      <c r="AA40" s="12"/>
      <c r="AB40" s="12"/>
      <c r="AC40" s="12"/>
      <c r="AD40" s="12"/>
      <c r="AE40" s="12"/>
    </row>
    <row r="41" spans="1:31" x14ac:dyDescent="0.15">
      <c r="A41" s="399"/>
      <c r="B41" s="401"/>
      <c r="W41" s="12"/>
      <c r="X41" s="12"/>
      <c r="Y41" s="12"/>
      <c r="Z41" s="12"/>
      <c r="AA41" s="12"/>
      <c r="AB41" s="12"/>
      <c r="AC41" s="12"/>
      <c r="AD41" s="12"/>
      <c r="AE41" s="12"/>
    </row>
    <row r="42" spans="1:31" x14ac:dyDescent="0.15">
      <c r="A42" s="399"/>
      <c r="B42" s="506"/>
      <c r="W42" s="12"/>
      <c r="X42" s="12"/>
      <c r="Y42" s="12"/>
      <c r="Z42" s="12"/>
      <c r="AA42" s="12"/>
      <c r="AB42" s="12"/>
      <c r="AC42" s="12"/>
      <c r="AD42" s="12"/>
      <c r="AE42" s="12"/>
    </row>
    <row r="43" spans="1:31" x14ac:dyDescent="0.15">
      <c r="A43" s="399"/>
      <c r="B43" s="441"/>
      <c r="X43" s="12"/>
      <c r="Y43" s="12"/>
      <c r="Z43" s="12"/>
      <c r="AA43" s="12"/>
      <c r="AB43" s="12"/>
      <c r="AC43" s="12"/>
      <c r="AD43" s="12"/>
      <c r="AE43" s="12"/>
    </row>
    <row r="44" spans="1:31" x14ac:dyDescent="0.15">
      <c r="A44" s="17"/>
      <c r="X44" s="12"/>
      <c r="Y44" s="12"/>
      <c r="Z44" s="12"/>
      <c r="AA44" s="12"/>
      <c r="AB44" s="12"/>
      <c r="AC44" s="12"/>
      <c r="AD44" s="12"/>
      <c r="AE44" s="12"/>
    </row>
    <row r="45" spans="1:31" x14ac:dyDescent="0.15">
      <c r="A45" s="17"/>
      <c r="X45" s="12"/>
      <c r="Y45" s="12"/>
      <c r="Z45" s="12"/>
      <c r="AA45" s="12"/>
      <c r="AB45" s="12"/>
      <c r="AC45" s="12"/>
      <c r="AD45" s="12"/>
      <c r="AE45" s="12"/>
    </row>
    <row r="46" spans="1:31" x14ac:dyDescent="0.15">
      <c r="X46" s="12"/>
      <c r="Y46" s="12"/>
      <c r="Z46" s="12"/>
      <c r="AA46" s="12"/>
      <c r="AB46" s="12"/>
      <c r="AC46" s="12"/>
      <c r="AD46" s="12"/>
      <c r="AE46" s="12"/>
    </row>
    <row r="47" spans="1:31" x14ac:dyDescent="0.15"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</row>
    <row r="48" spans="1:31" x14ac:dyDescent="0.15">
      <c r="Q48" s="12"/>
      <c r="R48" s="12"/>
      <c r="S48" s="12"/>
      <c r="T48" s="12"/>
      <c r="U48" s="12"/>
      <c r="V48" s="12"/>
      <c r="W48" s="12"/>
    </row>
    <row r="49" spans="1:23" x14ac:dyDescent="0.15">
      <c r="Q49" s="12"/>
      <c r="R49" s="12"/>
      <c r="S49" s="12"/>
      <c r="T49" s="12"/>
      <c r="U49" s="12"/>
      <c r="V49" s="12"/>
      <c r="W49" s="12"/>
    </row>
    <row r="51" spans="1:23" ht="16" x14ac:dyDescent="0.2">
      <c r="A51" s="422" t="s">
        <v>403</v>
      </c>
      <c r="B51" s="423"/>
      <c r="C51" s="423"/>
      <c r="D51" s="12"/>
      <c r="E51" s="12"/>
      <c r="F51" s="12"/>
      <c r="G51" s="12"/>
      <c r="H51" s="12"/>
      <c r="I51" s="12"/>
      <c r="J51" s="12"/>
      <c r="K51" s="12"/>
      <c r="L51" s="12"/>
      <c r="M51" s="12"/>
      <c r="N51" s="12"/>
      <c r="O51" s="12"/>
      <c r="P51" s="12"/>
    </row>
    <row r="52" spans="1:23" s="12" customFormat="1" x14ac:dyDescent="0.15">
      <c r="A52" s="424"/>
      <c r="B52" s="423"/>
      <c r="C52" s="423"/>
      <c r="Q52"/>
      <c r="R52"/>
      <c r="S52"/>
      <c r="T52"/>
      <c r="U52"/>
      <c r="V52"/>
      <c r="W52"/>
    </row>
    <row r="53" spans="1:23" s="12" customFormat="1" x14ac:dyDescent="0.15">
      <c r="A53" s="424" t="s">
        <v>401</v>
      </c>
      <c r="B53" s="423" t="s">
        <v>656</v>
      </c>
      <c r="C53" s="423"/>
      <c r="Q53"/>
      <c r="R53"/>
      <c r="S53"/>
      <c r="T53"/>
      <c r="U53"/>
      <c r="V53"/>
      <c r="W53"/>
    </row>
    <row r="54" spans="1:23" s="12" customFormat="1" x14ac:dyDescent="0.15">
      <c r="A54" s="424" t="s">
        <v>458</v>
      </c>
      <c r="B54" s="423" t="s">
        <v>447</v>
      </c>
      <c r="C54" s="423"/>
      <c r="D54" s="12" t="s">
        <v>531</v>
      </c>
      <c r="E54" s="7"/>
      <c r="Q54"/>
      <c r="R54"/>
      <c r="S54"/>
      <c r="T54"/>
      <c r="U54"/>
      <c r="V54"/>
      <c r="W54"/>
    </row>
    <row r="55" spans="1:23" x14ac:dyDescent="0.15">
      <c r="A55" s="454"/>
      <c r="B55" s="423"/>
      <c r="C55" s="423"/>
      <c r="D55" s="12"/>
      <c r="E55" s="12"/>
      <c r="F55" s="12"/>
      <c r="G55" s="12"/>
      <c r="H55" s="12"/>
      <c r="I55" s="12"/>
      <c r="J55" s="12"/>
      <c r="K55" s="12"/>
      <c r="L55" s="12"/>
      <c r="M55" s="12"/>
      <c r="N55" s="12"/>
      <c r="O55" s="12"/>
      <c r="P55" s="12"/>
    </row>
    <row r="56" spans="1:23" x14ac:dyDescent="0.15">
      <c r="A56" s="424" t="s">
        <v>402</v>
      </c>
      <c r="B56" s="424" t="s">
        <v>375</v>
      </c>
      <c r="C56" s="424" t="s">
        <v>453</v>
      </c>
      <c r="D56" s="7"/>
      <c r="E56" s="522"/>
      <c r="F56" s="524"/>
      <c r="G56" s="7"/>
      <c r="H56" s="7"/>
      <c r="I56" s="7"/>
      <c r="J56" s="7"/>
      <c r="K56" s="7"/>
      <c r="L56" s="12"/>
      <c r="M56" s="12"/>
      <c r="N56" s="12"/>
      <c r="O56" s="12"/>
      <c r="P56" s="12"/>
    </row>
    <row r="57" spans="1:23" x14ac:dyDescent="0.15">
      <c r="A57" s="546">
        <v>25</v>
      </c>
      <c r="B57" s="519">
        <v>238.2</v>
      </c>
      <c r="C57" s="425">
        <v>0.8</v>
      </c>
      <c r="E57" s="514"/>
      <c r="F57" s="524"/>
      <c r="G57" s="441"/>
      <c r="H57" s="441"/>
      <c r="I57" s="441"/>
      <c r="J57" s="441"/>
      <c r="K57" s="441"/>
      <c r="L57" s="12"/>
      <c r="M57" s="12"/>
      <c r="N57" s="12"/>
      <c r="O57" s="12"/>
      <c r="P57" s="12"/>
    </row>
    <row r="58" spans="1:23" x14ac:dyDescent="0.15">
      <c r="A58" s="520">
        <v>50</v>
      </c>
      <c r="B58" s="519">
        <v>185.5</v>
      </c>
      <c r="C58" s="425">
        <v>0.8</v>
      </c>
      <c r="E58" s="441"/>
      <c r="F58" s="441"/>
      <c r="G58" s="441"/>
      <c r="H58" s="441"/>
      <c r="I58" s="441"/>
      <c r="J58" s="441"/>
      <c r="K58" s="441"/>
      <c r="L58" s="12"/>
      <c r="M58" s="12"/>
      <c r="N58" s="12"/>
      <c r="O58" s="12"/>
      <c r="P58" s="12"/>
    </row>
    <row r="59" spans="1:23" x14ac:dyDescent="0.15">
      <c r="A59" s="546">
        <v>75</v>
      </c>
      <c r="B59" s="519">
        <v>168</v>
      </c>
      <c r="C59" s="425">
        <v>0.8</v>
      </c>
      <c r="E59" s="441"/>
      <c r="F59" s="441"/>
      <c r="G59" s="441"/>
      <c r="H59" s="441"/>
      <c r="I59" s="441"/>
      <c r="J59" s="441"/>
      <c r="K59" s="441"/>
      <c r="L59" s="12"/>
      <c r="M59" s="12"/>
      <c r="N59" s="12"/>
      <c r="O59" s="12"/>
      <c r="P59" s="423">
        <v>6.5511999999999997</v>
      </c>
    </row>
    <row r="60" spans="1:23" x14ac:dyDescent="0.15">
      <c r="A60" s="520">
        <v>100</v>
      </c>
      <c r="B60" s="519">
        <v>159.20000000000002</v>
      </c>
      <c r="C60" s="425">
        <v>0.8</v>
      </c>
      <c r="E60" s="441"/>
      <c r="F60" s="441"/>
      <c r="G60" s="441"/>
      <c r="H60" s="441"/>
      <c r="I60" s="441"/>
      <c r="J60" s="441"/>
      <c r="K60" s="441"/>
      <c r="L60" s="12"/>
      <c r="M60" s="12"/>
      <c r="N60" s="12"/>
      <c r="O60" s="12"/>
      <c r="P60" s="12"/>
    </row>
    <row r="61" spans="1:23" x14ac:dyDescent="0.15">
      <c r="A61" s="546">
        <v>200</v>
      </c>
      <c r="B61" s="519">
        <v>146</v>
      </c>
      <c r="C61" s="425">
        <v>0.8</v>
      </c>
      <c r="E61" s="12"/>
      <c r="F61" s="12"/>
      <c r="G61" s="12"/>
      <c r="H61" s="12"/>
      <c r="I61" s="12"/>
      <c r="J61" s="12"/>
      <c r="K61" s="12"/>
      <c r="L61" s="12"/>
      <c r="M61" s="12"/>
      <c r="N61" s="12"/>
      <c r="O61" s="12"/>
      <c r="P61" s="12"/>
    </row>
    <row r="62" spans="1:23" x14ac:dyDescent="0.15">
      <c r="A62" s="520">
        <v>300</v>
      </c>
      <c r="B62" s="519">
        <v>141.69999999999999</v>
      </c>
      <c r="C62" s="425">
        <v>0.8</v>
      </c>
      <c r="E62" s="7" t="s">
        <v>460</v>
      </c>
      <c r="F62" s="12"/>
      <c r="G62" s="12"/>
      <c r="H62" s="12"/>
      <c r="I62" s="12"/>
      <c r="J62" s="12"/>
      <c r="K62" s="12"/>
      <c r="L62" s="12"/>
      <c r="M62" s="12"/>
      <c r="N62" s="12"/>
      <c r="O62" s="12"/>
      <c r="P62" s="12"/>
    </row>
    <row r="63" spans="1:23" x14ac:dyDescent="0.15">
      <c r="A63" s="546">
        <v>400</v>
      </c>
      <c r="B63" s="519">
        <v>139.5</v>
      </c>
      <c r="C63" s="425">
        <v>0.8</v>
      </c>
      <c r="E63" s="12" t="s">
        <v>461</v>
      </c>
      <c r="F63" s="12" t="s">
        <v>462</v>
      </c>
      <c r="G63" s="12"/>
      <c r="H63" s="12"/>
      <c r="I63" s="12"/>
      <c r="J63" s="12"/>
      <c r="K63" s="12"/>
      <c r="L63" s="12"/>
      <c r="M63" s="12"/>
      <c r="N63" s="12"/>
      <c r="O63" s="12"/>
      <c r="P63" s="12"/>
    </row>
    <row r="64" spans="1:23" x14ac:dyDescent="0.15">
      <c r="A64" s="520">
        <v>500</v>
      </c>
      <c r="B64" s="519">
        <v>138.19999999999999</v>
      </c>
      <c r="C64" s="425">
        <v>0.8</v>
      </c>
      <c r="E64" s="514">
        <f>extraction_efficiency_calc</f>
        <v>0.8877455527510234</v>
      </c>
      <c r="F64" s="12">
        <v>0</v>
      </c>
      <c r="G64" s="12"/>
      <c r="H64" s="12"/>
      <c r="I64" s="12"/>
      <c r="J64" s="12"/>
      <c r="K64" s="12"/>
      <c r="L64" s="12"/>
      <c r="M64" s="12"/>
      <c r="N64" s="12"/>
      <c r="O64" s="12"/>
      <c r="P64" s="12"/>
    </row>
    <row r="65" spans="1:16" x14ac:dyDescent="0.15">
      <c r="A65" s="546">
        <v>600</v>
      </c>
      <c r="B65" s="519">
        <v>137.30000000000001</v>
      </c>
      <c r="C65" s="425">
        <v>0.8</v>
      </c>
      <c r="E65" s="12">
        <f>extraction_efficiency_calc</f>
        <v>0.8877455527510234</v>
      </c>
      <c r="F65" s="12">
        <v>7</v>
      </c>
      <c r="G65" s="12"/>
      <c r="H65" s="12"/>
      <c r="I65" s="12"/>
      <c r="J65" s="12"/>
      <c r="K65" s="12"/>
      <c r="L65" s="12"/>
      <c r="M65" s="12"/>
      <c r="N65" s="12"/>
      <c r="O65" s="12"/>
      <c r="P65" s="12"/>
    </row>
    <row r="66" spans="1:16" x14ac:dyDescent="0.15">
      <c r="A66" s="520">
        <v>700</v>
      </c>
      <c r="B66" s="519">
        <v>136.6</v>
      </c>
      <c r="C66" s="425">
        <v>0.8</v>
      </c>
      <c r="E66" s="12"/>
      <c r="F66" s="12"/>
      <c r="G66" s="12"/>
      <c r="H66" s="12"/>
      <c r="I66" s="12"/>
      <c r="J66" s="12"/>
      <c r="K66" s="12"/>
      <c r="L66" s="12"/>
      <c r="M66" s="12"/>
      <c r="N66" s="12"/>
      <c r="O66" s="12"/>
      <c r="P66" s="12"/>
    </row>
    <row r="67" spans="1:16" x14ac:dyDescent="0.15">
      <c r="A67" s="546">
        <v>800</v>
      </c>
      <c r="B67" s="519">
        <v>136.19999999999999</v>
      </c>
      <c r="C67" s="425">
        <v>0.8</v>
      </c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</row>
    <row r="68" spans="1:16" x14ac:dyDescent="0.15">
      <c r="A68" s="520">
        <v>900</v>
      </c>
      <c r="B68" s="519">
        <v>135.80000000000001</v>
      </c>
      <c r="C68" s="425">
        <v>0.8</v>
      </c>
      <c r="E68" s="7" t="s">
        <v>463</v>
      </c>
      <c r="F68" s="12"/>
      <c r="G68" s="12"/>
      <c r="H68" s="12"/>
      <c r="I68" s="12"/>
      <c r="J68" s="12"/>
      <c r="K68" s="12"/>
      <c r="L68" s="12"/>
      <c r="M68" s="12"/>
      <c r="N68" s="12"/>
      <c r="O68" s="12"/>
      <c r="P68" s="12"/>
    </row>
    <row r="69" spans="1:16" ht="13" customHeight="1" x14ac:dyDescent="0.15">
      <c r="A69" s="546">
        <v>1000</v>
      </c>
      <c r="B69" s="519">
        <v>135.5</v>
      </c>
      <c r="C69" s="425">
        <v>0.8</v>
      </c>
      <c r="E69" s="12" t="s">
        <v>461</v>
      </c>
      <c r="F69" s="12" t="s">
        <v>462</v>
      </c>
      <c r="G69" s="12"/>
      <c r="H69" s="12"/>
      <c r="I69" s="12"/>
      <c r="J69" s="12"/>
      <c r="K69" s="12"/>
      <c r="L69" s="12"/>
      <c r="M69" s="12"/>
      <c r="N69" s="12"/>
      <c r="O69" s="12"/>
      <c r="P69" s="12"/>
    </row>
    <row r="70" spans="1:16" ht="13" customHeight="1" x14ac:dyDescent="0.15">
      <c r="A70" s="520"/>
      <c r="B70" s="519"/>
      <c r="C70" s="425"/>
      <c r="E70" s="514">
        <v>0</v>
      </c>
      <c r="F70" s="523">
        <v>100</v>
      </c>
      <c r="G70" s="12"/>
      <c r="H70" s="12"/>
      <c r="I70" s="12"/>
      <c r="J70" s="12"/>
      <c r="K70" s="12"/>
      <c r="L70" s="12"/>
      <c r="M70" s="12"/>
      <c r="N70" s="12"/>
      <c r="O70" s="12"/>
      <c r="P70" s="12"/>
    </row>
    <row r="71" spans="1:16" ht="13" customHeight="1" x14ac:dyDescent="0.15">
      <c r="A71" s="546"/>
      <c r="B71" s="519"/>
      <c r="C71" s="425"/>
      <c r="E71" s="514">
        <v>1</v>
      </c>
      <c r="F71" s="523">
        <v>100</v>
      </c>
      <c r="G71" s="12"/>
      <c r="H71" s="12"/>
      <c r="I71" s="12"/>
      <c r="J71" s="12"/>
      <c r="K71" s="12"/>
      <c r="L71" s="12"/>
      <c r="M71" s="12"/>
      <c r="N71" s="12"/>
      <c r="O71" s="12"/>
      <c r="P71" s="12"/>
    </row>
    <row r="72" spans="1:16" ht="13" customHeight="1" x14ac:dyDescent="0.15">
      <c r="A72" s="520"/>
      <c r="B72" s="519"/>
      <c r="C72" s="425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</row>
    <row r="73" spans="1:16" ht="13" customHeight="1" x14ac:dyDescent="0.15">
      <c r="A73" s="549"/>
      <c r="B73" s="519"/>
      <c r="C73" s="521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</row>
    <row r="74" spans="1:16" ht="13" customHeight="1" x14ac:dyDescent="0.15">
      <c r="A74" s="545"/>
      <c r="B74" s="519"/>
      <c r="C74" s="521"/>
    </row>
    <row r="75" spans="1:16" ht="13" customHeight="1" x14ac:dyDescent="0.15">
      <c r="A75" s="544"/>
      <c r="B75" s="519"/>
      <c r="C75" s="521"/>
    </row>
    <row r="76" spans="1:16" ht="13" customHeight="1" x14ac:dyDescent="0.15">
      <c r="A76" s="545"/>
      <c r="B76" s="519"/>
      <c r="C76" s="521"/>
    </row>
    <row r="77" spans="1:16" ht="13" customHeight="1" x14ac:dyDescent="0.15">
      <c r="A77" s="520"/>
      <c r="B77" s="423"/>
      <c r="C77" s="423"/>
    </row>
    <row r="78" spans="1:16" ht="13" customHeight="1" x14ac:dyDescent="0.15">
      <c r="A78" s="520"/>
      <c r="B78" s="423"/>
      <c r="C78" s="423"/>
    </row>
    <row r="79" spans="1:16" ht="13" customHeight="1" x14ac:dyDescent="0.15"/>
    <row r="80" spans="1:16" ht="13" customHeight="1" x14ac:dyDescent="0.15">
      <c r="C80" s="547"/>
      <c r="D80" s="547"/>
      <c r="E80" s="547"/>
      <c r="F80" s="547"/>
      <c r="G80" s="548"/>
    </row>
    <row r="81" spans="1:23" ht="13" customHeight="1" x14ac:dyDescent="0.15">
      <c r="Q81" s="20"/>
      <c r="R81" s="20"/>
      <c r="S81" s="20"/>
      <c r="T81" s="20"/>
      <c r="U81" s="20"/>
      <c r="V81" s="20"/>
      <c r="W81" s="20"/>
    </row>
    <row r="82" spans="1:23" ht="13" customHeight="1" x14ac:dyDescent="0.15">
      <c r="Q82" s="20"/>
      <c r="R82" s="20"/>
      <c r="S82" s="20"/>
      <c r="T82" s="20"/>
      <c r="U82" s="20"/>
      <c r="V82" s="20"/>
      <c r="W82" s="20"/>
    </row>
    <row r="83" spans="1:23" ht="13" customHeight="1" x14ac:dyDescent="0.15">
      <c r="Q83" s="20"/>
      <c r="R83" s="20"/>
      <c r="S83" s="20"/>
      <c r="T83" s="20"/>
      <c r="U83" s="20"/>
      <c r="V83" s="20"/>
      <c r="W83" s="20"/>
    </row>
    <row r="84" spans="1:23" x14ac:dyDescent="0.15">
      <c r="Q84" s="7"/>
      <c r="R84" s="7"/>
      <c r="S84" s="7"/>
      <c r="T84" s="7"/>
      <c r="U84" s="7"/>
      <c r="V84" s="7"/>
      <c r="W84" s="7"/>
    </row>
    <row r="85" spans="1:23" ht="16" x14ac:dyDescent="0.2">
      <c r="A85" s="447" t="s">
        <v>399</v>
      </c>
      <c r="B85" s="448"/>
      <c r="C85" s="448"/>
      <c r="D85" s="448"/>
      <c r="E85" s="448"/>
      <c r="F85" s="448"/>
    </row>
    <row r="86" spans="1:23" s="20" customFormat="1" x14ac:dyDescent="0.15">
      <c r="A86" s="449"/>
      <c r="B86" s="140"/>
      <c r="C86" s="140"/>
      <c r="D86" s="140"/>
      <c r="E86" s="140"/>
      <c r="F86" s="140"/>
      <c r="Q86"/>
      <c r="R86"/>
      <c r="S86"/>
      <c r="T86"/>
      <c r="U86"/>
      <c r="V86"/>
      <c r="W86"/>
    </row>
    <row r="87" spans="1:23" s="20" customFormat="1" x14ac:dyDescent="0.15">
      <c r="A87" s="449" t="s">
        <v>401</v>
      </c>
      <c r="B87" s="140" t="s">
        <v>475</v>
      </c>
      <c r="C87" s="140"/>
      <c r="D87" s="140"/>
      <c r="E87" s="140"/>
      <c r="F87" s="140"/>
      <c r="Q87"/>
      <c r="R87"/>
      <c r="S87"/>
      <c r="T87"/>
      <c r="U87"/>
      <c r="V87"/>
      <c r="W87"/>
    </row>
    <row r="88" spans="1:23" s="20" customFormat="1" x14ac:dyDescent="0.15">
      <c r="A88" s="140"/>
      <c r="B88" s="140"/>
      <c r="C88" s="140"/>
      <c r="D88" s="140"/>
      <c r="E88" s="140"/>
      <c r="F88" s="140"/>
      <c r="Q88"/>
      <c r="R88"/>
      <c r="S88"/>
      <c r="T88"/>
      <c r="U88"/>
      <c r="V88"/>
      <c r="W88"/>
    </row>
    <row r="89" spans="1:23" s="7" customFormat="1" x14ac:dyDescent="0.15">
      <c r="A89" s="449" t="s">
        <v>402</v>
      </c>
      <c r="B89" s="449">
        <v>1</v>
      </c>
      <c r="C89" s="505">
        <v>2</v>
      </c>
      <c r="D89" s="449">
        <v>3</v>
      </c>
      <c r="E89" s="505">
        <v>4</v>
      </c>
      <c r="F89" s="449"/>
      <c r="Q89"/>
      <c r="R89"/>
      <c r="S89"/>
      <c r="T89"/>
      <c r="U89"/>
      <c r="V89"/>
      <c r="W89"/>
    </row>
    <row r="90" spans="1:23" x14ac:dyDescent="0.15">
      <c r="A90" s="448" t="s">
        <v>396</v>
      </c>
      <c r="B90" s="450">
        <v>1</v>
      </c>
      <c r="C90" s="450">
        <v>2</v>
      </c>
      <c r="D90" s="450">
        <v>3</v>
      </c>
      <c r="E90" s="450">
        <v>4</v>
      </c>
      <c r="F90" s="453"/>
    </row>
    <row r="91" spans="1:23" x14ac:dyDescent="0.15">
      <c r="A91" s="448" t="s">
        <v>400</v>
      </c>
      <c r="B91" s="451">
        <v>48.64</v>
      </c>
      <c r="C91" s="451">
        <v>48.64</v>
      </c>
      <c r="D91" s="451">
        <v>48.64</v>
      </c>
      <c r="E91" s="451">
        <v>48.64</v>
      </c>
      <c r="F91" s="451"/>
    </row>
    <row r="92" spans="1:23" x14ac:dyDescent="0.15">
      <c r="A92" s="448" t="s">
        <v>405</v>
      </c>
      <c r="B92" s="451">
        <v>22.15</v>
      </c>
      <c r="C92" s="451">
        <v>22.15</v>
      </c>
      <c r="D92" s="451">
        <v>22.15</v>
      </c>
      <c r="E92" s="451">
        <v>22.15</v>
      </c>
      <c r="F92" s="451"/>
    </row>
    <row r="93" spans="1:23" ht="15" x14ac:dyDescent="0.2">
      <c r="A93" s="448" t="s">
        <v>406</v>
      </c>
      <c r="B93" s="451">
        <v>79.17</v>
      </c>
      <c r="C93" s="451">
        <v>79.17</v>
      </c>
      <c r="D93" s="451">
        <v>79.17</v>
      </c>
      <c r="E93" s="451">
        <v>79.17</v>
      </c>
      <c r="F93" s="451"/>
    </row>
    <row r="94" spans="1:23" x14ac:dyDescent="0.15">
      <c r="A94" s="448" t="s">
        <v>397</v>
      </c>
      <c r="B94" s="451">
        <v>20.945799999999998</v>
      </c>
      <c r="C94" s="451">
        <v>20.945799999999998</v>
      </c>
      <c r="D94" s="451">
        <v>20.945799999999998</v>
      </c>
      <c r="E94" s="451">
        <v>20.945799999999998</v>
      </c>
      <c r="F94" s="451"/>
    </row>
    <row r="95" spans="1:23" x14ac:dyDescent="0.15">
      <c r="A95" s="448" t="s">
        <v>395</v>
      </c>
      <c r="B95" s="451">
        <v>33.204700000000003</v>
      </c>
      <c r="C95" s="451">
        <v>66.409499999999994</v>
      </c>
      <c r="D95" s="451">
        <v>99.614199999999997</v>
      </c>
      <c r="E95" s="451">
        <v>132.81899999999999</v>
      </c>
      <c r="F95" s="451"/>
    </row>
    <row r="96" spans="1:23" x14ac:dyDescent="0.15">
      <c r="A96" s="448" t="s">
        <v>532</v>
      </c>
      <c r="B96" s="451">
        <v>282.29000000000002</v>
      </c>
      <c r="C96" s="451">
        <v>282.77999999999997</v>
      </c>
      <c r="D96" s="451">
        <v>283.27999999999997</v>
      </c>
      <c r="E96" s="451">
        <v>283.77</v>
      </c>
      <c r="F96" s="451"/>
    </row>
    <row r="97" spans="1:23" x14ac:dyDescent="0.15">
      <c r="A97" s="449" t="s">
        <v>29</v>
      </c>
      <c r="B97" s="451">
        <f>SUM(B91:B96)</f>
        <v>486.40049999999997</v>
      </c>
      <c r="C97" s="451">
        <f>SUM(C91:C96)</f>
        <v>520.09529999999995</v>
      </c>
      <c r="D97" s="451">
        <f>SUM(D91:D96)</f>
        <v>553.79999999999995</v>
      </c>
      <c r="E97" s="451">
        <f>SUM(E91:E96)</f>
        <v>587.49479999999994</v>
      </c>
      <c r="F97" s="451"/>
    </row>
    <row r="98" spans="1:23" x14ac:dyDescent="0.15">
      <c r="A98" s="448"/>
      <c r="B98" s="448"/>
      <c r="C98" s="448"/>
      <c r="D98" s="448"/>
      <c r="E98" s="448"/>
      <c r="F98" s="448"/>
    </row>
    <row r="99" spans="1:23" x14ac:dyDescent="0.15">
      <c r="A99" s="448" t="s">
        <v>398</v>
      </c>
      <c r="B99" s="448"/>
      <c r="C99" s="448"/>
      <c r="D99" s="448"/>
      <c r="E99" s="448"/>
      <c r="F99" s="448"/>
    </row>
    <row r="108" spans="1:23" x14ac:dyDescent="0.15">
      <c r="A108" s="12"/>
      <c r="B108" s="12"/>
      <c r="C108" s="12"/>
      <c r="Q108" s="12"/>
      <c r="R108" s="12"/>
      <c r="S108" s="12"/>
      <c r="T108" s="12"/>
      <c r="U108" s="12"/>
      <c r="V108" s="12"/>
      <c r="W108" s="12"/>
    </row>
    <row r="109" spans="1:23" x14ac:dyDescent="0.15">
      <c r="A109" s="12"/>
      <c r="B109" s="12"/>
      <c r="C109" s="12"/>
      <c r="Q109" s="12"/>
      <c r="R109" s="12"/>
      <c r="S109" s="12"/>
      <c r="T109" s="12"/>
      <c r="U109" s="12"/>
      <c r="V109" s="12"/>
      <c r="W109" s="12"/>
    </row>
    <row r="110" spans="1:23" x14ac:dyDescent="0.15">
      <c r="A110" s="12"/>
      <c r="B110" s="12"/>
      <c r="C110" s="12"/>
      <c r="Q110" s="12"/>
      <c r="R110" s="12"/>
      <c r="S110" s="12"/>
      <c r="T110" s="12"/>
      <c r="U110" s="12"/>
      <c r="V110" s="12"/>
      <c r="W110" s="12"/>
    </row>
    <row r="111" spans="1:23" x14ac:dyDescent="0.15">
      <c r="A111" s="12"/>
      <c r="B111" s="12"/>
      <c r="C111" s="12"/>
      <c r="Q111" s="12"/>
      <c r="R111" s="12"/>
      <c r="S111" s="12"/>
      <c r="T111" s="12"/>
      <c r="U111" s="12"/>
      <c r="V111" s="12"/>
      <c r="W111" s="12"/>
    </row>
    <row r="112" spans="1:23" x14ac:dyDescent="0.15">
      <c r="A112" s="12"/>
      <c r="B112" s="12"/>
      <c r="C112" s="12"/>
      <c r="Q112" s="12"/>
      <c r="R112" s="12"/>
      <c r="S112" s="12"/>
      <c r="T112" s="12"/>
      <c r="U112" s="12"/>
      <c r="V112" s="12"/>
      <c r="W112" s="12"/>
    </row>
    <row r="113" spans="1:28" ht="16" x14ac:dyDescent="0.2">
      <c r="A113" s="557" t="s">
        <v>444</v>
      </c>
      <c r="B113" s="539"/>
      <c r="C113" s="539"/>
      <c r="D113" s="539"/>
      <c r="E113" s="539"/>
      <c r="F113" s="539"/>
      <c r="G113" s="539"/>
      <c r="H113" s="539"/>
      <c r="I113" s="539"/>
      <c r="J113" s="539"/>
      <c r="K113" s="539"/>
      <c r="L113" s="539"/>
      <c r="M113" s="539"/>
      <c r="N113" s="539"/>
      <c r="O113" s="539"/>
      <c r="P113" s="539"/>
      <c r="Q113" s="539"/>
      <c r="R113" s="539"/>
      <c r="S113" s="539"/>
      <c r="T113" s="539"/>
      <c r="U113" s="539"/>
      <c r="V113" s="539"/>
      <c r="W113" s="539"/>
      <c r="X113" s="539"/>
      <c r="Y113" s="539"/>
      <c r="Z113" s="539"/>
      <c r="AA113" s="539"/>
      <c r="AB113" s="539"/>
    </row>
    <row r="114" spans="1:28" x14ac:dyDescent="0.15">
      <c r="A114" s="540"/>
      <c r="B114" s="539"/>
      <c r="C114" s="539"/>
      <c r="D114" s="539"/>
      <c r="E114" s="539"/>
      <c r="F114" s="539"/>
      <c r="G114" s="539"/>
      <c r="H114" s="539"/>
      <c r="I114" s="539"/>
      <c r="J114" s="539"/>
      <c r="K114" s="539"/>
      <c r="L114" s="539"/>
      <c r="M114" s="539"/>
      <c r="N114" s="539"/>
      <c r="O114" s="539"/>
      <c r="P114" s="539"/>
      <c r="Q114" s="539"/>
      <c r="R114" s="539"/>
      <c r="S114" s="539"/>
      <c r="T114" s="539"/>
      <c r="U114" s="539"/>
      <c r="V114" s="539"/>
      <c r="W114" s="539"/>
      <c r="X114" s="539"/>
      <c r="Y114" s="539"/>
      <c r="Z114" s="539"/>
      <c r="AA114" s="539"/>
      <c r="AB114" s="539"/>
    </row>
    <row r="115" spans="1:28" x14ac:dyDescent="0.15">
      <c r="A115" s="540" t="s">
        <v>445</v>
      </c>
      <c r="B115" s="539" t="s">
        <v>494</v>
      </c>
      <c r="C115" s="539"/>
      <c r="D115" s="539"/>
      <c r="E115" s="539"/>
      <c r="F115" s="539"/>
      <c r="G115" s="539"/>
      <c r="H115" s="539"/>
      <c r="I115" s="539"/>
      <c r="J115" s="539"/>
      <c r="K115" s="539"/>
      <c r="L115" s="539"/>
      <c r="M115" s="539"/>
      <c r="N115" s="539"/>
      <c r="O115" s="539"/>
      <c r="P115" s="539"/>
      <c r="Q115" s="539"/>
      <c r="R115" s="539"/>
      <c r="S115" s="539"/>
      <c r="T115" s="539"/>
      <c r="U115" s="539"/>
      <c r="V115" s="539"/>
      <c r="W115" s="539"/>
      <c r="X115" s="539"/>
      <c r="Y115" s="539"/>
      <c r="Z115" s="539"/>
      <c r="AA115" s="539"/>
      <c r="AB115" s="539"/>
    </row>
    <row r="116" spans="1:28" s="12" customFormat="1" x14ac:dyDescent="0.15">
      <c r="A116" s="540" t="s">
        <v>446</v>
      </c>
      <c r="B116" s="539" t="s">
        <v>493</v>
      </c>
      <c r="C116" s="539"/>
      <c r="D116" s="539"/>
      <c r="E116" s="539"/>
      <c r="F116" s="539"/>
      <c r="G116" s="539"/>
      <c r="H116" s="539"/>
      <c r="I116" s="539"/>
      <c r="J116" s="539"/>
      <c r="K116" s="539"/>
      <c r="L116" s="539"/>
      <c r="M116" s="539"/>
      <c r="N116" s="539"/>
      <c r="O116" s="539"/>
      <c r="P116" s="539"/>
      <c r="Q116" s="539"/>
      <c r="R116" s="539"/>
      <c r="S116" s="539"/>
      <c r="T116" s="539"/>
      <c r="U116" s="539"/>
      <c r="V116" s="539"/>
      <c r="W116" s="539"/>
      <c r="X116" s="539"/>
      <c r="Y116" s="539"/>
      <c r="Z116" s="539"/>
      <c r="AA116" s="539"/>
      <c r="AB116" s="539"/>
    </row>
    <row r="117" spans="1:28" s="12" customFormat="1" x14ac:dyDescent="0.15">
      <c r="A117" s="540" t="s">
        <v>453</v>
      </c>
      <c r="B117" s="539" t="s">
        <v>459</v>
      </c>
      <c r="C117" s="539"/>
      <c r="D117" s="539"/>
      <c r="E117" s="539"/>
      <c r="F117" s="539"/>
      <c r="G117" s="539"/>
      <c r="H117" s="539"/>
      <c r="I117" s="539"/>
      <c r="J117" s="539"/>
      <c r="K117" s="539"/>
      <c r="L117" s="539"/>
      <c r="M117" s="539"/>
      <c r="N117" s="539"/>
      <c r="O117" s="539"/>
      <c r="P117" s="539"/>
      <c r="Q117" s="539"/>
      <c r="R117" s="539"/>
      <c r="S117" s="539"/>
      <c r="T117" s="539"/>
      <c r="U117" s="539"/>
      <c r="V117" s="539"/>
      <c r="W117" s="539"/>
      <c r="X117" s="539"/>
      <c r="Y117" s="539"/>
      <c r="Z117" s="539"/>
      <c r="AA117" s="539"/>
      <c r="AB117" s="539"/>
    </row>
    <row r="118" spans="1:28" s="12" customFormat="1" x14ac:dyDescent="0.15">
      <c r="A118" s="540"/>
      <c r="B118" s="539"/>
      <c r="C118" s="539"/>
      <c r="D118" s="539"/>
      <c r="E118" s="539"/>
      <c r="F118" s="539"/>
      <c r="G118" s="539"/>
      <c r="H118" s="539"/>
      <c r="I118" s="539"/>
      <c r="J118" s="539"/>
      <c r="K118" s="539"/>
      <c r="L118" s="539"/>
      <c r="M118" s="539"/>
      <c r="N118" s="539"/>
      <c r="O118" s="539"/>
      <c r="P118" s="539"/>
      <c r="Q118" s="539"/>
      <c r="R118" s="539"/>
      <c r="S118" s="539"/>
      <c r="T118" s="539"/>
      <c r="U118" s="539"/>
      <c r="V118" s="539"/>
      <c r="W118" s="539"/>
      <c r="X118" s="539"/>
      <c r="Y118" s="539"/>
      <c r="Z118" s="539"/>
      <c r="AA118" s="539"/>
      <c r="AB118" s="539"/>
    </row>
    <row r="119" spans="1:28" x14ac:dyDescent="0.15">
      <c r="A119" s="558" t="s">
        <v>466</v>
      </c>
      <c r="B119" s="539"/>
      <c r="C119" s="539"/>
      <c r="D119" s="539"/>
      <c r="E119" s="539"/>
      <c r="F119" s="539"/>
      <c r="G119" s="539"/>
      <c r="H119" s="539"/>
      <c r="I119" s="539"/>
      <c r="J119" s="539"/>
      <c r="K119" s="539"/>
      <c r="L119" s="539"/>
      <c r="M119" s="539"/>
      <c r="N119" s="539"/>
      <c r="O119" s="539"/>
      <c r="P119" s="539"/>
      <c r="Q119" s="539"/>
      <c r="R119" s="539"/>
      <c r="S119" s="539"/>
      <c r="T119" s="539"/>
      <c r="U119" s="539"/>
      <c r="V119" s="539"/>
      <c r="W119" s="539"/>
      <c r="X119" s="539"/>
      <c r="Y119" s="539"/>
      <c r="Z119" s="539"/>
      <c r="AA119" s="539"/>
      <c r="AB119" s="539"/>
    </row>
    <row r="120" spans="1:28" s="535" customFormat="1" x14ac:dyDescent="0.15">
      <c r="A120" s="559">
        <v>0</v>
      </c>
      <c r="B120" s="560">
        <v>1E-3</v>
      </c>
      <c r="C120" s="560">
        <v>0.05</v>
      </c>
      <c r="D120" s="560">
        <v>0.1</v>
      </c>
      <c r="E120" s="560">
        <v>0.15</v>
      </c>
      <c r="F120" s="560">
        <v>0.2</v>
      </c>
      <c r="G120" s="560">
        <v>0.25</v>
      </c>
      <c r="H120" s="560">
        <v>0.3</v>
      </c>
      <c r="I120" s="560">
        <v>0.35</v>
      </c>
      <c r="J120" s="560">
        <v>0.4</v>
      </c>
      <c r="K120" s="560">
        <v>0.45</v>
      </c>
      <c r="L120" s="560">
        <v>0.5</v>
      </c>
      <c r="M120" s="560">
        <v>0.55000000000000004</v>
      </c>
      <c r="N120" s="560">
        <v>0.6</v>
      </c>
      <c r="O120" s="560">
        <v>0.65</v>
      </c>
      <c r="P120" s="560">
        <v>0.7</v>
      </c>
      <c r="Q120" s="560">
        <v>0.75</v>
      </c>
      <c r="R120" s="560">
        <v>0.8</v>
      </c>
      <c r="S120" s="560">
        <v>0.85</v>
      </c>
      <c r="T120" s="560">
        <v>0.9</v>
      </c>
      <c r="U120" s="560">
        <v>0.95</v>
      </c>
      <c r="V120" s="560">
        <v>1</v>
      </c>
      <c r="W120" s="561"/>
      <c r="X120" s="561"/>
      <c r="Y120" s="561"/>
      <c r="Z120" s="561"/>
      <c r="AA120" s="561"/>
      <c r="AB120" s="561"/>
    </row>
    <row r="121" spans="1:28" s="535" customFormat="1" x14ac:dyDescent="0.15">
      <c r="A121" s="562">
        <v>0</v>
      </c>
      <c r="B121" s="563">
        <v>51680.2</v>
      </c>
      <c r="C121" s="563">
        <v>1033.6000000000001</v>
      </c>
      <c r="D121" s="563">
        <v>516.80000000000007</v>
      </c>
      <c r="E121" s="563">
        <v>344.5</v>
      </c>
      <c r="F121" s="563">
        <v>258.40000000000003</v>
      </c>
      <c r="G121" s="563">
        <v>206.7</v>
      </c>
      <c r="H121" s="563">
        <v>172.3</v>
      </c>
      <c r="I121" s="563">
        <v>147.69999999999999</v>
      </c>
      <c r="J121" s="563">
        <v>129.20000000000002</v>
      </c>
      <c r="K121" s="563">
        <v>114.8</v>
      </c>
      <c r="L121" s="563">
        <v>103.4</v>
      </c>
      <c r="M121" s="563">
        <v>94</v>
      </c>
      <c r="N121" s="563">
        <v>86.1</v>
      </c>
      <c r="O121" s="563">
        <v>79.5</v>
      </c>
      <c r="P121" s="563">
        <v>73.800000000000011</v>
      </c>
      <c r="Q121" s="563">
        <v>68.900000000000006</v>
      </c>
      <c r="R121" s="563">
        <v>64.600000000000009</v>
      </c>
      <c r="S121" s="563">
        <v>60.8</v>
      </c>
      <c r="T121" s="563">
        <v>57.4</v>
      </c>
      <c r="U121" s="564">
        <v>54.4</v>
      </c>
      <c r="V121" s="565">
        <v>51.7</v>
      </c>
      <c r="W121" s="565"/>
      <c r="X121" s="565"/>
      <c r="Y121" s="565"/>
      <c r="Z121" s="565"/>
      <c r="AA121" s="565"/>
      <c r="AB121" s="565"/>
    </row>
    <row r="122" spans="1:28" s="535" customFormat="1" x14ac:dyDescent="0.15">
      <c r="A122" s="562">
        <v>5.0000000000000001E-3</v>
      </c>
      <c r="B122" s="563">
        <v>51695.1</v>
      </c>
      <c r="C122" s="563">
        <v>1048.5</v>
      </c>
      <c r="D122" s="563">
        <v>531.69999999999993</v>
      </c>
      <c r="E122" s="563">
        <v>359.4</v>
      </c>
      <c r="F122" s="563">
        <v>273.3</v>
      </c>
      <c r="G122" s="563">
        <v>221.6</v>
      </c>
      <c r="H122" s="563">
        <v>187.1</v>
      </c>
      <c r="I122" s="563">
        <v>162.5</v>
      </c>
      <c r="J122" s="563">
        <v>144.1</v>
      </c>
      <c r="K122" s="563">
        <v>129.70000000000002</v>
      </c>
      <c r="L122" s="563">
        <v>118.2</v>
      </c>
      <c r="M122" s="563">
        <v>108.8</v>
      </c>
      <c r="N122" s="563">
        <v>101</v>
      </c>
      <c r="O122" s="563">
        <v>94.399999999999991</v>
      </c>
      <c r="P122" s="563">
        <v>88.7</v>
      </c>
      <c r="Q122" s="563">
        <v>83.8</v>
      </c>
      <c r="R122" s="563">
        <v>79.5</v>
      </c>
      <c r="S122" s="563">
        <v>75.7</v>
      </c>
      <c r="T122" s="563">
        <v>72.3</v>
      </c>
      <c r="U122" s="564">
        <v>69.3</v>
      </c>
      <c r="V122" s="565">
        <v>66.600000000000009</v>
      </c>
      <c r="W122" s="565"/>
      <c r="X122" s="565"/>
      <c r="Y122" s="565"/>
      <c r="Z122" s="565"/>
      <c r="AA122" s="565"/>
      <c r="AB122" s="565"/>
    </row>
    <row r="123" spans="1:28" s="535" customFormat="1" x14ac:dyDescent="0.15">
      <c r="A123" s="562">
        <v>0.01</v>
      </c>
      <c r="B123" s="563">
        <v>51710</v>
      </c>
      <c r="C123" s="563">
        <v>1063.3999999999999</v>
      </c>
      <c r="D123" s="563">
        <v>546.6</v>
      </c>
      <c r="E123" s="563">
        <v>374.3</v>
      </c>
      <c r="F123" s="563">
        <v>288.2</v>
      </c>
      <c r="G123" s="563">
        <v>236.5</v>
      </c>
      <c r="H123" s="563">
        <v>202</v>
      </c>
      <c r="I123" s="563">
        <v>177.4</v>
      </c>
      <c r="J123" s="563">
        <v>159</v>
      </c>
      <c r="K123" s="563">
        <v>144.6</v>
      </c>
      <c r="L123" s="563">
        <v>133.1</v>
      </c>
      <c r="M123" s="563">
        <v>123.7</v>
      </c>
      <c r="N123" s="563">
        <v>115.9</v>
      </c>
      <c r="O123" s="563">
        <v>109.3</v>
      </c>
      <c r="P123" s="563">
        <v>103.6</v>
      </c>
      <c r="Q123" s="563">
        <v>98.7</v>
      </c>
      <c r="R123" s="563">
        <v>94.399999999999991</v>
      </c>
      <c r="S123" s="563">
        <v>90.6</v>
      </c>
      <c r="T123" s="563">
        <v>87.2</v>
      </c>
      <c r="U123" s="564">
        <v>84.2</v>
      </c>
      <c r="V123" s="565">
        <v>81.400000000000006</v>
      </c>
      <c r="W123" s="565"/>
      <c r="X123" s="565"/>
      <c r="Y123" s="565"/>
      <c r="Z123" s="565"/>
      <c r="AA123" s="565"/>
      <c r="AB123" s="565"/>
    </row>
    <row r="124" spans="1:28" s="535" customFormat="1" x14ac:dyDescent="0.15">
      <c r="A124" s="562">
        <v>1.4999999999999999E-2</v>
      </c>
      <c r="B124" s="563">
        <v>51724.800000000003</v>
      </c>
      <c r="C124" s="563">
        <v>1078.2</v>
      </c>
      <c r="D124" s="563">
        <v>561.4</v>
      </c>
      <c r="E124" s="563">
        <v>389.2</v>
      </c>
      <c r="F124" s="563">
        <v>303</v>
      </c>
      <c r="G124" s="563">
        <v>251.3</v>
      </c>
      <c r="H124" s="563">
        <v>216.9</v>
      </c>
      <c r="I124" s="563">
        <v>192.3</v>
      </c>
      <c r="J124" s="563">
        <v>173.8</v>
      </c>
      <c r="K124" s="563">
        <v>159.5</v>
      </c>
      <c r="L124" s="563">
        <v>148</v>
      </c>
      <c r="M124" s="563">
        <v>138.6</v>
      </c>
      <c r="N124" s="563">
        <v>130.80000000000001</v>
      </c>
      <c r="O124" s="563">
        <v>124.10000000000001</v>
      </c>
      <c r="P124" s="563">
        <v>118.5</v>
      </c>
      <c r="Q124" s="563">
        <v>113.5</v>
      </c>
      <c r="R124" s="563">
        <v>109.2</v>
      </c>
      <c r="S124" s="563">
        <v>105.39999999999999</v>
      </c>
      <c r="T124" s="563">
        <v>102</v>
      </c>
      <c r="U124" s="564">
        <v>99</v>
      </c>
      <c r="V124" s="565">
        <v>96.3</v>
      </c>
      <c r="W124" s="565"/>
      <c r="X124" s="565"/>
      <c r="Y124" s="565"/>
      <c r="Z124" s="565"/>
      <c r="AA124" s="565"/>
      <c r="AB124" s="565"/>
    </row>
    <row r="125" spans="1:28" s="535" customFormat="1" x14ac:dyDescent="0.15">
      <c r="A125" s="562">
        <v>0.02</v>
      </c>
      <c r="B125" s="563">
        <v>51739.7</v>
      </c>
      <c r="C125" s="563">
        <v>1093.0999999999999</v>
      </c>
      <c r="D125" s="563">
        <v>576.30000000000007</v>
      </c>
      <c r="E125" s="563">
        <v>404</v>
      </c>
      <c r="F125" s="563">
        <v>317.90000000000003</v>
      </c>
      <c r="G125" s="563">
        <v>266.2</v>
      </c>
      <c r="H125" s="563">
        <v>231.8</v>
      </c>
      <c r="I125" s="563">
        <v>207.2</v>
      </c>
      <c r="J125" s="563">
        <v>188.70000000000002</v>
      </c>
      <c r="K125" s="563">
        <v>174.3</v>
      </c>
      <c r="L125" s="563">
        <v>162.89999999999998</v>
      </c>
      <c r="M125" s="563">
        <v>153.5</v>
      </c>
      <c r="N125" s="563">
        <v>145.6</v>
      </c>
      <c r="O125" s="563">
        <v>139</v>
      </c>
      <c r="P125" s="563">
        <v>133.30000000000001</v>
      </c>
      <c r="Q125" s="563">
        <v>128.39999999999998</v>
      </c>
      <c r="R125" s="563">
        <v>124.10000000000001</v>
      </c>
      <c r="S125" s="563">
        <v>120.3</v>
      </c>
      <c r="T125" s="563">
        <v>116.9</v>
      </c>
      <c r="U125" s="564">
        <v>113.9</v>
      </c>
      <c r="V125" s="565">
        <v>111.19999999999999</v>
      </c>
      <c r="W125" s="565"/>
      <c r="X125" s="565"/>
      <c r="Y125" s="565"/>
      <c r="Z125" s="565"/>
      <c r="AA125" s="565"/>
      <c r="AB125" s="565"/>
    </row>
    <row r="126" spans="1:28" s="535" customFormat="1" x14ac:dyDescent="0.15">
      <c r="A126" s="562">
        <v>2.5000000000000001E-2</v>
      </c>
      <c r="B126" s="563">
        <v>51754.600000000006</v>
      </c>
      <c r="C126" s="563">
        <v>1108</v>
      </c>
      <c r="D126" s="563">
        <v>591.19999999999993</v>
      </c>
      <c r="E126" s="563">
        <v>418.9</v>
      </c>
      <c r="F126" s="563">
        <v>332.8</v>
      </c>
      <c r="G126" s="563">
        <v>281.10000000000002</v>
      </c>
      <c r="H126" s="563">
        <v>246.60000000000002</v>
      </c>
      <c r="I126" s="563">
        <v>222</v>
      </c>
      <c r="J126" s="563">
        <v>203.6</v>
      </c>
      <c r="K126" s="563">
        <v>189.20000000000002</v>
      </c>
      <c r="L126" s="563">
        <v>177.7</v>
      </c>
      <c r="M126" s="563">
        <v>168.3</v>
      </c>
      <c r="N126" s="563">
        <v>160.5</v>
      </c>
      <c r="O126" s="563">
        <v>153.9</v>
      </c>
      <c r="P126" s="563">
        <v>148.19999999999999</v>
      </c>
      <c r="Q126" s="563">
        <v>143.30000000000001</v>
      </c>
      <c r="R126" s="563">
        <v>139</v>
      </c>
      <c r="S126" s="563">
        <v>135.19999999999999</v>
      </c>
      <c r="T126" s="563">
        <v>131.80000000000001</v>
      </c>
      <c r="U126" s="564">
        <v>128.80000000000001</v>
      </c>
      <c r="V126" s="565">
        <v>126.1</v>
      </c>
      <c r="W126" s="565"/>
      <c r="X126" s="565"/>
      <c r="Y126" s="565"/>
      <c r="Z126" s="565"/>
      <c r="AA126" s="565"/>
      <c r="AB126" s="565"/>
    </row>
    <row r="127" spans="1:28" s="535" customFormat="1" x14ac:dyDescent="0.15">
      <c r="A127" s="562">
        <v>0.03</v>
      </c>
      <c r="B127" s="563">
        <v>51769.5</v>
      </c>
      <c r="C127" s="563">
        <v>1122.9000000000001</v>
      </c>
      <c r="D127" s="563">
        <v>606.1</v>
      </c>
      <c r="E127" s="563">
        <v>433.8</v>
      </c>
      <c r="F127" s="563">
        <v>347.7</v>
      </c>
      <c r="G127" s="563">
        <v>296</v>
      </c>
      <c r="H127" s="563">
        <v>261.5</v>
      </c>
      <c r="I127" s="563">
        <v>236.9</v>
      </c>
      <c r="J127" s="563">
        <v>218.5</v>
      </c>
      <c r="K127" s="563">
        <v>204.1</v>
      </c>
      <c r="L127" s="563">
        <v>192.6</v>
      </c>
      <c r="M127" s="563">
        <v>183.2</v>
      </c>
      <c r="N127" s="563">
        <v>175.4</v>
      </c>
      <c r="O127" s="563">
        <v>168.8</v>
      </c>
      <c r="P127" s="563">
        <v>163.1</v>
      </c>
      <c r="Q127" s="563">
        <v>158.20000000000002</v>
      </c>
      <c r="R127" s="563">
        <v>153.9</v>
      </c>
      <c r="S127" s="563">
        <v>150.10000000000002</v>
      </c>
      <c r="T127" s="563">
        <v>146.69999999999999</v>
      </c>
      <c r="U127" s="564">
        <v>143.69999999999999</v>
      </c>
      <c r="V127" s="565">
        <v>140.9</v>
      </c>
      <c r="W127" s="565"/>
      <c r="X127" s="565"/>
      <c r="Y127" s="565"/>
      <c r="Z127" s="565"/>
      <c r="AA127" s="565"/>
      <c r="AB127" s="565"/>
    </row>
    <row r="128" spans="1:28" s="535" customFormat="1" x14ac:dyDescent="0.15">
      <c r="A128" s="562">
        <v>3.5000000000000003E-2</v>
      </c>
      <c r="B128" s="563">
        <v>51784.3</v>
      </c>
      <c r="C128" s="563">
        <v>1137.7</v>
      </c>
      <c r="D128" s="563">
        <v>620.9</v>
      </c>
      <c r="E128" s="563">
        <v>448.7</v>
      </c>
      <c r="F128" s="563">
        <v>362.5</v>
      </c>
      <c r="G128" s="563">
        <v>310.8</v>
      </c>
      <c r="H128" s="563">
        <v>276.39999999999998</v>
      </c>
      <c r="I128" s="563">
        <v>251.8</v>
      </c>
      <c r="J128" s="563">
        <v>233.3</v>
      </c>
      <c r="K128" s="563">
        <v>219</v>
      </c>
      <c r="L128" s="563">
        <v>207.5</v>
      </c>
      <c r="M128" s="563">
        <v>198.1</v>
      </c>
      <c r="N128" s="563">
        <v>190.29999999999998</v>
      </c>
      <c r="O128" s="563">
        <v>183.60000000000002</v>
      </c>
      <c r="P128" s="563">
        <v>178</v>
      </c>
      <c r="Q128" s="563">
        <v>173</v>
      </c>
      <c r="R128" s="563">
        <v>168.7</v>
      </c>
      <c r="S128" s="563">
        <v>164.89999999999998</v>
      </c>
      <c r="T128" s="563">
        <v>161.5</v>
      </c>
      <c r="U128" s="564">
        <v>158.5</v>
      </c>
      <c r="V128" s="565">
        <v>155.79999999999998</v>
      </c>
      <c r="W128" s="565"/>
      <c r="X128" s="565"/>
      <c r="Y128" s="565"/>
      <c r="Z128" s="565"/>
      <c r="AA128" s="565"/>
      <c r="AB128" s="565"/>
    </row>
    <row r="129" spans="1:28" s="535" customFormat="1" x14ac:dyDescent="0.15">
      <c r="A129" s="562">
        <v>0.04</v>
      </c>
      <c r="B129" s="563">
        <v>51799.199999999997</v>
      </c>
      <c r="C129" s="563">
        <v>1152.6000000000001</v>
      </c>
      <c r="D129" s="563">
        <v>635.80000000000007</v>
      </c>
      <c r="E129" s="563">
        <v>463.5</v>
      </c>
      <c r="F129" s="563">
        <v>377.40000000000003</v>
      </c>
      <c r="G129" s="563">
        <v>325.7</v>
      </c>
      <c r="H129" s="563">
        <v>291.3</v>
      </c>
      <c r="I129" s="563">
        <v>266.7</v>
      </c>
      <c r="J129" s="563">
        <v>248.20000000000002</v>
      </c>
      <c r="K129" s="563">
        <v>233.8</v>
      </c>
      <c r="L129" s="563">
        <v>222.39999999999998</v>
      </c>
      <c r="M129" s="563">
        <v>213</v>
      </c>
      <c r="N129" s="563">
        <v>205.1</v>
      </c>
      <c r="O129" s="563">
        <v>198.5</v>
      </c>
      <c r="P129" s="563">
        <v>192.8</v>
      </c>
      <c r="Q129" s="563">
        <v>187.9</v>
      </c>
      <c r="R129" s="563">
        <v>183.60000000000002</v>
      </c>
      <c r="S129" s="563">
        <v>179.79999999999998</v>
      </c>
      <c r="T129" s="563">
        <v>176.4</v>
      </c>
      <c r="U129" s="564">
        <v>173.4</v>
      </c>
      <c r="V129" s="565">
        <v>170.7</v>
      </c>
      <c r="W129" s="565"/>
      <c r="X129" s="565"/>
      <c r="Y129" s="565"/>
      <c r="Z129" s="565"/>
      <c r="AA129" s="565"/>
      <c r="AB129" s="565"/>
    </row>
    <row r="130" spans="1:28" s="535" customFormat="1" x14ac:dyDescent="0.15">
      <c r="A130" s="562">
        <v>4.4999999999999998E-2</v>
      </c>
      <c r="B130" s="563">
        <v>51814.100000000006</v>
      </c>
      <c r="C130" s="563">
        <v>1167.5</v>
      </c>
      <c r="D130" s="563">
        <v>650.69999999999993</v>
      </c>
      <c r="E130" s="563">
        <v>478.4</v>
      </c>
      <c r="F130" s="563">
        <v>392.29999999999995</v>
      </c>
      <c r="G130" s="563">
        <v>340.6</v>
      </c>
      <c r="H130" s="563">
        <v>306.09999999999997</v>
      </c>
      <c r="I130" s="563">
        <v>281.5</v>
      </c>
      <c r="J130" s="563">
        <v>263.10000000000002</v>
      </c>
      <c r="K130" s="563">
        <v>248.70000000000002</v>
      </c>
      <c r="L130" s="563">
        <v>237.2</v>
      </c>
      <c r="M130" s="563">
        <v>227.8</v>
      </c>
      <c r="N130" s="563">
        <v>220</v>
      </c>
      <c r="O130" s="563">
        <v>213.4</v>
      </c>
      <c r="P130" s="563">
        <v>207.7</v>
      </c>
      <c r="Q130" s="563">
        <v>202.8</v>
      </c>
      <c r="R130" s="563">
        <v>198.5</v>
      </c>
      <c r="S130" s="563">
        <v>194.70000000000002</v>
      </c>
      <c r="T130" s="563">
        <v>191.3</v>
      </c>
      <c r="U130" s="564">
        <v>188.29999999999998</v>
      </c>
      <c r="V130" s="565">
        <v>185.6</v>
      </c>
      <c r="W130" s="565"/>
      <c r="X130" s="565"/>
      <c r="Y130" s="565"/>
      <c r="Z130" s="565"/>
      <c r="AA130" s="565"/>
      <c r="AB130" s="565"/>
    </row>
    <row r="131" spans="1:28" s="535" customFormat="1" x14ac:dyDescent="0.15">
      <c r="A131" s="562">
        <v>0.05</v>
      </c>
      <c r="B131" s="563">
        <v>51829</v>
      </c>
      <c r="C131" s="563">
        <v>1182.3999999999999</v>
      </c>
      <c r="D131" s="563">
        <v>665.6</v>
      </c>
      <c r="E131" s="563">
        <v>493.3</v>
      </c>
      <c r="F131" s="563">
        <v>407.2</v>
      </c>
      <c r="G131" s="563">
        <v>355.5</v>
      </c>
      <c r="H131" s="563">
        <v>321</v>
      </c>
      <c r="I131" s="563">
        <v>296.39999999999998</v>
      </c>
      <c r="J131" s="563">
        <v>278</v>
      </c>
      <c r="K131" s="563">
        <v>263.60000000000002</v>
      </c>
      <c r="L131" s="563">
        <v>252.1</v>
      </c>
      <c r="M131" s="563">
        <v>242.7</v>
      </c>
      <c r="N131" s="563">
        <v>234.9</v>
      </c>
      <c r="O131" s="563">
        <v>228.3</v>
      </c>
      <c r="P131" s="563">
        <v>222.6</v>
      </c>
      <c r="Q131" s="563">
        <v>217.70000000000002</v>
      </c>
      <c r="R131" s="563">
        <v>213.4</v>
      </c>
      <c r="S131" s="563">
        <v>209.60000000000002</v>
      </c>
      <c r="T131" s="563">
        <v>206.2</v>
      </c>
      <c r="U131" s="564">
        <v>203.2</v>
      </c>
      <c r="V131" s="565">
        <v>200.4</v>
      </c>
      <c r="W131" s="565"/>
      <c r="X131" s="565"/>
      <c r="Y131" s="565"/>
      <c r="Z131" s="565"/>
      <c r="AA131" s="565"/>
      <c r="AB131" s="565"/>
    </row>
    <row r="132" spans="1:28" s="535" customFormat="1" x14ac:dyDescent="0.15">
      <c r="A132" s="562">
        <v>5.5E-2</v>
      </c>
      <c r="B132" s="563">
        <v>51843.8</v>
      </c>
      <c r="C132" s="563">
        <v>1197.2</v>
      </c>
      <c r="D132" s="563">
        <v>680.4</v>
      </c>
      <c r="E132" s="563">
        <v>508.2</v>
      </c>
      <c r="F132" s="563">
        <v>422</v>
      </c>
      <c r="G132" s="563">
        <v>370.3</v>
      </c>
      <c r="H132" s="563">
        <v>335.9</v>
      </c>
      <c r="I132" s="563">
        <v>311.3</v>
      </c>
      <c r="J132" s="563">
        <v>292.8</v>
      </c>
      <c r="K132" s="563">
        <v>278.5</v>
      </c>
      <c r="L132" s="563">
        <v>267</v>
      </c>
      <c r="M132" s="563">
        <v>257.60000000000002</v>
      </c>
      <c r="N132" s="563">
        <v>249.79999999999998</v>
      </c>
      <c r="O132" s="563">
        <v>243.10000000000002</v>
      </c>
      <c r="P132" s="563">
        <v>237.5</v>
      </c>
      <c r="Q132" s="563">
        <v>232.5</v>
      </c>
      <c r="R132" s="563">
        <v>228.2</v>
      </c>
      <c r="S132" s="563">
        <v>224.39999999999998</v>
      </c>
      <c r="T132" s="563">
        <v>221</v>
      </c>
      <c r="U132" s="564">
        <v>218</v>
      </c>
      <c r="V132" s="565">
        <v>215.29999999999998</v>
      </c>
      <c r="W132" s="565"/>
      <c r="X132" s="565"/>
      <c r="Y132" s="565"/>
      <c r="Z132" s="565"/>
      <c r="AA132" s="565"/>
      <c r="AB132" s="565"/>
    </row>
    <row r="133" spans="1:28" s="535" customFormat="1" x14ac:dyDescent="0.15">
      <c r="A133" s="562">
        <v>0.06</v>
      </c>
      <c r="B133" s="563">
        <v>51858.7</v>
      </c>
      <c r="C133" s="563">
        <v>1212.0999999999999</v>
      </c>
      <c r="D133" s="563">
        <v>695.30000000000007</v>
      </c>
      <c r="E133" s="563">
        <v>523</v>
      </c>
      <c r="F133" s="563">
        <v>436.90000000000003</v>
      </c>
      <c r="G133" s="563">
        <v>385.2</v>
      </c>
      <c r="H133" s="563">
        <v>350.8</v>
      </c>
      <c r="I133" s="563">
        <v>326.2</v>
      </c>
      <c r="J133" s="563">
        <v>307.7</v>
      </c>
      <c r="K133" s="563">
        <v>293.3</v>
      </c>
      <c r="L133" s="563">
        <v>281.89999999999998</v>
      </c>
      <c r="M133" s="563">
        <v>272.5</v>
      </c>
      <c r="N133" s="563">
        <v>264.60000000000002</v>
      </c>
      <c r="O133" s="563">
        <v>258</v>
      </c>
      <c r="P133" s="563">
        <v>252.3</v>
      </c>
      <c r="Q133" s="563">
        <v>247.4</v>
      </c>
      <c r="R133" s="563">
        <v>243.10000000000002</v>
      </c>
      <c r="S133" s="563">
        <v>239.3</v>
      </c>
      <c r="T133" s="563">
        <v>235.9</v>
      </c>
      <c r="U133" s="564">
        <v>232.9</v>
      </c>
      <c r="V133" s="565">
        <v>230.2</v>
      </c>
      <c r="W133" s="565"/>
      <c r="X133" s="565"/>
      <c r="Y133" s="565"/>
      <c r="Z133" s="565"/>
      <c r="AA133" s="565"/>
      <c r="AB133" s="565"/>
    </row>
    <row r="134" spans="1:28" s="535" customFormat="1" x14ac:dyDescent="0.15">
      <c r="A134" s="562"/>
      <c r="B134" s="563"/>
      <c r="C134" s="563"/>
      <c r="D134" s="563"/>
      <c r="E134" s="563"/>
      <c r="F134" s="563"/>
      <c r="G134" s="563"/>
      <c r="H134" s="563"/>
      <c r="I134" s="563"/>
      <c r="J134" s="563"/>
      <c r="K134" s="563"/>
      <c r="L134" s="563"/>
      <c r="M134" s="563"/>
      <c r="N134" s="563"/>
      <c r="O134" s="563"/>
      <c r="P134" s="563"/>
      <c r="Q134" s="563"/>
      <c r="R134" s="563"/>
      <c r="S134" s="563"/>
      <c r="T134" s="563"/>
      <c r="U134" s="564"/>
      <c r="V134" s="565"/>
      <c r="W134" s="565"/>
      <c r="X134" s="565"/>
      <c r="Y134" s="565"/>
      <c r="Z134" s="565"/>
      <c r="AA134" s="565"/>
      <c r="AB134" s="565"/>
    </row>
    <row r="135" spans="1:28" s="535" customFormat="1" x14ac:dyDescent="0.15">
      <c r="A135" s="559"/>
      <c r="B135" s="563"/>
      <c r="C135" s="563"/>
      <c r="D135" s="563"/>
      <c r="E135" s="563"/>
      <c r="F135" s="563"/>
      <c r="G135" s="563"/>
      <c r="H135" s="563"/>
      <c r="I135" s="563"/>
      <c r="J135" s="563"/>
      <c r="K135" s="563"/>
      <c r="L135" s="563"/>
      <c r="M135" s="563"/>
      <c r="N135" s="563"/>
      <c r="O135" s="563"/>
      <c r="P135" s="563"/>
      <c r="Q135" s="563"/>
      <c r="R135" s="563"/>
      <c r="S135" s="563"/>
      <c r="T135" s="563"/>
      <c r="U135" s="564"/>
      <c r="V135" s="565"/>
      <c r="W135" s="565"/>
      <c r="X135" s="565"/>
      <c r="Y135" s="565"/>
      <c r="Z135" s="565"/>
      <c r="AA135" s="565"/>
      <c r="AB135" s="565"/>
    </row>
    <row r="136" spans="1:28" s="535" customFormat="1" x14ac:dyDescent="0.15">
      <c r="A136" s="560"/>
      <c r="B136" s="563"/>
      <c r="C136" s="563"/>
      <c r="D136" s="563"/>
      <c r="E136" s="563"/>
      <c r="F136" s="563"/>
      <c r="G136" s="563"/>
      <c r="H136" s="563"/>
      <c r="I136" s="563"/>
      <c r="J136" s="563"/>
      <c r="K136" s="563"/>
      <c r="L136" s="563"/>
      <c r="M136" s="563"/>
      <c r="N136" s="563"/>
      <c r="O136" s="563"/>
      <c r="P136" s="563"/>
      <c r="Q136" s="563"/>
      <c r="R136" s="563"/>
      <c r="S136" s="563"/>
      <c r="T136" s="563"/>
      <c r="U136" s="564"/>
      <c r="V136" s="565"/>
      <c r="W136" s="565"/>
      <c r="X136" s="565"/>
      <c r="Y136" s="565"/>
      <c r="Z136" s="565"/>
      <c r="AA136" s="565"/>
      <c r="AB136" s="565"/>
    </row>
    <row r="137" spans="1:28" s="535" customFormat="1" x14ac:dyDescent="0.15">
      <c r="A137" s="566"/>
      <c r="B137" s="566"/>
      <c r="C137" s="566"/>
      <c r="D137" s="566"/>
      <c r="E137" s="566"/>
      <c r="F137" s="566"/>
      <c r="G137" s="566"/>
      <c r="H137" s="566"/>
      <c r="I137" s="566"/>
      <c r="J137" s="566"/>
      <c r="K137" s="566"/>
      <c r="L137" s="566"/>
      <c r="M137" s="566"/>
      <c r="N137" s="566"/>
      <c r="O137" s="566"/>
      <c r="P137" s="566"/>
      <c r="Q137" s="566"/>
      <c r="R137" s="566"/>
      <c r="S137" s="566"/>
      <c r="T137" s="566"/>
      <c r="U137" s="565"/>
      <c r="V137" s="565"/>
      <c r="W137" s="565"/>
      <c r="X137" s="565"/>
      <c r="Y137" s="565"/>
      <c r="Z137" s="565"/>
      <c r="AA137" s="565"/>
      <c r="AB137" s="565"/>
    </row>
    <row r="138" spans="1:28" s="535" customFormat="1" x14ac:dyDescent="0.15">
      <c r="A138" s="566"/>
      <c r="B138" s="566"/>
      <c r="C138" s="566"/>
      <c r="D138" s="566"/>
      <c r="E138" s="566"/>
      <c r="F138" s="566"/>
      <c r="G138" s="566"/>
      <c r="H138" s="566"/>
      <c r="I138" s="566"/>
      <c r="J138" s="566"/>
      <c r="K138" s="566"/>
      <c r="L138" s="566"/>
      <c r="M138" s="566"/>
      <c r="N138" s="566"/>
      <c r="O138" s="566"/>
      <c r="P138" s="566"/>
      <c r="Q138" s="566"/>
      <c r="R138" s="566"/>
      <c r="S138" s="566"/>
      <c r="T138" s="566"/>
      <c r="U138" s="565"/>
      <c r="V138" s="565"/>
      <c r="W138" s="565"/>
      <c r="X138" s="565"/>
      <c r="Y138" s="565"/>
      <c r="Z138" s="565"/>
      <c r="AA138" s="565"/>
      <c r="AB138" s="565"/>
    </row>
    <row r="139" spans="1:28" s="535" customFormat="1" x14ac:dyDescent="0.15">
      <c r="A139" s="566"/>
      <c r="B139" s="566"/>
      <c r="C139" s="566"/>
      <c r="D139" s="566"/>
      <c r="E139" s="566"/>
      <c r="F139" s="566"/>
      <c r="G139" s="566"/>
      <c r="H139" s="566"/>
      <c r="I139" s="566"/>
      <c r="J139" s="566"/>
      <c r="K139" s="566"/>
      <c r="L139" s="566"/>
      <c r="M139" s="566"/>
      <c r="N139" s="566"/>
      <c r="O139" s="566"/>
      <c r="P139" s="566"/>
      <c r="Q139" s="566"/>
      <c r="R139" s="566"/>
      <c r="S139" s="566"/>
      <c r="T139" s="566"/>
      <c r="U139" s="565"/>
      <c r="V139" s="565"/>
      <c r="W139" s="565"/>
      <c r="X139" s="565"/>
      <c r="Y139" s="565"/>
      <c r="Z139" s="565"/>
      <c r="AA139" s="565"/>
      <c r="AB139" s="565"/>
    </row>
    <row r="140" spans="1:28" s="535" customFormat="1" ht="16" x14ac:dyDescent="0.2">
      <c r="A140" s="567"/>
      <c r="B140" s="566"/>
      <c r="C140" s="566"/>
      <c r="D140" s="566"/>
      <c r="E140" s="566"/>
      <c r="F140" s="566"/>
      <c r="G140" s="566"/>
      <c r="H140" s="566"/>
      <c r="I140" s="566"/>
      <c r="J140" s="566"/>
      <c r="K140" s="566"/>
      <c r="L140" s="566"/>
      <c r="M140" s="566"/>
      <c r="N140" s="566"/>
      <c r="O140" s="566"/>
      <c r="P140" s="566"/>
      <c r="Q140" s="566"/>
      <c r="R140" s="566"/>
      <c r="S140" s="566"/>
      <c r="T140" s="566"/>
      <c r="U140" s="565"/>
      <c r="V140" s="565"/>
      <c r="W140" s="565"/>
      <c r="X140" s="565"/>
      <c r="Y140" s="565"/>
      <c r="Z140" s="565"/>
      <c r="AA140" s="565"/>
      <c r="AB140" s="565"/>
    </row>
    <row r="141" spans="1:28" s="535" customFormat="1" x14ac:dyDescent="0.15">
      <c r="A141" s="568" t="s">
        <v>454</v>
      </c>
      <c r="B141" s="566"/>
      <c r="C141" s="566"/>
      <c r="D141" s="566"/>
      <c r="E141" s="566"/>
      <c r="F141" s="566"/>
      <c r="G141" s="566"/>
      <c r="H141" s="566"/>
      <c r="I141" s="566"/>
      <c r="J141" s="566"/>
      <c r="K141" s="566"/>
      <c r="L141" s="566"/>
      <c r="M141" s="566"/>
      <c r="N141" s="566"/>
      <c r="O141" s="566"/>
      <c r="P141" s="566"/>
      <c r="Q141" s="566"/>
      <c r="R141" s="566"/>
      <c r="S141" s="566"/>
      <c r="T141" s="566"/>
      <c r="U141" s="565"/>
      <c r="V141" s="565"/>
      <c r="W141" s="565"/>
      <c r="X141" s="565"/>
      <c r="Y141" s="565"/>
      <c r="Z141" s="565"/>
      <c r="AA141" s="565"/>
      <c r="AB141" s="565"/>
    </row>
    <row r="142" spans="1:28" s="550" customFormat="1" x14ac:dyDescent="0.15">
      <c r="A142" s="569">
        <v>0</v>
      </c>
      <c r="B142" s="569">
        <f t="shared" ref="B142:V142" si="4">B120</f>
        <v>1E-3</v>
      </c>
      <c r="C142" s="569">
        <f t="shared" si="4"/>
        <v>0.05</v>
      </c>
      <c r="D142" s="569">
        <f t="shared" si="4"/>
        <v>0.1</v>
      </c>
      <c r="E142" s="569">
        <f t="shared" si="4"/>
        <v>0.15</v>
      </c>
      <c r="F142" s="569">
        <f t="shared" si="4"/>
        <v>0.2</v>
      </c>
      <c r="G142" s="569">
        <f t="shared" si="4"/>
        <v>0.25</v>
      </c>
      <c r="H142" s="569">
        <f t="shared" si="4"/>
        <v>0.3</v>
      </c>
      <c r="I142" s="569">
        <f t="shared" si="4"/>
        <v>0.35</v>
      </c>
      <c r="J142" s="569">
        <f t="shared" si="4"/>
        <v>0.4</v>
      </c>
      <c r="K142" s="569">
        <f t="shared" si="4"/>
        <v>0.45</v>
      </c>
      <c r="L142" s="569">
        <f t="shared" si="4"/>
        <v>0.5</v>
      </c>
      <c r="M142" s="569">
        <f t="shared" si="4"/>
        <v>0.55000000000000004</v>
      </c>
      <c r="N142" s="569">
        <f t="shared" si="4"/>
        <v>0.6</v>
      </c>
      <c r="O142" s="569">
        <f t="shared" si="4"/>
        <v>0.65</v>
      </c>
      <c r="P142" s="569">
        <f t="shared" si="4"/>
        <v>0.7</v>
      </c>
      <c r="Q142" s="569">
        <f t="shared" si="4"/>
        <v>0.75</v>
      </c>
      <c r="R142" s="569">
        <f t="shared" si="4"/>
        <v>0.8</v>
      </c>
      <c r="S142" s="569">
        <f t="shared" si="4"/>
        <v>0.85</v>
      </c>
      <c r="T142" s="569">
        <f t="shared" si="4"/>
        <v>0.9</v>
      </c>
      <c r="U142" s="569">
        <f t="shared" si="4"/>
        <v>0.95</v>
      </c>
      <c r="V142" s="569">
        <f t="shared" si="4"/>
        <v>1</v>
      </c>
      <c r="W142" s="570"/>
      <c r="X142" s="570"/>
      <c r="Y142" s="570"/>
      <c r="Z142" s="570"/>
      <c r="AA142" s="570"/>
      <c r="AB142" s="570"/>
    </row>
    <row r="143" spans="1:28" s="535" customFormat="1" x14ac:dyDescent="0.15">
      <c r="A143" s="560" cm="1">
        <f t="array" ref="A143:A158">A121:A136</f>
        <v>0</v>
      </c>
      <c r="B143" s="571">
        <v>0.8495146552082008</v>
      </c>
      <c r="C143" s="571">
        <v>0.8495146552082008</v>
      </c>
      <c r="D143" s="571">
        <v>0.8495146552082008</v>
      </c>
      <c r="E143" s="571">
        <v>0.8495146552082008</v>
      </c>
      <c r="F143" s="571">
        <v>0.8495146552082008</v>
      </c>
      <c r="G143" s="571">
        <v>0.8495146552082008</v>
      </c>
      <c r="H143" s="571">
        <v>0.8495146552082008</v>
      </c>
      <c r="I143" s="571">
        <v>0.8495146552082008</v>
      </c>
      <c r="J143" s="571">
        <v>0.8495146552082008</v>
      </c>
      <c r="K143" s="571">
        <v>0.8495146552082008</v>
      </c>
      <c r="L143" s="571">
        <v>0.8495146552082008</v>
      </c>
      <c r="M143" s="571">
        <v>0.8495146552082008</v>
      </c>
      <c r="N143" s="571">
        <v>0.8495146552082008</v>
      </c>
      <c r="O143" s="571">
        <v>0.8495146552082008</v>
      </c>
      <c r="P143" s="571">
        <v>0.8495146552082008</v>
      </c>
      <c r="Q143" s="571">
        <v>0.8495146552082008</v>
      </c>
      <c r="R143" s="571">
        <v>0.8495146552082008</v>
      </c>
      <c r="S143" s="571">
        <v>0.8495146552082008</v>
      </c>
      <c r="T143" s="571">
        <v>0.8495146552082008</v>
      </c>
      <c r="U143" s="572">
        <v>0.8495146552082008</v>
      </c>
      <c r="V143" s="572">
        <v>0.8495146552082008</v>
      </c>
      <c r="W143" s="565"/>
      <c r="X143" s="565"/>
      <c r="Y143" s="565"/>
      <c r="Z143" s="565"/>
      <c r="AA143" s="565"/>
      <c r="AB143" s="565"/>
    </row>
    <row r="144" spans="1:28" s="535" customFormat="1" x14ac:dyDescent="0.15">
      <c r="A144" s="559">
        <v>5.0000000000000001E-3</v>
      </c>
      <c r="B144" s="571">
        <v>0.8495146552082008</v>
      </c>
      <c r="C144" s="571">
        <v>0.8495146552082008</v>
      </c>
      <c r="D144" s="571">
        <v>0.8495146552082008</v>
      </c>
      <c r="E144" s="571">
        <v>0.8495146552082008</v>
      </c>
      <c r="F144" s="571">
        <v>0.8495146552082008</v>
      </c>
      <c r="G144" s="571">
        <v>0.8495146552082008</v>
      </c>
      <c r="H144" s="571">
        <v>0.8495146552082008</v>
      </c>
      <c r="I144" s="571">
        <v>0.8495146552082008</v>
      </c>
      <c r="J144" s="571">
        <v>0.8495146552082008</v>
      </c>
      <c r="K144" s="571">
        <v>0.8495146552082008</v>
      </c>
      <c r="L144" s="571">
        <v>0.8495146552082008</v>
      </c>
      <c r="M144" s="571">
        <v>0.8495146552082008</v>
      </c>
      <c r="N144" s="571">
        <v>0.8495146552082008</v>
      </c>
      <c r="O144" s="571">
        <v>0.8495146552082008</v>
      </c>
      <c r="P144" s="571">
        <v>0.8495146552082008</v>
      </c>
      <c r="Q144" s="571">
        <v>0.8495146552082008</v>
      </c>
      <c r="R144" s="571">
        <v>0.8495146552082008</v>
      </c>
      <c r="S144" s="571">
        <v>0.8495146552082008</v>
      </c>
      <c r="T144" s="571">
        <v>0.8495146552082008</v>
      </c>
      <c r="U144" s="572">
        <v>0.8495146552082008</v>
      </c>
      <c r="V144" s="572">
        <v>0.8495146552082008</v>
      </c>
      <c r="W144" s="565"/>
      <c r="X144" s="565"/>
      <c r="Y144" s="565"/>
      <c r="Z144" s="565"/>
      <c r="AA144" s="565"/>
      <c r="AB144" s="565"/>
    </row>
    <row r="145" spans="1:28" s="535" customFormat="1" x14ac:dyDescent="0.15">
      <c r="A145" s="559">
        <v>0.01</v>
      </c>
      <c r="B145" s="571">
        <v>0.8495146552082008</v>
      </c>
      <c r="C145" s="571">
        <v>0.8495146552082008</v>
      </c>
      <c r="D145" s="571">
        <v>0.8495146552082008</v>
      </c>
      <c r="E145" s="571">
        <v>0.8495146552082008</v>
      </c>
      <c r="F145" s="571">
        <v>0.8495146552082008</v>
      </c>
      <c r="G145" s="571">
        <v>0.8495146552082008</v>
      </c>
      <c r="H145" s="571">
        <v>0.8495146552082008</v>
      </c>
      <c r="I145" s="571">
        <v>0.8495146552082008</v>
      </c>
      <c r="J145" s="571">
        <v>0.8495146552082008</v>
      </c>
      <c r="K145" s="571">
        <v>0.8495146552082008</v>
      </c>
      <c r="L145" s="571">
        <v>0.8495146552082008</v>
      </c>
      <c r="M145" s="571">
        <v>0.8495146552082008</v>
      </c>
      <c r="N145" s="571">
        <v>0.8495146552082008</v>
      </c>
      <c r="O145" s="571">
        <v>0.8495146552082008</v>
      </c>
      <c r="P145" s="571">
        <v>0.8495146552082008</v>
      </c>
      <c r="Q145" s="571">
        <v>0.8495146552082008</v>
      </c>
      <c r="R145" s="571">
        <v>0.8495146552082008</v>
      </c>
      <c r="S145" s="571">
        <v>0.8495146552082008</v>
      </c>
      <c r="T145" s="571">
        <v>0.8495146552082008</v>
      </c>
      <c r="U145" s="572">
        <v>0.8495146552082008</v>
      </c>
      <c r="V145" s="572">
        <v>0.8495146552082008</v>
      </c>
      <c r="W145" s="565"/>
      <c r="X145" s="565"/>
      <c r="Y145" s="565"/>
      <c r="Z145" s="565"/>
      <c r="AA145" s="565"/>
      <c r="AB145" s="565"/>
    </row>
    <row r="146" spans="1:28" s="535" customFormat="1" x14ac:dyDescent="0.15">
      <c r="A146" s="559">
        <v>1.4999999999999999E-2</v>
      </c>
      <c r="B146" s="571">
        <v>0.8495146552082008</v>
      </c>
      <c r="C146" s="571">
        <v>0.8495146552082008</v>
      </c>
      <c r="D146" s="571">
        <v>0.8495146552082008</v>
      </c>
      <c r="E146" s="571">
        <v>0.8495146552082008</v>
      </c>
      <c r="F146" s="571">
        <v>0.8495146552082008</v>
      </c>
      <c r="G146" s="571">
        <v>0.8495146552082008</v>
      </c>
      <c r="H146" s="571">
        <v>0.8495146552082008</v>
      </c>
      <c r="I146" s="571">
        <v>0.8495146552082008</v>
      </c>
      <c r="J146" s="571">
        <v>0.8495146552082008</v>
      </c>
      <c r="K146" s="571">
        <v>0.8495146552082008</v>
      </c>
      <c r="L146" s="571">
        <v>0.8495146552082008</v>
      </c>
      <c r="M146" s="571">
        <v>0.8495146552082008</v>
      </c>
      <c r="N146" s="571">
        <v>0.8495146552082008</v>
      </c>
      <c r="O146" s="571">
        <v>0.8495146552082008</v>
      </c>
      <c r="P146" s="571">
        <v>0.8495146552082008</v>
      </c>
      <c r="Q146" s="571">
        <v>0.8495146552082008</v>
      </c>
      <c r="R146" s="571">
        <v>0.8495146552082008</v>
      </c>
      <c r="S146" s="571">
        <v>0.8495146552082008</v>
      </c>
      <c r="T146" s="571">
        <v>0.8495146552082008</v>
      </c>
      <c r="U146" s="572">
        <v>0.8495146552082008</v>
      </c>
      <c r="V146" s="572">
        <v>0.8495146552082008</v>
      </c>
      <c r="W146" s="565"/>
      <c r="X146" s="565"/>
      <c r="Y146" s="565"/>
      <c r="Z146" s="565"/>
      <c r="AA146" s="565"/>
      <c r="AB146" s="565"/>
    </row>
    <row r="147" spans="1:28" s="535" customFormat="1" x14ac:dyDescent="0.15">
      <c r="A147" s="559">
        <v>0.02</v>
      </c>
      <c r="B147" s="571">
        <v>0.8495146552082008</v>
      </c>
      <c r="C147" s="571">
        <v>0.8495146552082008</v>
      </c>
      <c r="D147" s="571">
        <v>0.8495146552082008</v>
      </c>
      <c r="E147" s="571">
        <v>0.8495146552082008</v>
      </c>
      <c r="F147" s="571">
        <v>0.8495146552082008</v>
      </c>
      <c r="G147" s="571">
        <v>0.8495146552082008</v>
      </c>
      <c r="H147" s="571">
        <v>0.8495146552082008</v>
      </c>
      <c r="I147" s="571">
        <v>0.8495146552082008</v>
      </c>
      <c r="J147" s="571">
        <v>0.8495146552082008</v>
      </c>
      <c r="K147" s="571">
        <v>0.8495146552082008</v>
      </c>
      <c r="L147" s="571">
        <v>0.8495146552082008</v>
      </c>
      <c r="M147" s="571">
        <v>0.8495146552082008</v>
      </c>
      <c r="N147" s="571">
        <v>0.8495146552082008</v>
      </c>
      <c r="O147" s="571">
        <v>0.8495146552082008</v>
      </c>
      <c r="P147" s="571">
        <v>0.8495146552082008</v>
      </c>
      <c r="Q147" s="571">
        <v>0.8495146552082008</v>
      </c>
      <c r="R147" s="571">
        <v>0.8495146552082008</v>
      </c>
      <c r="S147" s="571">
        <v>0.8495146552082008</v>
      </c>
      <c r="T147" s="571">
        <v>0.8495146552082008</v>
      </c>
      <c r="U147" s="572">
        <v>0.8495146552082008</v>
      </c>
      <c r="V147" s="572">
        <v>0.8495146552082008</v>
      </c>
      <c r="W147" s="565"/>
      <c r="X147" s="565"/>
      <c r="Y147" s="565"/>
      <c r="Z147" s="565"/>
      <c r="AA147" s="565"/>
      <c r="AB147" s="565"/>
    </row>
    <row r="148" spans="1:28" s="535" customFormat="1" x14ac:dyDescent="0.15">
      <c r="A148" s="560">
        <v>2.5000000000000001E-2</v>
      </c>
      <c r="B148" s="571">
        <v>0.8495146552082008</v>
      </c>
      <c r="C148" s="571">
        <v>0.8495146552082008</v>
      </c>
      <c r="D148" s="571">
        <v>0.8495146552082008</v>
      </c>
      <c r="E148" s="571">
        <v>0.8495146552082008</v>
      </c>
      <c r="F148" s="571">
        <v>0.8495146552082008</v>
      </c>
      <c r="G148" s="571">
        <v>0.8495146552082008</v>
      </c>
      <c r="H148" s="571">
        <v>0.8495146552082008</v>
      </c>
      <c r="I148" s="571">
        <v>0.8495146552082008</v>
      </c>
      <c r="J148" s="571">
        <v>0.8495146552082008</v>
      </c>
      <c r="K148" s="571">
        <v>0.8495146552082008</v>
      </c>
      <c r="L148" s="571">
        <v>0.8495146552082008</v>
      </c>
      <c r="M148" s="571">
        <v>0.8495146552082008</v>
      </c>
      <c r="N148" s="571">
        <v>0.8495146552082008</v>
      </c>
      <c r="O148" s="571">
        <v>0.8495146552082008</v>
      </c>
      <c r="P148" s="571">
        <v>0.8495146552082008</v>
      </c>
      <c r="Q148" s="571">
        <v>0.8495146552082008</v>
      </c>
      <c r="R148" s="571">
        <v>0.8495146552082008</v>
      </c>
      <c r="S148" s="571">
        <v>0.8495146552082008</v>
      </c>
      <c r="T148" s="571">
        <v>0.8495146552082008</v>
      </c>
      <c r="U148" s="572">
        <v>0.8495146552082008</v>
      </c>
      <c r="V148" s="572">
        <v>0.8495146552082008</v>
      </c>
      <c r="W148" s="565"/>
      <c r="X148" s="565"/>
      <c r="Y148" s="565"/>
      <c r="Z148" s="565"/>
      <c r="AA148" s="565"/>
      <c r="AB148" s="565"/>
    </row>
    <row r="149" spans="1:28" s="535" customFormat="1" x14ac:dyDescent="0.15">
      <c r="A149" s="559">
        <v>0.03</v>
      </c>
      <c r="B149" s="571">
        <v>0.8495146552082008</v>
      </c>
      <c r="C149" s="571">
        <v>0.8495146552082008</v>
      </c>
      <c r="D149" s="571">
        <v>0.8495146552082008</v>
      </c>
      <c r="E149" s="571">
        <v>0.8495146552082008</v>
      </c>
      <c r="F149" s="571">
        <v>0.8495146552082008</v>
      </c>
      <c r="G149" s="571">
        <v>0.8495146552082008</v>
      </c>
      <c r="H149" s="571">
        <v>0.8495146552082008</v>
      </c>
      <c r="I149" s="571">
        <v>0.8495146552082008</v>
      </c>
      <c r="J149" s="571">
        <v>0.8495146552082008</v>
      </c>
      <c r="K149" s="571">
        <v>0.8495146552082008</v>
      </c>
      <c r="L149" s="571">
        <v>0.8495146552082008</v>
      </c>
      <c r="M149" s="571">
        <v>0.8495146552082008</v>
      </c>
      <c r="N149" s="571">
        <v>0.8495146552082008</v>
      </c>
      <c r="O149" s="571">
        <v>0.8495146552082008</v>
      </c>
      <c r="P149" s="571">
        <v>0.8495146552082008</v>
      </c>
      <c r="Q149" s="571">
        <v>0.8495146552082008</v>
      </c>
      <c r="R149" s="571">
        <v>0.8495146552082008</v>
      </c>
      <c r="S149" s="571">
        <v>0.8495146552082008</v>
      </c>
      <c r="T149" s="571">
        <v>0.8495146552082008</v>
      </c>
      <c r="U149" s="572">
        <v>0.8495146552082008</v>
      </c>
      <c r="V149" s="572">
        <v>0.8495146552082008</v>
      </c>
      <c r="W149" s="565"/>
      <c r="X149" s="565"/>
      <c r="Y149" s="565"/>
      <c r="Z149" s="565"/>
      <c r="AA149" s="565"/>
      <c r="AB149" s="565"/>
    </row>
    <row r="150" spans="1:28" s="535" customFormat="1" x14ac:dyDescent="0.15">
      <c r="A150" s="560">
        <v>3.5000000000000003E-2</v>
      </c>
      <c r="B150" s="571">
        <v>0.8495146552082008</v>
      </c>
      <c r="C150" s="571">
        <v>0.8495146552082008</v>
      </c>
      <c r="D150" s="571">
        <v>0.8495146552082008</v>
      </c>
      <c r="E150" s="571">
        <v>0.8495146552082008</v>
      </c>
      <c r="F150" s="571">
        <v>0.8495146552082008</v>
      </c>
      <c r="G150" s="571">
        <v>0.8495146552082008</v>
      </c>
      <c r="H150" s="571">
        <v>0.8495146552082008</v>
      </c>
      <c r="I150" s="571">
        <v>0.8495146552082008</v>
      </c>
      <c r="J150" s="571">
        <v>0.8495146552082008</v>
      </c>
      <c r="K150" s="571">
        <v>0.8495146552082008</v>
      </c>
      <c r="L150" s="571">
        <v>0.8495146552082008</v>
      </c>
      <c r="M150" s="571">
        <v>0.8495146552082008</v>
      </c>
      <c r="N150" s="571">
        <v>0.8495146552082008</v>
      </c>
      <c r="O150" s="571">
        <v>0.8495146552082008</v>
      </c>
      <c r="P150" s="571">
        <v>0.8495146552082008</v>
      </c>
      <c r="Q150" s="571">
        <v>0.8495146552082008</v>
      </c>
      <c r="R150" s="571">
        <v>0.8495146552082008</v>
      </c>
      <c r="S150" s="571">
        <v>0.8495146552082008</v>
      </c>
      <c r="T150" s="571">
        <v>0.8495146552082008</v>
      </c>
      <c r="U150" s="572">
        <v>0.8495146552082008</v>
      </c>
      <c r="V150" s="572">
        <v>0.8495146552082008</v>
      </c>
      <c r="W150" s="565"/>
      <c r="X150" s="565"/>
      <c r="Y150" s="565"/>
      <c r="Z150" s="565"/>
      <c r="AA150" s="565"/>
      <c r="AB150" s="565"/>
    </row>
    <row r="151" spans="1:28" s="535" customFormat="1" x14ac:dyDescent="0.15">
      <c r="A151" s="559">
        <v>0.04</v>
      </c>
      <c r="B151" s="571">
        <v>0.8495146552082008</v>
      </c>
      <c r="C151" s="571">
        <v>0.8495146552082008</v>
      </c>
      <c r="D151" s="571">
        <v>0.8495146552082008</v>
      </c>
      <c r="E151" s="571">
        <v>0.8495146552082008</v>
      </c>
      <c r="F151" s="571">
        <v>0.8495146552082008</v>
      </c>
      <c r="G151" s="571">
        <v>0.8495146552082008</v>
      </c>
      <c r="H151" s="571">
        <v>0.8495146552082008</v>
      </c>
      <c r="I151" s="571">
        <v>0.8495146552082008</v>
      </c>
      <c r="J151" s="571">
        <v>0.8495146552082008</v>
      </c>
      <c r="K151" s="571">
        <v>0.8495146552082008</v>
      </c>
      <c r="L151" s="571">
        <v>0.8495146552082008</v>
      </c>
      <c r="M151" s="571">
        <v>0.8495146552082008</v>
      </c>
      <c r="N151" s="571">
        <v>0.8495146552082008</v>
      </c>
      <c r="O151" s="571">
        <v>0.8495146552082008</v>
      </c>
      <c r="P151" s="571">
        <v>0.8495146552082008</v>
      </c>
      <c r="Q151" s="571">
        <v>0.8495146552082008</v>
      </c>
      <c r="R151" s="571">
        <v>0.8495146552082008</v>
      </c>
      <c r="S151" s="571">
        <v>0.8495146552082008</v>
      </c>
      <c r="T151" s="571">
        <v>0.8495146552082008</v>
      </c>
      <c r="U151" s="572">
        <v>0.8495146552082008</v>
      </c>
      <c r="V151" s="572">
        <v>0.8495146552082008</v>
      </c>
      <c r="W151" s="565"/>
      <c r="X151" s="565"/>
      <c r="Y151" s="565"/>
      <c r="Z151" s="565"/>
      <c r="AA151" s="565"/>
      <c r="AB151" s="565"/>
    </row>
    <row r="152" spans="1:28" s="535" customFormat="1" x14ac:dyDescent="0.15">
      <c r="A152" s="560">
        <v>4.4999999999999998E-2</v>
      </c>
      <c r="B152" s="571">
        <v>0.8495146552082008</v>
      </c>
      <c r="C152" s="571">
        <v>0.8495146552082008</v>
      </c>
      <c r="D152" s="571">
        <v>0.8495146552082008</v>
      </c>
      <c r="E152" s="571">
        <v>0.8495146552082008</v>
      </c>
      <c r="F152" s="571">
        <v>0.8495146552082008</v>
      </c>
      <c r="G152" s="571">
        <v>0.8495146552082008</v>
      </c>
      <c r="H152" s="571">
        <v>0.8495146552082008</v>
      </c>
      <c r="I152" s="571">
        <v>0.8495146552082008</v>
      </c>
      <c r="J152" s="571">
        <v>0.8495146552082008</v>
      </c>
      <c r="K152" s="571">
        <v>0.8495146552082008</v>
      </c>
      <c r="L152" s="571">
        <v>0.8495146552082008</v>
      </c>
      <c r="M152" s="571">
        <v>0.8495146552082008</v>
      </c>
      <c r="N152" s="571">
        <v>0.8495146552082008</v>
      </c>
      <c r="O152" s="571">
        <v>0.8495146552082008</v>
      </c>
      <c r="P152" s="571">
        <v>0.8495146552082008</v>
      </c>
      <c r="Q152" s="571">
        <v>0.8495146552082008</v>
      </c>
      <c r="R152" s="571">
        <v>0.8495146552082008</v>
      </c>
      <c r="S152" s="571">
        <v>0.8495146552082008</v>
      </c>
      <c r="T152" s="571">
        <v>0.8495146552082008</v>
      </c>
      <c r="U152" s="572">
        <v>0.8495146552082008</v>
      </c>
      <c r="V152" s="572">
        <v>0.8495146552082008</v>
      </c>
      <c r="W152" s="565"/>
      <c r="X152" s="565"/>
      <c r="Y152" s="565"/>
      <c r="Z152" s="565"/>
      <c r="AA152" s="565"/>
      <c r="AB152" s="565"/>
    </row>
    <row r="153" spans="1:28" s="535" customFormat="1" x14ac:dyDescent="0.15">
      <c r="A153" s="559">
        <v>0.05</v>
      </c>
      <c r="B153" s="571">
        <v>0.8495146552082008</v>
      </c>
      <c r="C153" s="571">
        <v>0.8495146552082008</v>
      </c>
      <c r="D153" s="571">
        <v>0.8495146552082008</v>
      </c>
      <c r="E153" s="571">
        <v>0.8495146552082008</v>
      </c>
      <c r="F153" s="571">
        <v>0.8495146552082008</v>
      </c>
      <c r="G153" s="571">
        <v>0.8495146552082008</v>
      </c>
      <c r="H153" s="571">
        <v>0.8495146552082008</v>
      </c>
      <c r="I153" s="571">
        <v>0.8495146552082008</v>
      </c>
      <c r="J153" s="571">
        <v>0.8495146552082008</v>
      </c>
      <c r="K153" s="571">
        <v>0.8495146552082008</v>
      </c>
      <c r="L153" s="571">
        <v>0.8495146552082008</v>
      </c>
      <c r="M153" s="571">
        <v>0.8495146552082008</v>
      </c>
      <c r="N153" s="571">
        <v>0.8495146552082008</v>
      </c>
      <c r="O153" s="571">
        <v>0.8495146552082008</v>
      </c>
      <c r="P153" s="571">
        <v>0.8495146552082008</v>
      </c>
      <c r="Q153" s="571">
        <v>0.8495146552082008</v>
      </c>
      <c r="R153" s="571">
        <v>0.8495146552082008</v>
      </c>
      <c r="S153" s="571">
        <v>0.8495146552082008</v>
      </c>
      <c r="T153" s="571">
        <v>0.8495146552082008</v>
      </c>
      <c r="U153" s="572">
        <v>0.8495146552082008</v>
      </c>
      <c r="V153" s="572">
        <v>0.8495146552082008</v>
      </c>
      <c r="W153" s="565"/>
      <c r="X153" s="565"/>
      <c r="Y153" s="565"/>
      <c r="Z153" s="565"/>
      <c r="AA153" s="565"/>
      <c r="AB153" s="565"/>
    </row>
    <row r="154" spans="1:28" s="535" customFormat="1" x14ac:dyDescent="0.15">
      <c r="A154" s="560">
        <v>5.5E-2</v>
      </c>
      <c r="B154" s="571">
        <v>0.8495146552082008</v>
      </c>
      <c r="C154" s="571">
        <v>0.8495146552082008</v>
      </c>
      <c r="D154" s="571">
        <v>0.8495146552082008</v>
      </c>
      <c r="E154" s="571">
        <v>0.8495146552082008</v>
      </c>
      <c r="F154" s="571">
        <v>0.8495146552082008</v>
      </c>
      <c r="G154" s="571">
        <v>0.8495146552082008</v>
      </c>
      <c r="H154" s="571">
        <v>0.8495146552082008</v>
      </c>
      <c r="I154" s="571">
        <v>0.8495146552082008</v>
      </c>
      <c r="J154" s="571">
        <v>0.8495146552082008</v>
      </c>
      <c r="K154" s="571">
        <v>0.8495146552082008</v>
      </c>
      <c r="L154" s="571">
        <v>0.8495146552082008</v>
      </c>
      <c r="M154" s="571">
        <v>0.8495146552082008</v>
      </c>
      <c r="N154" s="571">
        <v>0.8495146552082008</v>
      </c>
      <c r="O154" s="571">
        <v>0.8495146552082008</v>
      </c>
      <c r="P154" s="571">
        <v>0.8495146552082008</v>
      </c>
      <c r="Q154" s="571">
        <v>0.8495146552082008</v>
      </c>
      <c r="R154" s="571">
        <v>0.8495146552082008</v>
      </c>
      <c r="S154" s="571">
        <v>0.8495146552082008</v>
      </c>
      <c r="T154" s="571">
        <v>0.8495146552082008</v>
      </c>
      <c r="U154" s="572">
        <v>0.8495146552082008</v>
      </c>
      <c r="V154" s="572">
        <v>0.8495146552082008</v>
      </c>
      <c r="W154" s="565"/>
      <c r="X154" s="565"/>
      <c r="Y154" s="565"/>
      <c r="Z154" s="565"/>
      <c r="AA154" s="565"/>
      <c r="AB154" s="565"/>
    </row>
    <row r="155" spans="1:28" s="535" customFormat="1" x14ac:dyDescent="0.15">
      <c r="A155" s="559">
        <v>0.06</v>
      </c>
      <c r="B155" s="571">
        <v>0.8495146552082008</v>
      </c>
      <c r="C155" s="571">
        <v>0.8495146552082008</v>
      </c>
      <c r="D155" s="571">
        <v>0.8495146552082008</v>
      </c>
      <c r="E155" s="571">
        <v>0.8495146552082008</v>
      </c>
      <c r="F155" s="571">
        <v>0.8495146552082008</v>
      </c>
      <c r="G155" s="571">
        <v>0.8495146552082008</v>
      </c>
      <c r="H155" s="571">
        <v>0.8495146552082008</v>
      </c>
      <c r="I155" s="571">
        <v>0.8495146552082008</v>
      </c>
      <c r="J155" s="571">
        <v>0.8495146552082008</v>
      </c>
      <c r="K155" s="571">
        <v>0.8495146552082008</v>
      </c>
      <c r="L155" s="571">
        <v>0.8495146552082008</v>
      </c>
      <c r="M155" s="571">
        <v>0.8495146552082008</v>
      </c>
      <c r="N155" s="571">
        <v>0.8495146552082008</v>
      </c>
      <c r="O155" s="571">
        <v>0.8495146552082008</v>
      </c>
      <c r="P155" s="571">
        <v>0.8495146552082008</v>
      </c>
      <c r="Q155" s="571">
        <v>0.8495146552082008</v>
      </c>
      <c r="R155" s="571">
        <v>0.8495146552082008</v>
      </c>
      <c r="S155" s="571">
        <v>0.8495146552082008</v>
      </c>
      <c r="T155" s="571">
        <v>0.8495146552082008</v>
      </c>
      <c r="U155" s="572">
        <v>0.8495146552082008</v>
      </c>
      <c r="V155" s="572">
        <v>0.8495146552082008</v>
      </c>
      <c r="W155" s="565"/>
      <c r="X155" s="565"/>
      <c r="Y155" s="565"/>
      <c r="Z155" s="565"/>
      <c r="AA155" s="565"/>
      <c r="AB155" s="565"/>
    </row>
    <row r="156" spans="1:28" s="535" customFormat="1" x14ac:dyDescent="0.15">
      <c r="A156" s="560">
        <v>0</v>
      </c>
      <c r="B156" s="571">
        <v>3.9884430983276988E-3</v>
      </c>
      <c r="C156" s="571">
        <v>0.19942215491638493</v>
      </c>
      <c r="D156" s="571">
        <v>0.39884430983276986</v>
      </c>
      <c r="E156" s="571">
        <v>0.59826646474915479</v>
      </c>
      <c r="F156" s="571">
        <v>0.79768861966553972</v>
      </c>
      <c r="G156" s="571">
        <v>0.99711077458192465</v>
      </c>
      <c r="H156" s="571">
        <v>1.1965329294983096</v>
      </c>
      <c r="I156" s="571">
        <v>1.3959550844146942</v>
      </c>
      <c r="J156" s="571">
        <v>1.5953772393310794</v>
      </c>
      <c r="K156" s="571">
        <v>1.7947993942474645</v>
      </c>
      <c r="L156" s="571">
        <v>1.9942215491638493</v>
      </c>
      <c r="M156" s="571">
        <v>2.1936437040802343</v>
      </c>
      <c r="N156" s="571">
        <v>2.3930658589966192</v>
      </c>
      <c r="O156" s="571">
        <v>2.592488013913004</v>
      </c>
      <c r="P156" s="571">
        <v>2.7919101688293884</v>
      </c>
      <c r="Q156" s="571">
        <v>2.9913323237457741</v>
      </c>
      <c r="R156" s="571">
        <v>3.1907544786621589</v>
      </c>
      <c r="S156" s="571">
        <v>3.3901766335785433</v>
      </c>
      <c r="T156" s="571">
        <v>3.589598788494929</v>
      </c>
      <c r="U156" s="572">
        <v>3.7890209434113133</v>
      </c>
      <c r="V156" s="572">
        <v>3.9884430983276986</v>
      </c>
      <c r="W156" s="565"/>
      <c r="X156" s="565"/>
      <c r="Y156" s="565"/>
      <c r="Z156" s="565"/>
      <c r="AA156" s="565"/>
      <c r="AB156" s="565"/>
    </row>
    <row r="157" spans="1:28" s="535" customFormat="1" x14ac:dyDescent="0.15">
      <c r="A157" s="559">
        <v>0</v>
      </c>
      <c r="B157" s="571">
        <v>4.9446062055608642E-3</v>
      </c>
      <c r="C157" s="571">
        <v>0.24723031027804321</v>
      </c>
      <c r="D157" s="571">
        <v>0.49446062055608642</v>
      </c>
      <c r="E157" s="571">
        <v>0.74169093083412951</v>
      </c>
      <c r="F157" s="571">
        <v>0.98892124111217283</v>
      </c>
      <c r="G157" s="571">
        <v>1.2361515513902159</v>
      </c>
      <c r="H157" s="571">
        <v>1.483381861668259</v>
      </c>
      <c r="I157" s="571">
        <v>1.7306121719463023</v>
      </c>
      <c r="J157" s="571">
        <v>1.9778424822243457</v>
      </c>
      <c r="K157" s="571">
        <v>2.2250727925023885</v>
      </c>
      <c r="L157" s="571">
        <v>2.4723031027804319</v>
      </c>
      <c r="M157" s="571">
        <v>2.7195334130584752</v>
      </c>
      <c r="N157" s="571">
        <v>2.9667637233365181</v>
      </c>
      <c r="O157" s="571">
        <v>3.2139940336145614</v>
      </c>
      <c r="P157" s="571">
        <v>3.4612243438926047</v>
      </c>
      <c r="Q157" s="571">
        <v>3.7084546541706476</v>
      </c>
      <c r="R157" s="571">
        <v>3.9556849644486913</v>
      </c>
      <c r="S157" s="571">
        <v>4.2029152747267347</v>
      </c>
      <c r="T157" s="571">
        <v>4.4501455850047771</v>
      </c>
      <c r="U157" s="572">
        <v>4.6973758952828204</v>
      </c>
      <c r="V157" s="572">
        <v>4.9446062055608637</v>
      </c>
      <c r="W157" s="565"/>
      <c r="X157" s="565"/>
      <c r="Y157" s="565"/>
      <c r="Z157" s="565"/>
      <c r="AA157" s="565"/>
      <c r="AB157" s="565"/>
    </row>
    <row r="158" spans="1:28" s="535" customFormat="1" x14ac:dyDescent="0.15">
      <c r="A158" s="560">
        <v>0</v>
      </c>
      <c r="B158" s="571">
        <v>6.0137060700031523E-3</v>
      </c>
      <c r="C158" s="571">
        <v>0.30068530350015765</v>
      </c>
      <c r="D158" s="571">
        <v>0.6013706070003153</v>
      </c>
      <c r="E158" s="571">
        <v>0.90205591050047274</v>
      </c>
      <c r="F158" s="571">
        <v>1.2027412140006306</v>
      </c>
      <c r="G158" s="571">
        <v>1.5034265175007882</v>
      </c>
      <c r="H158" s="571">
        <v>1.8041118210009455</v>
      </c>
      <c r="I158" s="571">
        <v>2.1047971245011032</v>
      </c>
      <c r="J158" s="571">
        <v>2.4054824280012612</v>
      </c>
      <c r="K158" s="571">
        <v>2.7061677315014183</v>
      </c>
      <c r="L158" s="571">
        <v>3.0068530350015763</v>
      </c>
      <c r="M158" s="571">
        <v>3.3075383385017338</v>
      </c>
      <c r="N158" s="571">
        <v>3.6082236420018909</v>
      </c>
      <c r="O158" s="571">
        <v>3.9089089455020494</v>
      </c>
      <c r="P158" s="571">
        <v>4.2095942490022065</v>
      </c>
      <c r="Q158" s="571">
        <v>4.5102795525023636</v>
      </c>
      <c r="R158" s="571">
        <v>4.8109648560025224</v>
      </c>
      <c r="S158" s="571">
        <v>5.1116501595026795</v>
      </c>
      <c r="T158" s="571">
        <v>5.4123354630028366</v>
      </c>
      <c r="U158" s="572">
        <v>5.7130207665029946</v>
      </c>
      <c r="V158" s="572">
        <v>6.0137060700031526</v>
      </c>
      <c r="W158" s="565"/>
      <c r="X158" s="565"/>
      <c r="Y158" s="565"/>
      <c r="Z158" s="565"/>
      <c r="AA158" s="565"/>
      <c r="AB158" s="565"/>
    </row>
    <row r="159" spans="1:28" s="400" customFormat="1" x14ac:dyDescent="0.15">
      <c r="A159" s="512"/>
      <c r="B159" s="513"/>
      <c r="C159" s="513"/>
      <c r="D159" s="513"/>
      <c r="E159" s="513"/>
      <c r="F159" s="513"/>
      <c r="G159" s="513"/>
      <c r="H159" s="513"/>
      <c r="I159" s="513"/>
      <c r="J159" s="513"/>
      <c r="K159" s="513"/>
      <c r="L159" s="513"/>
      <c r="M159" s="513"/>
      <c r="N159" s="513"/>
      <c r="O159" s="513"/>
      <c r="P159" s="513"/>
      <c r="Q159" s="513"/>
      <c r="R159" s="513"/>
      <c r="S159" s="513"/>
      <c r="T159" s="513"/>
      <c r="U159" s="513"/>
    </row>
    <row r="161" spans="1:7" x14ac:dyDescent="0.15">
      <c r="A161" s="573" t="s">
        <v>490</v>
      </c>
      <c r="B161" s="574"/>
      <c r="C161" s="22"/>
      <c r="D161" s="22"/>
      <c r="E161" s="22"/>
      <c r="F161" s="22"/>
      <c r="G161" s="390"/>
    </row>
    <row r="162" spans="1:7" x14ac:dyDescent="0.15">
      <c r="A162" s="405"/>
      <c r="B162" s="405"/>
      <c r="C162" s="575"/>
      <c r="D162" s="575"/>
      <c r="E162" s="575"/>
      <c r="F162" s="576"/>
      <c r="G162" s="187"/>
    </row>
    <row r="163" spans="1:7" ht="14" x14ac:dyDescent="0.15">
      <c r="A163" s="405"/>
      <c r="B163" s="405" t="s">
        <v>491</v>
      </c>
      <c r="C163" s="577" t="s">
        <v>492</v>
      </c>
      <c r="D163" s="578" t="s">
        <v>480</v>
      </c>
      <c r="E163" s="575" t="s">
        <v>487</v>
      </c>
      <c r="F163" s="575" t="s">
        <v>488</v>
      </c>
      <c r="G163" s="187"/>
    </row>
    <row r="164" spans="1:7" x14ac:dyDescent="0.15">
      <c r="A164" s="579" t="s">
        <v>479</v>
      </c>
      <c r="B164" s="580">
        <f t="shared" ref="B164:B170" si="5">D164-E164</f>
        <v>-77.63</v>
      </c>
      <c r="C164" s="581">
        <f t="shared" ref="C164:C170" si="6">F164-E164</f>
        <v>77.639999999999986</v>
      </c>
      <c r="D164" s="582">
        <v>469.01</v>
      </c>
      <c r="E164" s="582">
        <v>546.64</v>
      </c>
      <c r="F164" s="582">
        <v>624.28</v>
      </c>
      <c r="G164" s="187"/>
    </row>
    <row r="165" spans="1:7" x14ac:dyDescent="0.15">
      <c r="A165" s="583" t="s">
        <v>484</v>
      </c>
      <c r="B165" s="580">
        <f t="shared" si="5"/>
        <v>-52.649999999999977</v>
      </c>
      <c r="C165" s="581">
        <f t="shared" si="6"/>
        <v>52.659999999999968</v>
      </c>
      <c r="D165" s="584">
        <v>493.99</v>
      </c>
      <c r="E165" s="582">
        <v>546.64</v>
      </c>
      <c r="F165" s="582">
        <v>599.29999999999995</v>
      </c>
      <c r="G165" s="187"/>
    </row>
    <row r="166" spans="1:7" x14ac:dyDescent="0.15">
      <c r="A166" s="579" t="s">
        <v>482</v>
      </c>
      <c r="B166" s="580">
        <f t="shared" si="5"/>
        <v>-42.409999999999968</v>
      </c>
      <c r="C166" s="581">
        <f t="shared" si="6"/>
        <v>42.419999999999959</v>
      </c>
      <c r="D166" s="582">
        <v>504.23</v>
      </c>
      <c r="E166" s="582">
        <v>546.64</v>
      </c>
      <c r="F166" s="582">
        <v>589.05999999999995</v>
      </c>
      <c r="G166" s="187"/>
    </row>
    <row r="167" spans="1:7" x14ac:dyDescent="0.15">
      <c r="A167" s="583" t="s">
        <v>485</v>
      </c>
      <c r="B167" s="580">
        <f t="shared" si="5"/>
        <v>-6.2400000000000091</v>
      </c>
      <c r="C167" s="581">
        <f t="shared" si="6"/>
        <v>18.730000000000018</v>
      </c>
      <c r="D167" s="584">
        <v>540.4</v>
      </c>
      <c r="E167" s="582">
        <v>546.64</v>
      </c>
      <c r="F167" s="582">
        <v>565.37</v>
      </c>
      <c r="G167" s="187"/>
    </row>
    <row r="168" spans="1:7" x14ac:dyDescent="0.15">
      <c r="A168" s="585" t="s">
        <v>483</v>
      </c>
      <c r="B168" s="580">
        <f t="shared" si="5"/>
        <v>-9.3600000000000136</v>
      </c>
      <c r="C168" s="581">
        <f t="shared" si="6"/>
        <v>9.3700000000000045</v>
      </c>
      <c r="D168" s="582">
        <v>537.28</v>
      </c>
      <c r="E168" s="582">
        <v>546.64</v>
      </c>
      <c r="F168" s="582">
        <v>556.01</v>
      </c>
      <c r="G168" s="187"/>
    </row>
    <row r="169" spans="1:7" x14ac:dyDescent="0.15">
      <c r="A169" s="586" t="s">
        <v>486</v>
      </c>
      <c r="B169" s="580">
        <f t="shared" si="5"/>
        <v>-4.4800000000000182</v>
      </c>
      <c r="C169" s="581">
        <f t="shared" si="6"/>
        <v>4.4900000000000091</v>
      </c>
      <c r="D169" s="582">
        <v>542.16</v>
      </c>
      <c r="E169" s="582">
        <v>546.64</v>
      </c>
      <c r="F169" s="582">
        <v>551.13</v>
      </c>
      <c r="G169" s="187"/>
    </row>
    <row r="170" spans="1:7" x14ac:dyDescent="0.15">
      <c r="A170" s="586" t="s">
        <v>481</v>
      </c>
      <c r="B170" s="580">
        <f t="shared" si="5"/>
        <v>-3.8600000000000136</v>
      </c>
      <c r="C170" s="581">
        <f t="shared" si="6"/>
        <v>3.8700000000000045</v>
      </c>
      <c r="D170" s="582">
        <v>542.78</v>
      </c>
      <c r="E170" s="582">
        <v>546.64</v>
      </c>
      <c r="F170" s="582">
        <v>550.51</v>
      </c>
      <c r="G170" s="187"/>
    </row>
    <row r="171" spans="1:7" x14ac:dyDescent="0.15">
      <c r="A171" s="556"/>
      <c r="B171" s="100"/>
      <c r="C171" s="187"/>
      <c r="D171" s="187"/>
      <c r="E171" s="187"/>
      <c r="F171" s="198"/>
      <c r="G171" s="187"/>
    </row>
    <row r="172" spans="1:7" x14ac:dyDescent="0.15">
      <c r="A172" s="100"/>
      <c r="B172" s="100"/>
      <c r="C172" s="187"/>
      <c r="D172" s="187"/>
      <c r="E172" s="187"/>
      <c r="F172" s="198"/>
      <c r="G172" s="187"/>
    </row>
    <row r="173" spans="1:7" x14ac:dyDescent="0.15">
      <c r="A173" s="221"/>
      <c r="B173" s="221"/>
      <c r="C173" s="221"/>
      <c r="D173" s="221"/>
      <c r="E173" s="221"/>
      <c r="F173" s="221"/>
      <c r="G173" s="221"/>
    </row>
    <row r="174" spans="1:7" x14ac:dyDescent="0.15">
      <c r="A174" s="221"/>
      <c r="B174" s="221"/>
      <c r="C174" s="221"/>
      <c r="D174" s="221"/>
      <c r="E174" s="221"/>
      <c r="F174" s="221"/>
      <c r="G174" s="221"/>
    </row>
    <row r="175" spans="1:7" x14ac:dyDescent="0.15">
      <c r="A175" s="221"/>
      <c r="B175" s="221"/>
      <c r="C175" s="221"/>
      <c r="D175" s="221"/>
      <c r="E175" s="221"/>
      <c r="F175" s="221"/>
      <c r="G175" s="221"/>
    </row>
    <row r="176" spans="1:7" x14ac:dyDescent="0.15">
      <c r="A176" s="221"/>
      <c r="B176" s="221"/>
      <c r="C176" s="221"/>
      <c r="D176" s="221"/>
      <c r="E176" s="221"/>
      <c r="F176" s="221"/>
      <c r="G176" s="221"/>
    </row>
    <row r="177" spans="1:7" x14ac:dyDescent="0.15">
      <c r="A177" s="221"/>
      <c r="B177" s="221"/>
      <c r="C177" s="221"/>
      <c r="D177" s="221"/>
      <c r="E177" s="221"/>
      <c r="F177" s="221"/>
      <c r="G177" s="221"/>
    </row>
    <row r="178" spans="1:7" x14ac:dyDescent="0.15">
      <c r="A178" s="221"/>
      <c r="B178" s="221"/>
      <c r="C178" s="221"/>
      <c r="D178" s="221"/>
      <c r="E178" s="221"/>
      <c r="F178" s="221"/>
      <c r="G178" s="221"/>
    </row>
    <row r="179" spans="1:7" x14ac:dyDescent="0.15">
      <c r="A179" s="221"/>
      <c r="B179" s="221"/>
      <c r="C179" s="221"/>
      <c r="D179" s="221"/>
      <c r="E179" s="221"/>
      <c r="F179" s="221"/>
      <c r="G179" s="221"/>
    </row>
    <row r="180" spans="1:7" x14ac:dyDescent="0.15">
      <c r="A180" s="221"/>
      <c r="B180" s="221"/>
      <c r="C180" s="221"/>
      <c r="D180" s="221"/>
      <c r="E180" s="221"/>
      <c r="F180" s="221"/>
      <c r="G180" s="221"/>
    </row>
    <row r="181" spans="1:7" x14ac:dyDescent="0.15">
      <c r="A181" s="94"/>
      <c r="B181" s="94"/>
      <c r="C181" s="221"/>
      <c r="D181" s="221"/>
      <c r="E181" s="221"/>
      <c r="F181" s="221"/>
      <c r="G181" s="221"/>
    </row>
    <row r="182" spans="1:7" x14ac:dyDescent="0.15">
      <c r="A182" s="94"/>
      <c r="B182" s="94"/>
      <c r="C182" s="221"/>
      <c r="D182" s="221"/>
      <c r="E182" s="221"/>
      <c r="F182" s="221"/>
      <c r="G182" s="221"/>
    </row>
    <row r="183" spans="1:7" x14ac:dyDescent="0.15">
      <c r="A183" s="94"/>
      <c r="B183" s="94"/>
      <c r="C183" s="221"/>
      <c r="D183" s="221"/>
      <c r="E183" s="221"/>
      <c r="F183" s="221"/>
      <c r="G183" s="221"/>
    </row>
    <row r="184" spans="1:7" x14ac:dyDescent="0.15">
      <c r="A184" s="94"/>
      <c r="B184" s="94"/>
      <c r="C184" s="221"/>
      <c r="D184" s="221"/>
      <c r="E184" s="221"/>
      <c r="F184" s="221"/>
      <c r="G184" s="221"/>
    </row>
    <row r="185" spans="1:7" x14ac:dyDescent="0.15">
      <c r="A185" s="225"/>
      <c r="B185" s="225"/>
      <c r="C185" s="221"/>
      <c r="D185" s="221"/>
      <c r="E185" s="221"/>
      <c r="F185" s="221"/>
      <c r="G185" s="221"/>
    </row>
    <row r="186" spans="1:7" x14ac:dyDescent="0.15">
      <c r="A186" s="93"/>
      <c r="B186" s="225"/>
      <c r="C186" s="221"/>
      <c r="D186" s="221"/>
      <c r="E186" s="221"/>
      <c r="F186" s="221"/>
      <c r="G186" s="221"/>
    </row>
    <row r="187" spans="1:7" x14ac:dyDescent="0.15">
      <c r="A187" s="93"/>
      <c r="B187" s="225"/>
      <c r="C187" s="221"/>
      <c r="D187" s="221"/>
      <c r="E187" s="221"/>
      <c r="F187" s="221"/>
      <c r="G187" s="221"/>
    </row>
    <row r="188" spans="1:7" x14ac:dyDescent="0.15">
      <c r="A188" s="93"/>
      <c r="B188" s="225"/>
      <c r="C188" s="221"/>
      <c r="D188" s="221"/>
      <c r="E188" s="221"/>
      <c r="F188" s="221"/>
      <c r="G188" s="221"/>
    </row>
    <row r="189" spans="1:7" x14ac:dyDescent="0.15">
      <c r="A189" s="93"/>
      <c r="B189" s="95"/>
      <c r="C189" s="221"/>
      <c r="D189" s="221"/>
      <c r="E189" s="221"/>
      <c r="F189" s="221"/>
      <c r="G189" s="221"/>
    </row>
    <row r="190" spans="1:7" x14ac:dyDescent="0.15">
      <c r="A190" s="93"/>
      <c r="B190" s="93"/>
      <c r="C190" s="221"/>
      <c r="D190" s="221"/>
      <c r="E190" s="221"/>
      <c r="F190" s="221"/>
      <c r="G190" s="221"/>
    </row>
    <row r="191" spans="1:7" x14ac:dyDescent="0.15">
      <c r="A191" s="93"/>
      <c r="B191" s="93"/>
      <c r="C191" s="221"/>
      <c r="D191" s="221"/>
      <c r="E191" s="221"/>
      <c r="F191" s="221"/>
      <c r="G191" s="221"/>
    </row>
    <row r="192" spans="1:7" x14ac:dyDescent="0.15">
      <c r="A192" s="93"/>
      <c r="B192" s="93"/>
      <c r="C192" s="221"/>
      <c r="D192" s="221"/>
      <c r="E192" s="221"/>
      <c r="F192" s="221"/>
      <c r="G192" s="221"/>
    </row>
    <row r="193" spans="1:7" x14ac:dyDescent="0.15">
      <c r="A193" s="3"/>
      <c r="B193" s="93"/>
      <c r="C193" s="221"/>
      <c r="D193" s="221"/>
      <c r="E193" s="221"/>
      <c r="F193" s="221"/>
      <c r="G193" s="221"/>
    </row>
    <row r="194" spans="1:7" x14ac:dyDescent="0.15">
      <c r="A194" s="3"/>
      <c r="B194" s="93"/>
      <c r="C194" s="221"/>
      <c r="D194" s="221"/>
      <c r="E194" s="221"/>
      <c r="F194" s="221"/>
      <c r="G194" s="221"/>
    </row>
    <row r="195" spans="1:7" x14ac:dyDescent="0.15">
      <c r="A195" s="93"/>
      <c r="B195" s="93"/>
      <c r="C195" s="221"/>
      <c r="D195" s="221"/>
      <c r="E195" s="221"/>
      <c r="F195" s="221"/>
      <c r="G195" s="221"/>
    </row>
    <row r="196" spans="1:7" x14ac:dyDescent="0.15">
      <c r="A196" s="221"/>
      <c r="B196" s="221"/>
      <c r="C196" s="221"/>
      <c r="D196" s="221"/>
      <c r="E196" s="221"/>
      <c r="F196" s="221"/>
      <c r="G196" s="221"/>
    </row>
    <row r="197" spans="1:7" x14ac:dyDescent="0.15">
      <c r="A197" s="221"/>
      <c r="B197" s="221"/>
      <c r="C197" s="221"/>
      <c r="D197" s="221"/>
      <c r="E197" s="221"/>
      <c r="F197" s="221"/>
      <c r="G197" s="221"/>
    </row>
    <row r="198" spans="1:7" x14ac:dyDescent="0.15">
      <c r="A198" s="221"/>
      <c r="B198" s="221"/>
      <c r="C198" s="221"/>
      <c r="D198" s="221"/>
      <c r="E198" s="221"/>
      <c r="F198" s="221"/>
      <c r="G198" s="221"/>
    </row>
    <row r="199" spans="1:7" x14ac:dyDescent="0.15">
      <c r="A199" s="221"/>
      <c r="B199" s="221"/>
      <c r="C199" s="221"/>
      <c r="D199" s="221"/>
      <c r="E199" s="221"/>
      <c r="F199" s="221"/>
      <c r="G199" s="221"/>
    </row>
    <row r="200" spans="1:7" x14ac:dyDescent="0.15">
      <c r="A200" s="221"/>
      <c r="B200" s="221"/>
      <c r="C200" s="221"/>
      <c r="D200" s="221"/>
      <c r="E200" s="221"/>
      <c r="F200" s="221"/>
      <c r="G200" s="221"/>
    </row>
    <row r="201" spans="1:7" x14ac:dyDescent="0.15">
      <c r="A201" s="587" t="s">
        <v>489</v>
      </c>
      <c r="B201" s="220"/>
      <c r="C201" s="220"/>
      <c r="D201" s="220"/>
      <c r="E201" s="220"/>
      <c r="F201" s="220"/>
      <c r="G201" s="221"/>
    </row>
    <row r="202" spans="1:7" x14ac:dyDescent="0.15">
      <c r="A202" s="218"/>
      <c r="B202" s="588"/>
      <c r="C202" s="213"/>
      <c r="D202" s="589"/>
      <c r="E202" s="43"/>
      <c r="F202" s="43"/>
      <c r="G202" s="246"/>
    </row>
    <row r="203" spans="1:7" ht="14" x14ac:dyDescent="0.15">
      <c r="A203" s="588"/>
      <c r="B203" s="588" t="s">
        <v>491</v>
      </c>
      <c r="C203" s="224" t="s">
        <v>492</v>
      </c>
      <c r="D203" s="590" t="s">
        <v>480</v>
      </c>
      <c r="E203" s="213" t="s">
        <v>487</v>
      </c>
      <c r="F203" s="213" t="s">
        <v>488</v>
      </c>
      <c r="G203" s="221"/>
    </row>
    <row r="204" spans="1:7" x14ac:dyDescent="0.15">
      <c r="A204" s="591" t="s">
        <v>479</v>
      </c>
      <c r="B204" s="592">
        <f t="shared" ref="B204:B210" si="7">D204-E204</f>
        <v>-31.049999999999997</v>
      </c>
      <c r="C204" s="593">
        <f t="shared" ref="C204:C210" si="8">F204-E204</f>
        <v>31.060000000000002</v>
      </c>
      <c r="D204" s="594">
        <v>84.26</v>
      </c>
      <c r="E204" s="594">
        <v>115.31</v>
      </c>
      <c r="F204" s="594">
        <v>146.37</v>
      </c>
      <c r="G204" s="221"/>
    </row>
    <row r="205" spans="1:7" x14ac:dyDescent="0.15">
      <c r="A205" s="595" t="s">
        <v>484</v>
      </c>
      <c r="B205" s="592">
        <f t="shared" si="7"/>
        <v>-21.060000000000002</v>
      </c>
      <c r="C205" s="593">
        <f t="shared" si="8"/>
        <v>21.060000000000002</v>
      </c>
      <c r="D205" s="596">
        <v>94.25</v>
      </c>
      <c r="E205" s="594">
        <v>115.31</v>
      </c>
      <c r="F205" s="594">
        <v>136.37</v>
      </c>
      <c r="G205" s="221"/>
    </row>
    <row r="206" spans="1:7" x14ac:dyDescent="0.15">
      <c r="A206" s="591" t="s">
        <v>482</v>
      </c>
      <c r="B206" s="592">
        <f t="shared" si="7"/>
        <v>-6.7199999999999989</v>
      </c>
      <c r="C206" s="593">
        <f t="shared" si="8"/>
        <v>6.730000000000004</v>
      </c>
      <c r="D206" s="594">
        <v>108.59</v>
      </c>
      <c r="E206" s="594">
        <v>115.31</v>
      </c>
      <c r="F206" s="594">
        <v>122.04</v>
      </c>
      <c r="G206" s="221"/>
    </row>
    <row r="207" spans="1:7" x14ac:dyDescent="0.15">
      <c r="A207" s="595" t="s">
        <v>485</v>
      </c>
      <c r="B207" s="592">
        <f t="shared" si="7"/>
        <v>-0.99000000000000909</v>
      </c>
      <c r="C207" s="593">
        <f t="shared" si="8"/>
        <v>2.9699999999999989</v>
      </c>
      <c r="D207" s="594">
        <v>114.32</v>
      </c>
      <c r="E207" s="594">
        <v>115.31</v>
      </c>
      <c r="F207" s="596">
        <v>118.28</v>
      </c>
      <c r="G207" s="221"/>
    </row>
    <row r="208" spans="1:7" x14ac:dyDescent="0.15">
      <c r="A208" s="597" t="s">
        <v>483</v>
      </c>
      <c r="B208" s="592">
        <f t="shared" si="7"/>
        <v>-1.480000000000004</v>
      </c>
      <c r="C208" s="593">
        <f t="shared" si="8"/>
        <v>1.4899999999999949</v>
      </c>
      <c r="D208" s="594">
        <v>113.83</v>
      </c>
      <c r="E208" s="594">
        <v>115.31</v>
      </c>
      <c r="F208" s="594">
        <v>116.8</v>
      </c>
      <c r="G208" s="221"/>
    </row>
    <row r="209" spans="1:7" x14ac:dyDescent="0.15">
      <c r="A209" s="598" t="s">
        <v>486</v>
      </c>
      <c r="B209" s="592">
        <f t="shared" si="7"/>
        <v>-0.71000000000000796</v>
      </c>
      <c r="C209" s="593">
        <f t="shared" si="8"/>
        <v>0.70999999999999375</v>
      </c>
      <c r="D209" s="594">
        <v>114.6</v>
      </c>
      <c r="E209" s="594">
        <v>115.31</v>
      </c>
      <c r="F209" s="594">
        <v>116.02</v>
      </c>
      <c r="G209" s="246"/>
    </row>
    <row r="210" spans="1:7" x14ac:dyDescent="0.15">
      <c r="A210" s="598" t="s">
        <v>481</v>
      </c>
      <c r="B210" s="592">
        <f t="shared" si="7"/>
        <v>-0.60999999999999943</v>
      </c>
      <c r="C210" s="593">
        <f t="shared" si="8"/>
        <v>0.62000000000000455</v>
      </c>
      <c r="D210" s="594">
        <v>114.7</v>
      </c>
      <c r="E210" s="594">
        <v>115.31</v>
      </c>
      <c r="F210" s="594">
        <v>115.93</v>
      </c>
      <c r="G210" s="221"/>
    </row>
    <row r="211" spans="1:7" x14ac:dyDescent="0.15">
      <c r="A211" s="221"/>
      <c r="B211" s="221"/>
      <c r="C211" s="221"/>
      <c r="D211" s="221"/>
      <c r="E211" s="221"/>
      <c r="F211" s="221"/>
      <c r="G211" s="221"/>
    </row>
    <row r="212" spans="1:7" x14ac:dyDescent="0.15">
      <c r="A212" s="100"/>
      <c r="B212" s="93"/>
      <c r="C212" s="221"/>
      <c r="D212" s="221"/>
      <c r="E212" s="221"/>
      <c r="F212" s="221"/>
      <c r="G212" s="221"/>
    </row>
    <row r="213" spans="1:7" x14ac:dyDescent="0.15">
      <c r="A213" s="100"/>
      <c r="B213" s="206"/>
      <c r="C213" s="221"/>
      <c r="D213" s="221"/>
      <c r="E213" s="221"/>
      <c r="F213" s="221"/>
      <c r="G213" s="221"/>
    </row>
    <row r="214" spans="1:7" x14ac:dyDescent="0.15">
      <c r="A214" s="100"/>
      <c r="B214" s="93"/>
      <c r="C214" s="221"/>
      <c r="D214" s="221"/>
      <c r="E214" s="221"/>
      <c r="F214" s="221"/>
      <c r="G214" s="221"/>
    </row>
    <row r="215" spans="1:7" x14ac:dyDescent="0.15">
      <c r="A215" s="100"/>
      <c r="B215" s="93"/>
      <c r="C215" s="187"/>
      <c r="D215" s="187"/>
      <c r="E215" s="187"/>
      <c r="F215" s="187"/>
      <c r="G215" s="187"/>
    </row>
    <row r="216" spans="1:7" x14ac:dyDescent="0.15">
      <c r="A216" s="100"/>
      <c r="B216" s="206"/>
      <c r="C216" s="187"/>
      <c r="D216" s="187"/>
      <c r="E216" s="187"/>
      <c r="F216" s="187"/>
      <c r="G216" s="187"/>
    </row>
    <row r="217" spans="1:7" x14ac:dyDescent="0.15">
      <c r="A217" s="100"/>
      <c r="B217" s="206"/>
      <c r="C217" s="187"/>
      <c r="D217" s="187"/>
      <c r="E217" s="187"/>
      <c r="F217" s="187"/>
      <c r="G217" s="187"/>
    </row>
    <row r="218" spans="1:7" x14ac:dyDescent="0.15">
      <c r="A218" s="100"/>
      <c r="B218" s="100"/>
      <c r="C218" s="187"/>
      <c r="D218" s="187"/>
      <c r="E218" s="187"/>
      <c r="F218" s="187"/>
      <c r="G218" s="187"/>
    </row>
    <row r="219" spans="1:7" x14ac:dyDescent="0.15">
      <c r="A219" s="100"/>
      <c r="B219" s="100"/>
      <c r="C219" s="187"/>
      <c r="D219" s="187"/>
      <c r="E219" s="187"/>
      <c r="F219" s="187"/>
      <c r="G219" s="187"/>
    </row>
    <row r="220" spans="1:7" x14ac:dyDescent="0.15">
      <c r="A220" s="100"/>
      <c r="B220" s="100"/>
      <c r="C220" s="187"/>
      <c r="D220" s="187"/>
      <c r="E220" s="187"/>
      <c r="F220" s="198"/>
      <c r="G220" s="187"/>
    </row>
    <row r="221" spans="1:7" x14ac:dyDescent="0.15">
      <c r="A221" s="100"/>
      <c r="B221" s="106"/>
      <c r="C221" s="187"/>
      <c r="D221" s="187"/>
      <c r="E221" s="187"/>
      <c r="F221" s="198"/>
      <c r="G221" s="187"/>
    </row>
    <row r="222" spans="1:7" x14ac:dyDescent="0.15">
      <c r="A222" s="100"/>
      <c r="B222" s="100"/>
      <c r="C222" s="187"/>
      <c r="D222" s="187"/>
      <c r="E222" s="187"/>
      <c r="F222" s="198"/>
      <c r="G222" s="187"/>
    </row>
    <row r="223" spans="1:7" x14ac:dyDescent="0.15">
      <c r="A223" s="100"/>
      <c r="B223" s="100"/>
      <c r="C223" s="187"/>
      <c r="D223" s="187"/>
      <c r="E223" s="187"/>
      <c r="F223" s="198"/>
      <c r="G223" s="187"/>
    </row>
    <row r="224" spans="1:7" x14ac:dyDescent="0.15">
      <c r="A224" s="100"/>
      <c r="B224" s="100"/>
      <c r="C224" s="187"/>
      <c r="D224" s="187"/>
      <c r="E224" s="187"/>
      <c r="F224" s="198"/>
      <c r="G224" s="187"/>
    </row>
    <row r="225" spans="1:7" x14ac:dyDescent="0.15">
      <c r="A225" s="100"/>
      <c r="B225" s="100"/>
      <c r="C225" s="187"/>
      <c r="D225" s="187"/>
      <c r="E225" s="187"/>
      <c r="F225" s="198"/>
      <c r="G225" s="187"/>
    </row>
    <row r="226" spans="1:7" x14ac:dyDescent="0.15">
      <c r="A226" s="100"/>
      <c r="B226" s="100"/>
      <c r="C226" s="187"/>
      <c r="D226" s="187"/>
      <c r="E226" s="187"/>
      <c r="F226" s="198"/>
      <c r="G226" s="187"/>
    </row>
    <row r="227" spans="1:7" x14ac:dyDescent="0.15">
      <c r="A227" s="100"/>
      <c r="B227" s="100"/>
      <c r="C227" s="187"/>
      <c r="D227" s="187"/>
      <c r="E227" s="187"/>
      <c r="F227" s="198"/>
      <c r="G227" s="187"/>
    </row>
    <row r="228" spans="1:7" x14ac:dyDescent="0.15">
      <c r="A228" s="100"/>
      <c r="B228" s="100"/>
      <c r="C228" s="187"/>
      <c r="D228" s="187"/>
      <c r="E228" s="187"/>
      <c r="F228" s="198"/>
      <c r="G228" s="187"/>
    </row>
    <row r="229" spans="1:7" x14ac:dyDescent="0.15">
      <c r="A229" s="100"/>
      <c r="B229" s="100"/>
      <c r="C229" s="187"/>
      <c r="D229" s="187"/>
      <c r="E229" s="187"/>
      <c r="F229" s="198"/>
      <c r="G229" s="187"/>
    </row>
    <row r="230" spans="1:7" x14ac:dyDescent="0.15">
      <c r="A230" s="100"/>
      <c r="B230" s="100"/>
      <c r="C230" s="187"/>
      <c r="D230" s="187"/>
      <c r="E230" s="187"/>
      <c r="F230" s="198"/>
      <c r="G230" s="187"/>
    </row>
    <row r="231" spans="1:7" x14ac:dyDescent="0.15">
      <c r="A231" s="100"/>
      <c r="B231" s="100"/>
      <c r="C231" s="187"/>
      <c r="D231" s="187"/>
      <c r="E231" s="187"/>
      <c r="F231" s="198"/>
      <c r="G231" s="187"/>
    </row>
    <row r="232" spans="1:7" x14ac:dyDescent="0.15">
      <c r="A232" s="100"/>
      <c r="B232" s="100"/>
      <c r="C232" s="187"/>
      <c r="D232" s="187"/>
      <c r="E232" s="187"/>
      <c r="F232" s="198"/>
      <c r="G232" s="187"/>
    </row>
    <row r="233" spans="1:7" x14ac:dyDescent="0.15">
      <c r="A233" s="100"/>
      <c r="B233" s="100"/>
      <c r="C233" s="187"/>
      <c r="D233" s="187"/>
      <c r="E233" s="187"/>
      <c r="F233" s="198"/>
      <c r="G233" s="187"/>
    </row>
    <row r="234" spans="1:7" x14ac:dyDescent="0.15">
      <c r="A234" s="100"/>
      <c r="B234" s="100"/>
      <c r="C234" s="187"/>
      <c r="D234" s="187"/>
      <c r="E234" s="187"/>
      <c r="F234" s="198"/>
      <c r="G234" s="187"/>
    </row>
    <row r="235" spans="1:7" x14ac:dyDescent="0.15">
      <c r="A235" s="100"/>
      <c r="B235" s="100"/>
      <c r="C235" s="187"/>
      <c r="D235" s="187"/>
      <c r="E235" s="187"/>
      <c r="F235" s="198"/>
      <c r="G235" s="187"/>
    </row>
    <row r="236" spans="1:7" x14ac:dyDescent="0.15">
      <c r="A236" s="100"/>
      <c r="B236" s="100"/>
      <c r="C236" s="187"/>
      <c r="D236" s="187"/>
      <c r="E236" s="187"/>
      <c r="F236" s="198"/>
      <c r="G236" s="187"/>
    </row>
    <row r="237" spans="1:7" x14ac:dyDescent="0.15">
      <c r="A237" s="100"/>
      <c r="B237" s="100"/>
      <c r="C237" s="187"/>
      <c r="D237" s="187"/>
      <c r="E237" s="187"/>
      <c r="F237" s="198"/>
      <c r="G237" s="187"/>
    </row>
    <row r="238" spans="1:7" x14ac:dyDescent="0.15">
      <c r="A238" s="100"/>
      <c r="B238" s="100"/>
      <c r="C238" s="187"/>
      <c r="D238" s="187"/>
      <c r="E238" s="187"/>
      <c r="F238" s="198"/>
      <c r="G238" s="187"/>
    </row>
    <row r="239" spans="1:7" x14ac:dyDescent="0.15">
      <c r="A239" s="100"/>
      <c r="B239" s="100"/>
      <c r="C239" s="187"/>
      <c r="D239" s="187"/>
      <c r="E239" s="187"/>
      <c r="F239" s="198"/>
      <c r="G239" s="187"/>
    </row>
  </sheetData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Param_Sweep">
                <anchor moveWithCells="1" sizeWithCells="1">
                  <from>
                    <xdr:col>0</xdr:col>
                    <xdr:colOff>165100</xdr:colOff>
                    <xdr:row>46</xdr:row>
                    <xdr:rowOff>101600</xdr:rowOff>
                  </from>
                  <to>
                    <xdr:col>0</xdr:col>
                    <xdr:colOff>1689100</xdr:colOff>
                    <xdr:row>48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Sweep_Breakdown">
                <anchor moveWithCells="1" sizeWithCells="1">
                  <from>
                    <xdr:col>0</xdr:col>
                    <xdr:colOff>101600</xdr:colOff>
                    <xdr:row>80</xdr:row>
                    <xdr:rowOff>152400</xdr:rowOff>
                  </from>
                  <to>
                    <xdr:col>0</xdr:col>
                    <xdr:colOff>1625600</xdr:colOff>
                    <xdr:row>83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5" name="Button 6">
              <controlPr defaultSize="0" print="0" autoFill="0" autoPict="0" macro="[0]!Sweep_2D">
                <anchor moveWithCells="1" sizeWithCells="1">
                  <from>
                    <xdr:col>0</xdr:col>
                    <xdr:colOff>482600</xdr:colOff>
                    <xdr:row>108</xdr:row>
                    <xdr:rowOff>152400</xdr:rowOff>
                  </from>
                  <to>
                    <xdr:col>1</xdr:col>
                    <xdr:colOff>723900</xdr:colOff>
                    <xdr:row>111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7F1F53-59C9-234E-9768-FD3D8FF3981D}">
  <sheetPr codeName="Sheet7"/>
  <dimension ref="A1:AC212"/>
  <sheetViews>
    <sheetView workbookViewId="0">
      <pane ySplit="1" topLeftCell="A2" activePane="bottomLeft" state="frozen"/>
      <selection pane="bottomLeft" activeCell="M59" sqref="M59"/>
    </sheetView>
  </sheetViews>
  <sheetFormatPr baseColWidth="10" defaultColWidth="20.83203125" defaultRowHeight="13" x14ac:dyDescent="0.15"/>
  <cols>
    <col min="1" max="16384" width="20.83203125" style="87"/>
  </cols>
  <sheetData>
    <row r="1" spans="1:26" s="385" customFormat="1" ht="27" x14ac:dyDescent="0.35">
      <c r="A1" s="383" t="s">
        <v>344</v>
      </c>
      <c r="B1" s="384">
        <f>H2_cost_infl*tons_to_kg</f>
        <v>138.15249440013105</v>
      </c>
      <c r="C1" s="383" t="s">
        <v>150</v>
      </c>
      <c r="H1" s="386"/>
    </row>
    <row r="3" spans="1:26" ht="16" x14ac:dyDescent="0.15">
      <c r="A3" s="155" t="s">
        <v>1</v>
      </c>
      <c r="B3" s="156"/>
      <c r="C3" s="157"/>
      <c r="D3" s="157"/>
      <c r="E3" s="157"/>
      <c r="F3" s="157"/>
      <c r="G3" s="157"/>
      <c r="H3" s="157"/>
      <c r="I3" s="157"/>
      <c r="J3" s="157"/>
      <c r="K3" s="157"/>
      <c r="L3" s="157"/>
      <c r="M3" s="157"/>
      <c r="N3" s="157"/>
      <c r="O3" s="157"/>
      <c r="P3" s="157"/>
      <c r="Q3" s="157"/>
      <c r="R3" s="157"/>
      <c r="S3" s="157"/>
      <c r="T3" s="158"/>
      <c r="U3" s="158"/>
    </row>
    <row r="4" spans="1:26" x14ac:dyDescent="0.15">
      <c r="A4" s="88"/>
      <c r="B4" s="89"/>
      <c r="D4" s="157"/>
      <c r="E4" s="157"/>
      <c r="F4" s="157"/>
      <c r="G4" s="157"/>
      <c r="H4" s="157"/>
      <c r="I4" s="157"/>
      <c r="J4" s="157"/>
      <c r="K4" s="157"/>
      <c r="L4" s="157"/>
      <c r="M4" s="157"/>
      <c r="N4" s="157"/>
      <c r="O4" s="157"/>
      <c r="P4" s="157"/>
      <c r="Q4" s="157"/>
      <c r="R4" s="157"/>
      <c r="S4" s="157"/>
      <c r="T4" s="158"/>
      <c r="U4" s="158"/>
    </row>
    <row r="5" spans="1:26" ht="15" x14ac:dyDescent="0.15">
      <c r="A5" s="162" t="s">
        <v>318</v>
      </c>
      <c r="B5" s="163">
        <f>SUM(B14:F14)/G14*(1+inflation_rate)^construct_period</f>
        <v>0.13557654013751821</v>
      </c>
      <c r="H5" s="157"/>
      <c r="I5" s="157"/>
      <c r="J5" s="157"/>
      <c r="K5" s="157"/>
      <c r="L5" s="157"/>
      <c r="M5" s="157"/>
      <c r="N5" s="157"/>
      <c r="O5" s="157"/>
      <c r="P5" s="157"/>
      <c r="Q5" s="157"/>
      <c r="R5" s="157"/>
      <c r="S5" s="157"/>
      <c r="T5" s="158"/>
      <c r="U5" s="158"/>
    </row>
    <row r="6" spans="1:26" x14ac:dyDescent="0.15">
      <c r="A6" s="162" t="s">
        <v>2</v>
      </c>
      <c r="B6" s="164">
        <f>NPV(nominal_irr,U19:U59)</f>
        <v>1.8294236605351083E-6</v>
      </c>
      <c r="H6" s="157"/>
      <c r="I6" s="157"/>
      <c r="J6" s="157"/>
      <c r="K6" s="157"/>
      <c r="L6" s="157"/>
      <c r="M6" s="157"/>
      <c r="N6" s="157"/>
      <c r="O6" s="157"/>
      <c r="P6" s="157"/>
      <c r="Q6" s="157"/>
      <c r="R6" s="157"/>
      <c r="S6" s="157"/>
      <c r="T6" s="158"/>
      <c r="U6" s="158"/>
    </row>
    <row r="7" spans="1:26" ht="15" x14ac:dyDescent="0.15">
      <c r="A7" s="162" t="s">
        <v>319</v>
      </c>
      <c r="B7" s="163">
        <f>H2_cost/(1+inflation_rate)^(startup_year-anal_year)</f>
        <v>0.13815249440013105</v>
      </c>
      <c r="H7" s="157"/>
      <c r="I7" s="157"/>
      <c r="J7" s="157"/>
      <c r="K7" s="157"/>
      <c r="L7" s="157"/>
      <c r="M7" s="157"/>
      <c r="N7" s="157"/>
      <c r="O7" s="157"/>
      <c r="P7" s="157"/>
      <c r="Q7" s="157"/>
      <c r="R7" s="157"/>
      <c r="S7" s="157"/>
      <c r="T7" s="158"/>
      <c r="U7" s="158"/>
    </row>
    <row r="8" spans="1:26" s="170" customFormat="1" x14ac:dyDescent="0.15">
      <c r="A8" s="161"/>
      <c r="B8" s="165"/>
      <c r="C8" s="165"/>
      <c r="D8" s="166"/>
      <c r="E8" s="167"/>
      <c r="F8" s="168"/>
      <c r="G8" s="169"/>
      <c r="H8" s="169"/>
      <c r="I8" s="169"/>
      <c r="J8" s="169"/>
      <c r="K8" s="169"/>
      <c r="L8" s="169"/>
      <c r="M8" s="167"/>
      <c r="N8" s="167"/>
      <c r="O8" s="167"/>
      <c r="P8" s="167"/>
      <c r="Q8" s="167"/>
      <c r="R8" s="167"/>
      <c r="S8" s="167"/>
      <c r="T8" s="167"/>
      <c r="U8" s="167"/>
      <c r="V8" s="167"/>
      <c r="W8" s="167"/>
      <c r="X8" s="167"/>
    </row>
    <row r="9" spans="1:26" s="170" customFormat="1" x14ac:dyDescent="0.15">
      <c r="A9" s="161"/>
      <c r="B9" s="165"/>
      <c r="C9" s="165"/>
      <c r="D9" s="166"/>
      <c r="E9" s="167"/>
      <c r="F9" s="168"/>
      <c r="G9" s="169"/>
      <c r="H9" s="169"/>
      <c r="I9" s="169"/>
      <c r="J9" s="169"/>
      <c r="K9" s="169"/>
      <c r="L9" s="169"/>
      <c r="M9" s="167"/>
      <c r="N9" s="167"/>
      <c r="O9" s="167"/>
      <c r="P9" s="167"/>
      <c r="Q9" s="167"/>
      <c r="R9" s="167"/>
      <c r="S9" s="167"/>
      <c r="T9" s="167"/>
      <c r="U9" s="167"/>
      <c r="V9" s="167"/>
      <c r="W9" s="167"/>
      <c r="X9" s="167"/>
    </row>
    <row r="10" spans="1:26" ht="16" x14ac:dyDescent="0.15">
      <c r="A10" s="171" t="s">
        <v>320</v>
      </c>
      <c r="B10" s="171"/>
      <c r="C10" s="171"/>
      <c r="D10" s="172"/>
      <c r="E10" s="172"/>
      <c r="F10" s="172"/>
      <c r="G10" s="172"/>
      <c r="H10" s="157"/>
      <c r="I10" s="157"/>
      <c r="J10" s="157"/>
      <c r="K10" s="157"/>
      <c r="L10" s="157"/>
      <c r="M10" s="157"/>
      <c r="N10" s="157"/>
      <c r="O10" s="157"/>
      <c r="P10" s="157"/>
      <c r="Q10" s="157"/>
      <c r="R10" s="157"/>
      <c r="S10" s="157"/>
      <c r="T10" s="157"/>
      <c r="U10" s="157"/>
      <c r="V10" s="157"/>
      <c r="W10" s="157"/>
      <c r="X10" s="157"/>
      <c r="Y10" s="158"/>
      <c r="Z10" s="158"/>
    </row>
    <row r="11" spans="1:26" s="160" customFormat="1" ht="15" x14ac:dyDescent="0.2">
      <c r="A11" s="173"/>
      <c r="B11" s="173" t="s">
        <v>87</v>
      </c>
      <c r="C11" s="173" t="s">
        <v>18</v>
      </c>
      <c r="D11" s="173" t="s">
        <v>89</v>
      </c>
      <c r="E11" s="173" t="s">
        <v>90</v>
      </c>
      <c r="F11" s="173" t="s">
        <v>91</v>
      </c>
      <c r="G11" s="173" t="s">
        <v>321</v>
      </c>
      <c r="J11" s="394" t="s">
        <v>378</v>
      </c>
      <c r="K11" s="394"/>
      <c r="Z11" s="161"/>
    </row>
    <row r="12" spans="1:26" x14ac:dyDescent="0.15">
      <c r="A12" s="173" t="s">
        <v>79</v>
      </c>
      <c r="B12" s="174">
        <f>-SUM(G62:J62)</f>
        <v>479805193.920609</v>
      </c>
      <c r="C12" s="174">
        <f>Q62</f>
        <v>-383621532.21355689</v>
      </c>
      <c r="D12" s="174">
        <f>-T62</f>
        <v>10635295.278283959</v>
      </c>
      <c r="E12" s="174">
        <f>-SUM(K62:O62)</f>
        <v>1217751105.4319713</v>
      </c>
      <c r="F12" s="97">
        <v>0</v>
      </c>
      <c r="G12" s="174">
        <f>Y62</f>
        <v>13117138882.485611</v>
      </c>
      <c r="I12" s="435"/>
      <c r="J12" s="438">
        <f>-tax_rate*(E62-E12+C12)</f>
        <v>-37025585.144123361</v>
      </c>
      <c r="K12" s="363"/>
      <c r="Z12" s="175"/>
    </row>
    <row r="13" spans="1:26" x14ac:dyDescent="0.15">
      <c r="A13" s="176" t="s">
        <v>80</v>
      </c>
      <c r="B13" s="177">
        <v>1</v>
      </c>
      <c r="C13" s="177">
        <f>tax_rate</f>
        <v>0.25739999999999996</v>
      </c>
      <c r="D13" s="177">
        <v>1</v>
      </c>
      <c r="E13" s="177">
        <f>1-tax_rate</f>
        <v>0.74260000000000004</v>
      </c>
      <c r="F13" s="177">
        <v>1</v>
      </c>
      <c r="G13" s="177">
        <f>1-tax_rate</f>
        <v>0.74260000000000004</v>
      </c>
      <c r="J13" s="439">
        <f>SUM(B12,D12:F12,-J12)/G12*(1+inflation_rate)^construct_period</f>
        <v>0.13557654013751827</v>
      </c>
      <c r="K13" s="363" t="s">
        <v>391</v>
      </c>
      <c r="Z13" s="175"/>
    </row>
    <row r="14" spans="1:26" x14ac:dyDescent="0.15">
      <c r="A14" s="176" t="s">
        <v>92</v>
      </c>
      <c r="B14" s="174">
        <f t="shared" ref="B14:G14" si="0">B12*B13</f>
        <v>479805193.920609</v>
      </c>
      <c r="C14" s="174">
        <f t="shared" si="0"/>
        <v>-98744182.391769528</v>
      </c>
      <c r="D14" s="174">
        <f t="shared" si="0"/>
        <v>10635295.278283959</v>
      </c>
      <c r="E14" s="174">
        <f t="shared" si="0"/>
        <v>904301970.8937819</v>
      </c>
      <c r="F14" s="174">
        <f t="shared" si="0"/>
        <v>0</v>
      </c>
      <c r="G14" s="174">
        <f t="shared" si="0"/>
        <v>9740787334.1338158</v>
      </c>
      <c r="J14" s="363"/>
      <c r="K14" s="363"/>
      <c r="Z14" s="175"/>
    </row>
    <row r="15" spans="1:26" x14ac:dyDescent="0.15">
      <c r="Z15" s="175"/>
    </row>
    <row r="16" spans="1:26" x14ac:dyDescent="0.15">
      <c r="Z16" s="175"/>
    </row>
    <row r="17" spans="1:26" ht="16" x14ac:dyDescent="0.15">
      <c r="A17" s="66" t="s">
        <v>104</v>
      </c>
      <c r="B17" s="66"/>
      <c r="C17" s="66"/>
      <c r="D17" s="99"/>
      <c r="E17" s="99"/>
      <c r="F17" s="99"/>
      <c r="G17" s="99"/>
      <c r="H17" s="99"/>
      <c r="I17" s="178"/>
      <c r="J17" s="178"/>
      <c r="K17" s="178"/>
      <c r="L17" s="178"/>
      <c r="M17" s="178"/>
      <c r="N17" s="178"/>
      <c r="O17" s="178"/>
      <c r="P17" s="178"/>
      <c r="Q17" s="178"/>
      <c r="R17" s="178"/>
      <c r="S17" s="178"/>
      <c r="T17" s="178"/>
      <c r="U17" s="178"/>
      <c r="V17" s="178"/>
      <c r="W17" s="178"/>
      <c r="X17" s="178"/>
      <c r="Y17" s="179"/>
      <c r="Z17" s="175"/>
    </row>
    <row r="18" spans="1:26" s="160" customFormat="1" ht="42" x14ac:dyDescent="0.15">
      <c r="A18" s="101" t="s">
        <v>3</v>
      </c>
      <c r="B18" s="101" t="s">
        <v>4</v>
      </c>
      <c r="C18" s="101" t="s">
        <v>5</v>
      </c>
      <c r="D18" s="101" t="s">
        <v>6</v>
      </c>
      <c r="E18" s="101" t="s">
        <v>7</v>
      </c>
      <c r="F18" s="101" t="s">
        <v>8</v>
      </c>
      <c r="G18" s="101" t="s">
        <v>376</v>
      </c>
      <c r="H18" s="101" t="s">
        <v>10</v>
      </c>
      <c r="I18" s="180" t="s">
        <v>11</v>
      </c>
      <c r="J18" s="180" t="s">
        <v>187</v>
      </c>
      <c r="K18" s="180" t="s">
        <v>12</v>
      </c>
      <c r="L18" s="180" t="s">
        <v>13</v>
      </c>
      <c r="M18" s="101" t="s">
        <v>14</v>
      </c>
      <c r="N18" s="101" t="s">
        <v>15</v>
      </c>
      <c r="O18" s="101" t="s">
        <v>16</v>
      </c>
      <c r="P18" s="101" t="s">
        <v>17</v>
      </c>
      <c r="Q18" s="101" t="s">
        <v>18</v>
      </c>
      <c r="R18" s="181" t="s">
        <v>19</v>
      </c>
      <c r="S18" s="181" t="s">
        <v>20</v>
      </c>
      <c r="T18" s="101" t="s">
        <v>21</v>
      </c>
      <c r="U18" s="101" t="s">
        <v>22</v>
      </c>
      <c r="V18" s="101" t="s">
        <v>23</v>
      </c>
      <c r="W18" s="180" t="s">
        <v>24</v>
      </c>
      <c r="X18" s="181"/>
      <c r="Y18" s="181" t="s">
        <v>321</v>
      </c>
      <c r="Z18" s="182"/>
    </row>
    <row r="19" spans="1:26" x14ac:dyDescent="0.15">
      <c r="A19" s="99">
        <f>startup_year-construct_period</f>
        <v>2018</v>
      </c>
      <c r="B19" s="99">
        <v>1</v>
      </c>
      <c r="C19" s="99">
        <v>-1</v>
      </c>
      <c r="D19" s="183">
        <f t="shared" ref="D19:D59" si="1">(1+inflation_rate)^(A19-startup_year)</f>
        <v>0.9813542688910698</v>
      </c>
      <c r="E19" s="184">
        <f t="shared" ref="E19:E59" si="2">IF(OR(A19&lt;startup_year,C19&gt;anal_period),0,IF(A19=startup_year,startup_perct_revs*H2_cost*avg_prod*D19*365,H2_cost*avg_prod*D19*365))</f>
        <v>0</v>
      </c>
      <c r="F19" s="185">
        <f>-debt_financing*depr_cap_infl*D19</f>
        <v>-232247754.13504025</v>
      </c>
      <c r="G19" s="185">
        <f>IF(A19&lt;startup_year,-equity_financing*depr_cap_infl*D19,0)</f>
        <v>-154831836.09002686</v>
      </c>
      <c r="H19" s="184">
        <f>J169</f>
        <v>0</v>
      </c>
      <c r="I19" s="185">
        <f>IF(C19=anal_period,-SUM($I18:I$19),IF(AND(C19&gt;=1,C19&lt;anal_period),working_cap_perct*(SUM(M19:N19)-SUM(M18:N18)),0))</f>
        <v>0</v>
      </c>
      <c r="J19" s="185">
        <f t="shared" ref="J19:J59" si="3">IF(C19=-construct_period,-D19*non_depr_cap,0)</f>
        <v>0</v>
      </c>
      <c r="K19" s="185">
        <f t="shared" ref="K19:K58" si="4">IF(C19=anal_period,salvage*total_capital*D19,0)</f>
        <v>0</v>
      </c>
      <c r="L19" s="185" cm="1">
        <f t="array" ref="L19">IF(C19=plant_life,-decom_prct*depr_cap_infl*D19,0)</f>
        <v>0</v>
      </c>
      <c r="M19" s="184">
        <f>IF(OR(A19&lt;startup_year,C19&gt;anal_period),0,IF(A19=startup_year,-Main!$B$84*Main!$E$121*D19,-Main!$E$121*D19))</f>
        <v>0</v>
      </c>
      <c r="N19" s="184">
        <f>IF(OR(A19&lt;startup_year,C19&gt;anal_period),0,IF(A19=startup_year,-Main!$B$86*Main!$E$134*D19,-Main!$E$134*D19))</f>
        <v>0</v>
      </c>
      <c r="O19" s="184">
        <f t="shared" ref="O19:O59" si="5">IF(C19&gt;anal_period,0,$F$19*debt_interest_rate)</f>
        <v>-8593166.9029964898</v>
      </c>
      <c r="P19" s="184">
        <f t="shared" ref="P19:P59" si="6">E19+SUM(K19:O19)</f>
        <v>-8593166.9029964898</v>
      </c>
      <c r="Q19" s="184">
        <f>IF(C19=anal_period,-SUM(X73:$X$134),IF(C19&gt;anal_period,0,-X73))</f>
        <v>0</v>
      </c>
      <c r="R19" s="184">
        <f t="shared" ref="R19:R59" si="7">SUM(P19:Q19)</f>
        <v>-8593166.9029964898</v>
      </c>
      <c r="S19" s="184">
        <f t="shared" ref="S19:S59" si="8">-R19*tax_rate</f>
        <v>2211881.1608312964</v>
      </c>
      <c r="T19" s="184">
        <f t="shared" ref="T19:T58" si="9">IF(C19&lt;&gt;plant_life,0,$F$19)</f>
        <v>0</v>
      </c>
      <c r="U19" s="184">
        <f t="shared" ref="U19:U59" si="10">SUM(G19,H19,I19,J19,P19,S19,T19)</f>
        <v>-161213121.83219203</v>
      </c>
      <c r="V19" s="184">
        <f>U19</f>
        <v>-161213121.83219203</v>
      </c>
      <c r="W19" s="184">
        <f t="shared" ref="W19:W59" si="11">SUM(G19,H19,I19,J19,P19,T19)</f>
        <v>-163425002.99302334</v>
      </c>
      <c r="X19" s="184"/>
      <c r="Y19" s="184">
        <f t="shared" ref="Y19:Y25" si="12">IF(OR(C19&lt;0,C19&gt;anal_period),0,IF(C19=1,startup_perct_revs*avg_prod*365,avg_prod*365))</f>
        <v>0</v>
      </c>
      <c r="Z19" s="175"/>
    </row>
    <row r="20" spans="1:26" x14ac:dyDescent="0.15">
      <c r="A20" s="99">
        <f>startup_year</f>
        <v>2019</v>
      </c>
      <c r="B20" s="99">
        <f>B19+1</f>
        <v>2</v>
      </c>
      <c r="C20" s="99">
        <v>1</v>
      </c>
      <c r="D20" s="183">
        <f t="shared" si="1"/>
        <v>1</v>
      </c>
      <c r="E20" s="184">
        <f t="shared" si="2"/>
        <v>61009443.061883204</v>
      </c>
      <c r="F20" s="184"/>
      <c r="G20" s="185" cm="1">
        <f t="array" ref="G20">IF(A20&lt;startup_year,-equity_financing*depr_cap_infl*D20,0)</f>
        <v>0</v>
      </c>
      <c r="H20" s="184">
        <f t="shared" ref="H20:H59" si="13">J170</f>
        <v>-1466297.7785849196</v>
      </c>
      <c r="I20" s="185">
        <f>IF(C20=anal_period,-SUM($I$19:I19),IF(AND(C20&gt;=1,C20&lt;anal_period),working_cap_perct*(SUM(M20:N20)-SUM(M19:N19)),0))</f>
        <v>-8567297.4343802575</v>
      </c>
      <c r="J20" s="185">
        <f t="shared" si="3"/>
        <v>0</v>
      </c>
      <c r="K20" s="185">
        <f t="shared" si="4"/>
        <v>0</v>
      </c>
      <c r="L20" s="185" cm="1">
        <f t="array" ref="L20">IF(C20=plant_life,-decom_prct*depr_cap_infl*D20,0)</f>
        <v>0</v>
      </c>
      <c r="M20" s="184">
        <f>IF(OR(A20&lt;startup_year,C20&gt;anal_period),0,IF(A20=startup_year,-Main!$B$84*Main!$E$121*D20,-Main!$E$121*D20))</f>
        <v>-13927726.682797752</v>
      </c>
      <c r="N20" s="184">
        <f>IF(OR(A20&lt;startup_year,C20&gt;anal_period),0,IF(A20=startup_year,-Main!$B$86*Main!$E$134*D20,-Main!$E$134*D20))</f>
        <v>-43187589.546403967</v>
      </c>
      <c r="O20" s="184">
        <f t="shared" si="5"/>
        <v>-8593166.9029964898</v>
      </c>
      <c r="P20" s="184">
        <f t="shared" si="6"/>
        <v>-4699040.0703150034</v>
      </c>
      <c r="Q20" s="184">
        <f>IF(C20=anal_period,-SUM(X74:$X$134),IF(C20&gt;anal_period,0,-X74))</f>
        <v>-14570470.800136952</v>
      </c>
      <c r="R20" s="184">
        <f t="shared" si="7"/>
        <v>-19269510.870451957</v>
      </c>
      <c r="S20" s="184">
        <f t="shared" si="8"/>
        <v>4959972.0980543327</v>
      </c>
      <c r="T20" s="184">
        <f t="shared" si="9"/>
        <v>0</v>
      </c>
      <c r="U20" s="184">
        <f>SUM(G20,H20,I20,J20,P20,S20,T20)</f>
        <v>-9772663.1852258481</v>
      </c>
      <c r="V20" s="184">
        <f t="shared" ref="V20:V59" si="14">IF(C20&gt;anal_period,0,V19+U20)</f>
        <v>-170985785.01741788</v>
      </c>
      <c r="W20" s="184">
        <f t="shared" si="11"/>
        <v>-14732635.283280181</v>
      </c>
      <c r="X20" s="184"/>
      <c r="Y20" s="184">
        <f t="shared" si="12"/>
        <v>450000000</v>
      </c>
      <c r="Z20" s="175"/>
    </row>
    <row r="21" spans="1:26" x14ac:dyDescent="0.15">
      <c r="A21" s="99">
        <f t="shared" ref="A21:A59" si="15">A20+1</f>
        <v>2020</v>
      </c>
      <c r="B21" s="99">
        <v>3</v>
      </c>
      <c r="C21" s="99">
        <f t="shared" ref="C21:C59" si="16">C20+1</f>
        <v>2</v>
      </c>
      <c r="D21" s="183">
        <f t="shared" si="1"/>
        <v>1.0189999999999999</v>
      </c>
      <c r="E21" s="184">
        <f t="shared" si="2"/>
        <v>124337244.96011797</v>
      </c>
      <c r="F21" s="184"/>
      <c r="G21" s="185" cm="1">
        <f t="array" ref="G21">IF(A21&lt;startup_year,-equity_financing*depr_cap_infl*D21,0)</f>
        <v>0</v>
      </c>
      <c r="H21" s="184">
        <f t="shared" si="13"/>
        <v>-1494157.4363780329</v>
      </c>
      <c r="I21" s="185">
        <f>IF(C21=anal_period,-SUM($I$19:I20),IF(AND(C21&gt;=1,C21&lt;anal_period),working_cap_perct*(SUM(M21:N21)-SUM(M20:N20)),0))</f>
        <v>-3072804.0131310513</v>
      </c>
      <c r="J21" s="185">
        <f t="shared" si="3"/>
        <v>0</v>
      </c>
      <c r="K21" s="185">
        <f t="shared" si="4"/>
        <v>0</v>
      </c>
      <c r="L21" s="185" cm="1">
        <f t="array" ref="L21">IF(C21=plant_life,-decom_prct*depr_cap_infl*D21,0)</f>
        <v>0</v>
      </c>
      <c r="M21" s="184">
        <f>IF(OR(A21&lt;startup_year,C21&gt;anal_period),0,IF(A21=startup_year,-Main!$B$84*Main!$E$121*D21,-Main!$E$121*D21))</f>
        <v>-18923137.986361209</v>
      </c>
      <c r="N21" s="184">
        <f>IF(OR(A21&lt;startup_year,C21&gt;anal_period),0,IF(A21=startup_year,-Main!$B$86*Main!$E$134*D21,-Main!$E$134*D21))</f>
        <v>-58677538.330380857</v>
      </c>
      <c r="O21" s="184">
        <f t="shared" si="5"/>
        <v>-8593166.9029964898</v>
      </c>
      <c r="P21" s="184">
        <f>E21+SUM(K21:O21)</f>
        <v>38143401.740379408</v>
      </c>
      <c r="Q21" s="184">
        <f>IF(C21=anal_period,-SUM(X75:$X$134),IF(C21&gt;anal_period,0,-X75))</f>
        <v>-28105158.558847819</v>
      </c>
      <c r="R21" s="184">
        <f t="shared" si="7"/>
        <v>10038243.181531589</v>
      </c>
      <c r="S21" s="184">
        <f t="shared" si="8"/>
        <v>-2583843.7949262308</v>
      </c>
      <c r="T21" s="184">
        <f t="shared" si="9"/>
        <v>0</v>
      </c>
      <c r="U21" s="184">
        <f>SUM(G21,H21,I21,J21,P21,S21,T21)</f>
        <v>30992596.495944094</v>
      </c>
      <c r="V21" s="184">
        <f t="shared" si="14"/>
        <v>-139993188.5214738</v>
      </c>
      <c r="W21" s="184">
        <f t="shared" si="11"/>
        <v>33576440.290870324</v>
      </c>
      <c r="X21" s="184"/>
      <c r="Y21" s="184">
        <f t="shared" si="12"/>
        <v>900000000</v>
      </c>
      <c r="Z21" s="175"/>
    </row>
    <row r="22" spans="1:26" x14ac:dyDescent="0.15">
      <c r="A22" s="99">
        <f t="shared" si="15"/>
        <v>2021</v>
      </c>
      <c r="B22" s="99">
        <v>4</v>
      </c>
      <c r="C22" s="99">
        <f t="shared" si="16"/>
        <v>3</v>
      </c>
      <c r="D22" s="183">
        <f t="shared" si="1"/>
        <v>1.0383609999999999</v>
      </c>
      <c r="E22" s="184">
        <f t="shared" si="2"/>
        <v>126699652.6143602</v>
      </c>
      <c r="F22" s="184"/>
      <c r="G22" s="185" cm="1">
        <f t="array" ref="G22">IF(A22&lt;startup_year,-equity_financing*depr_cap_infl*D22,0)</f>
        <v>0</v>
      </c>
      <c r="H22" s="184">
        <f t="shared" si="13"/>
        <v>-1522546.4276692155</v>
      </c>
      <c r="I22" s="185">
        <f>IF(C22=anal_period,-SUM($I$19:I21),IF(AND(C22&gt;=1,C22&lt;anal_period),working_cap_perct*(SUM(M22:N22)-SUM(M21:N21)),0))</f>
        <v>-221161.92750271483</v>
      </c>
      <c r="J22" s="185">
        <f t="shared" si="3"/>
        <v>0</v>
      </c>
      <c r="K22" s="185">
        <f t="shared" si="4"/>
        <v>0</v>
      </c>
      <c r="L22" s="185" cm="1">
        <f t="array" ref="L22">IF(C22=plant_life,-decom_prct*depr_cap_infl*D22,0)</f>
        <v>0</v>
      </c>
      <c r="M22" s="184">
        <f>IF(OR(A22&lt;startup_year,C22&gt;anal_period),0,IF(A22=startup_year,-Main!$B$84*Main!$E$121*D22,-Main!$E$121*D22))</f>
        <v>-19282677.608102072</v>
      </c>
      <c r="N22" s="184">
        <f>IF(OR(A22&lt;startup_year,C22&gt;anal_period),0,IF(A22=startup_year,-Main!$B$86*Main!$E$134*D22,-Main!$E$134*D22))</f>
        <v>-59792411.558658086</v>
      </c>
      <c r="O22" s="184">
        <f t="shared" si="5"/>
        <v>-8593166.9029964898</v>
      </c>
      <c r="P22" s="184">
        <f t="shared" si="6"/>
        <v>39031396.544603541</v>
      </c>
      <c r="Q22" s="184">
        <f>IF(C22=anal_period,-SUM(X76:$X$134),IF(C22&gt;anal_period,0,-X76))</f>
        <v>-26108167.658373572</v>
      </c>
      <c r="R22" s="184">
        <f t="shared" si="7"/>
        <v>12923228.88622997</v>
      </c>
      <c r="S22" s="184">
        <f t="shared" si="8"/>
        <v>-3326439.1153155938</v>
      </c>
      <c r="T22" s="184">
        <f t="shared" si="9"/>
        <v>0</v>
      </c>
      <c r="U22" s="184">
        <f t="shared" si="10"/>
        <v>33961249.074116014</v>
      </c>
      <c r="V22" s="184">
        <f t="shared" si="14"/>
        <v>-106031939.44735777</v>
      </c>
      <c r="W22" s="184">
        <f t="shared" si="11"/>
        <v>37287688.189431608</v>
      </c>
      <c r="X22" s="184"/>
      <c r="Y22" s="184">
        <f t="shared" si="12"/>
        <v>900000000</v>
      </c>
      <c r="Z22" s="175"/>
    </row>
    <row r="23" spans="1:26" x14ac:dyDescent="0.15">
      <c r="A23" s="99">
        <f t="shared" si="15"/>
        <v>2022</v>
      </c>
      <c r="B23" s="99">
        <v>5</v>
      </c>
      <c r="C23" s="99">
        <f t="shared" si="16"/>
        <v>4</v>
      </c>
      <c r="D23" s="183">
        <f t="shared" si="1"/>
        <v>1.0580898589999999</v>
      </c>
      <c r="E23" s="184">
        <f t="shared" si="2"/>
        <v>129106946.01403303</v>
      </c>
      <c r="F23" s="184"/>
      <c r="G23" s="185" cm="1">
        <f t="array" ref="G23">IF(A23&lt;startup_year,-equity_financing*depr_cap_infl*D23,0)</f>
        <v>0</v>
      </c>
      <c r="H23" s="184">
        <f t="shared" si="13"/>
        <v>-1551474.8097949307</v>
      </c>
      <c r="I23" s="185">
        <f>IF(C23=anal_period,-SUM($I$19:I22),IF(AND(C23&gt;=1,C23&lt;anal_period),working_cap_perct*(SUM(M23:N23)-SUM(M22:N22)),0))</f>
        <v>-225364.00412526727</v>
      </c>
      <c r="J23" s="185">
        <f t="shared" si="3"/>
        <v>0</v>
      </c>
      <c r="K23" s="185">
        <f t="shared" si="4"/>
        <v>0</v>
      </c>
      <c r="L23" s="185" cm="1">
        <f t="array" ref="L23">IF(C23=plant_life,-decom_prct*depr_cap_infl*D23,0)</f>
        <v>0</v>
      </c>
      <c r="M23" s="184">
        <f>IF(OR(A23&lt;startup_year,C23&gt;anal_period),0,IF(A23=startup_year,-Main!$B$84*Main!$E$121*D23,-Main!$E$121*D23))</f>
        <v>-19649048.482656013</v>
      </c>
      <c r="N23" s="184">
        <f>IF(OR(A23&lt;startup_year,C23&gt;anal_period),0,IF(A23=startup_year,-Main!$B$86*Main!$E$134*D23,-Main!$E$134*D23))</f>
        <v>-60928467.378272593</v>
      </c>
      <c r="O23" s="184">
        <f t="shared" si="5"/>
        <v>-8593166.9029964898</v>
      </c>
      <c r="P23" s="184">
        <f t="shared" si="6"/>
        <v>39936263.250107929</v>
      </c>
      <c r="Q23" s="184">
        <f>IF(C23=anal_period,-SUM(X77:$X$134),IF(C23&gt;anal_period,0,-X77))</f>
        <v>-24268337.325993299</v>
      </c>
      <c r="R23" s="184">
        <f t="shared" si="7"/>
        <v>15667925.92411463</v>
      </c>
      <c r="S23" s="184">
        <f t="shared" si="8"/>
        <v>-4032924.1328671053</v>
      </c>
      <c r="T23" s="184">
        <f t="shared" si="9"/>
        <v>0</v>
      </c>
      <c r="U23" s="184">
        <f t="shared" si="10"/>
        <v>34126500.303320624</v>
      </c>
      <c r="V23" s="184">
        <f t="shared" si="14"/>
        <v>-71905439.144037157</v>
      </c>
      <c r="W23" s="184">
        <f t="shared" si="11"/>
        <v>38159424.436187729</v>
      </c>
      <c r="X23" s="184"/>
      <c r="Y23" s="184">
        <f t="shared" si="12"/>
        <v>900000000</v>
      </c>
      <c r="Z23" s="175"/>
    </row>
    <row r="24" spans="1:26" x14ac:dyDescent="0.15">
      <c r="A24" s="99">
        <f t="shared" si="15"/>
        <v>2023</v>
      </c>
      <c r="B24" s="99">
        <v>6</v>
      </c>
      <c r="C24" s="99">
        <f t="shared" si="16"/>
        <v>5</v>
      </c>
      <c r="D24" s="183">
        <f t="shared" si="1"/>
        <v>1.0781935663209998</v>
      </c>
      <c r="E24" s="184">
        <f t="shared" si="2"/>
        <v>131559977.98829967</v>
      </c>
      <c r="F24" s="184"/>
      <c r="G24" s="185" cm="1">
        <f t="array" ref="G24">IF(A24&lt;startup_year,-equity_financing*depr_cap_infl*D24,0)</f>
        <v>0</v>
      </c>
      <c r="H24" s="184">
        <f t="shared" si="13"/>
        <v>-1580952.8311810342</v>
      </c>
      <c r="I24" s="185">
        <f>IF(C24=anal_period,-SUM($I$19:I23),IF(AND(C24&gt;=1,C24&lt;anal_period),working_cap_perct*(SUM(M24:N24)-SUM(M23:N23)),0))</f>
        <v>-229645.92020364627</v>
      </c>
      <c r="J24" s="185">
        <f t="shared" si="3"/>
        <v>0</v>
      </c>
      <c r="K24" s="185">
        <f t="shared" si="4"/>
        <v>0</v>
      </c>
      <c r="L24" s="185" cm="1">
        <f t="array" ref="L24">IF(C24=plant_life,-decom_prct*depr_cap_infl*D24,0)</f>
        <v>0</v>
      </c>
      <c r="M24" s="184">
        <f>IF(OR(A24&lt;startup_year,C24&gt;anal_period),0,IF(A24=startup_year,-Main!$B$84*Main!$E$121*D24,-Main!$E$121*D24))</f>
        <v>-20022380.403826475</v>
      </c>
      <c r="N24" s="184">
        <f>IF(OR(A24&lt;startup_year,C24&gt;anal_period),0,IF(A24=startup_year,-Main!$B$86*Main!$E$134*D24,-Main!$E$134*D24))</f>
        <v>-62086108.258459769</v>
      </c>
      <c r="O24" s="184">
        <f t="shared" si="5"/>
        <v>-8593166.9029964898</v>
      </c>
      <c r="P24" s="184">
        <f t="shared" si="6"/>
        <v>40858322.423016921</v>
      </c>
      <c r="Q24" s="184">
        <f>IF(C24=anal_period,-SUM(X78:$X$134),IF(C24&gt;anal_period,0,-X78))</f>
        <v>-22562867.809157565</v>
      </c>
      <c r="R24" s="184">
        <f t="shared" si="7"/>
        <v>18295454.613859355</v>
      </c>
      <c r="S24" s="184">
        <f t="shared" si="8"/>
        <v>-4709250.0176073974</v>
      </c>
      <c r="T24" s="184">
        <f t="shared" si="9"/>
        <v>0</v>
      </c>
      <c r="U24" s="184">
        <f t="shared" si="10"/>
        <v>34338473.654024839</v>
      </c>
      <c r="V24" s="184">
        <f t="shared" si="14"/>
        <v>-37566965.490012318</v>
      </c>
      <c r="W24" s="184">
        <f t="shared" si="11"/>
        <v>39047723.671632238</v>
      </c>
      <c r="X24" s="184"/>
      <c r="Y24" s="184">
        <f t="shared" si="12"/>
        <v>900000000</v>
      </c>
      <c r="Z24" s="175"/>
    </row>
    <row r="25" spans="1:26" x14ac:dyDescent="0.15">
      <c r="A25" s="99">
        <f t="shared" si="15"/>
        <v>2024</v>
      </c>
      <c r="B25" s="99">
        <v>7</v>
      </c>
      <c r="C25" s="99">
        <f t="shared" si="16"/>
        <v>6</v>
      </c>
      <c r="D25" s="183">
        <f t="shared" si="1"/>
        <v>1.0986792440810986</v>
      </c>
      <c r="E25" s="184">
        <f t="shared" si="2"/>
        <v>134059617.57007733</v>
      </c>
      <c r="F25" s="184"/>
      <c r="G25" s="185" cm="1">
        <f t="array" ref="G25">IF(A25&lt;startup_year,-equity_financing*depr_cap_infl*D25,0)</f>
        <v>0</v>
      </c>
      <c r="H25" s="184">
        <f t="shared" si="13"/>
        <v>-78261604.918378294</v>
      </c>
      <c r="I25" s="185">
        <f>IF(C25=anal_period,-SUM($I$19:I24),IF(AND(C25&gt;=1,C25&lt;anal_period),working_cap_perct*(SUM(M25:N25)-SUM(M24:N24)),0))</f>
        <v>-234009.19268751293</v>
      </c>
      <c r="J25" s="185">
        <f t="shared" si="3"/>
        <v>0</v>
      </c>
      <c r="K25" s="185">
        <f t="shared" si="4"/>
        <v>0</v>
      </c>
      <c r="L25" s="185" cm="1">
        <f t="array" ref="L25">IF(C25=plant_life,-decom_prct*depr_cap_infl*D25,0)</f>
        <v>0</v>
      </c>
      <c r="M25" s="184">
        <f>IF(OR(A25&lt;startup_year,C25&gt;anal_period),0,IF(A25=startup_year,-Main!$B$84*Main!$E$121*D25,-Main!$E$121*D25))</f>
        <v>-20402805.631499175</v>
      </c>
      <c r="N25" s="184">
        <f>IF(OR(A25&lt;startup_year,C25&gt;anal_period),0,IF(A25=startup_year,-Main!$B$86*Main!$E$134*D25,-Main!$E$134*D25))</f>
        <v>-63265744.315370493</v>
      </c>
      <c r="O25" s="184">
        <f t="shared" si="5"/>
        <v>-8593166.9029964898</v>
      </c>
      <c r="P25" s="184">
        <f t="shared" si="6"/>
        <v>41797900.720211163</v>
      </c>
      <c r="Q25" s="184">
        <f>IF(C25=anal_period,-SUM(X79:$X$134),IF(C25&gt;anal_period,0,-X79))</f>
        <v>-23866590.230542563</v>
      </c>
      <c r="R25" s="184">
        <f t="shared" si="7"/>
        <v>17931310.4896686</v>
      </c>
      <c r="S25" s="184">
        <f t="shared" si="8"/>
        <v>-4615519.3200406972</v>
      </c>
      <c r="T25" s="184">
        <f t="shared" si="9"/>
        <v>0</v>
      </c>
      <c r="U25" s="184">
        <f t="shared" si="10"/>
        <v>-41313232.710895337</v>
      </c>
      <c r="V25" s="184">
        <f t="shared" si="14"/>
        <v>-78880198.200907648</v>
      </c>
      <c r="W25" s="184">
        <f t="shared" si="11"/>
        <v>-36697713.390854642</v>
      </c>
      <c r="X25" s="184"/>
      <c r="Y25" s="387">
        <f t="shared" si="12"/>
        <v>900000000</v>
      </c>
      <c r="Z25" s="175"/>
    </row>
    <row r="26" spans="1:26" x14ac:dyDescent="0.15">
      <c r="A26" s="99">
        <f t="shared" si="15"/>
        <v>2025</v>
      </c>
      <c r="B26" s="99">
        <v>8</v>
      </c>
      <c r="C26" s="99">
        <f t="shared" si="16"/>
        <v>7</v>
      </c>
      <c r="D26" s="183">
        <f t="shared" si="1"/>
        <v>1.1195541497186396</v>
      </c>
      <c r="E26" s="184">
        <f t="shared" si="2"/>
        <v>136606750.30390882</v>
      </c>
      <c r="F26" s="184"/>
      <c r="G26" s="185" cm="1">
        <f t="array" ref="G26">IF(A26&lt;startup_year,-equity_financing*depr_cap_infl*D26,0)</f>
        <v>0</v>
      </c>
      <c r="H26" s="184">
        <f t="shared" si="13"/>
        <v>-1641599.7627379699</v>
      </c>
      <c r="I26" s="185">
        <f>IF(C26=anal_period,-SUM($I$19:I25),IF(AND(C26&gt;=1,C26&lt;anal_period),working_cap_perct*(SUM(M26:N26)-SUM(M25:N25)),0))</f>
        <v>-238455.36734857855</v>
      </c>
      <c r="J26" s="185">
        <f t="shared" si="3"/>
        <v>0</v>
      </c>
      <c r="K26" s="185">
        <f t="shared" si="4"/>
        <v>0</v>
      </c>
      <c r="L26" s="185" cm="1">
        <f t="array" ref="L26">IF(C26=plant_life,-decom_prct*depr_cap_infl*D26,0)</f>
        <v>0</v>
      </c>
      <c r="M26" s="184">
        <f>IF(OR(A26&lt;startup_year,C26&gt;anal_period),0,IF(A26=startup_year,-Main!$B$84*Main!$E$121*D26,-Main!$E$121*D26))</f>
        <v>-20790458.938497663</v>
      </c>
      <c r="N26" s="184">
        <f>IF(OR(A26&lt;startup_year,C26&gt;anal_period),0,IF(A26=startup_year,-Main!$B$86*Main!$E$134*D26,-Main!$E$134*D26))</f>
        <v>-64467793.45736254</v>
      </c>
      <c r="O26" s="184">
        <f t="shared" si="5"/>
        <v>-8593166.9029964898</v>
      </c>
      <c r="P26" s="184">
        <f t="shared" si="6"/>
        <v>42755331.005052134</v>
      </c>
      <c r="Q26" s="184">
        <f>IF(C26=anal_period,-SUM(X80:$X$134),IF(C26&gt;anal_period,0,-X80))</f>
        <v>-25070732.373243228</v>
      </c>
      <c r="R26" s="184">
        <f t="shared" si="7"/>
        <v>17684598.631808907</v>
      </c>
      <c r="S26" s="184">
        <f t="shared" si="8"/>
        <v>-4552015.6878276123</v>
      </c>
      <c r="T26" s="184">
        <f t="shared" si="9"/>
        <v>0</v>
      </c>
      <c r="U26" s="184">
        <f t="shared" si="10"/>
        <v>36323260.187137976</v>
      </c>
      <c r="V26" s="184">
        <f t="shared" si="14"/>
        <v>-42556938.013769671</v>
      </c>
      <c r="W26" s="184">
        <f t="shared" si="11"/>
        <v>40875275.874965586</v>
      </c>
      <c r="X26" s="184"/>
      <c r="Y26" s="387">
        <f>IF(OR(C25&lt;0,C25&gt;anal_period),0,IF(C25=1,startup_perct_revs*avg_prod*365,avg_prod*365))</f>
        <v>900000000</v>
      </c>
      <c r="Z26" s="175"/>
    </row>
    <row r="27" spans="1:26" x14ac:dyDescent="0.15">
      <c r="A27" s="99">
        <f t="shared" si="15"/>
        <v>2026</v>
      </c>
      <c r="B27" s="99">
        <v>9</v>
      </c>
      <c r="C27" s="99">
        <f t="shared" si="16"/>
        <v>8</v>
      </c>
      <c r="D27" s="183">
        <f t="shared" si="1"/>
        <v>1.1408256785632938</v>
      </c>
      <c r="E27" s="184">
        <f t="shared" si="2"/>
        <v>139202278.55968308</v>
      </c>
      <c r="F27" s="184"/>
      <c r="G27" s="185" cm="1">
        <f t="array" ref="G27">IF(A27&lt;startup_year,-equity_financing*depr_cap_infl*D27,0)</f>
        <v>0</v>
      </c>
      <c r="H27" s="184">
        <f t="shared" si="13"/>
        <v>-1672790.1582299911</v>
      </c>
      <c r="I27" s="185">
        <f>IF(C27=anal_period,-SUM($I$19:I26),IF(AND(C27&gt;=1,C27&lt;anal_period),working_cap_perct*(SUM(M27:N27)-SUM(M26:N26)),0))</f>
        <v>-242986.0193282023</v>
      </c>
      <c r="J27" s="185">
        <f t="shared" si="3"/>
        <v>0</v>
      </c>
      <c r="K27" s="185">
        <f t="shared" si="4"/>
        <v>0</v>
      </c>
      <c r="L27" s="185" cm="1">
        <f t="array" ref="L27">IF(C27=plant_life,-decom_prct*depr_cap_infl*D27,0)</f>
        <v>0</v>
      </c>
      <c r="M27" s="184">
        <f>IF(OR(A27&lt;startup_year,C27&gt;anal_period),0,IF(A27=startup_year,-Main!$B$84*Main!$E$121*D27,-Main!$E$121*D27))</f>
        <v>-21185477.658329118</v>
      </c>
      <c r="N27" s="184">
        <f>IF(OR(A27&lt;startup_year,C27&gt;anal_period),0,IF(A27=startup_year,-Main!$B$86*Main!$E$134*D27,-Main!$E$134*D27))</f>
        <v>-65692681.53305243</v>
      </c>
      <c r="O27" s="184">
        <f t="shared" si="5"/>
        <v>-8593166.9029964898</v>
      </c>
      <c r="P27" s="184">
        <f t="shared" si="6"/>
        <v>43730952.465305045</v>
      </c>
      <c r="Q27" s="184">
        <f>IF(C27=anal_period,-SUM(X81:$X$134),IF(C27&gt;anal_period,0,-X81))</f>
        <v>-23316601.340189055</v>
      </c>
      <c r="R27" s="184">
        <f t="shared" si="7"/>
        <v>20414351.125115991</v>
      </c>
      <c r="S27" s="184">
        <f t="shared" si="8"/>
        <v>-5254653.9796048552</v>
      </c>
      <c r="T27" s="184">
        <f t="shared" si="9"/>
        <v>0</v>
      </c>
      <c r="U27" s="184">
        <f t="shared" si="10"/>
        <v>36560522.308141999</v>
      </c>
      <c r="V27" s="184">
        <f t="shared" si="14"/>
        <v>-5996415.7056276724</v>
      </c>
      <c r="W27" s="184">
        <f t="shared" si="11"/>
        <v>41815176.287746854</v>
      </c>
      <c r="X27" s="184"/>
      <c r="Y27" s="387">
        <f>IF(OR(C26&lt;0,C26&gt;anal_period),0,IF(C26=1,startup_perct_revs*avg_prod*365,avg_prod*365))</f>
        <v>900000000</v>
      </c>
      <c r="Z27" s="175"/>
    </row>
    <row r="28" spans="1:26" x14ac:dyDescent="0.15">
      <c r="A28" s="99">
        <f t="shared" si="15"/>
        <v>2027</v>
      </c>
      <c r="B28" s="99">
        <v>10</v>
      </c>
      <c r="C28" s="99">
        <f t="shared" si="16"/>
        <v>9</v>
      </c>
      <c r="D28" s="183">
        <f t="shared" si="1"/>
        <v>1.1625013664559962</v>
      </c>
      <c r="E28" s="184">
        <f t="shared" si="2"/>
        <v>141847121.85231704</v>
      </c>
      <c r="F28" s="184"/>
      <c r="G28" s="185" cm="1">
        <f t="array" ref="G28">IF(A28&lt;startup_year,-equity_financing*depr_cap_infl*D28,0)</f>
        <v>0</v>
      </c>
      <c r="H28" s="184">
        <f t="shared" si="13"/>
        <v>-1704573.1712363609</v>
      </c>
      <c r="I28" s="185">
        <f>IF(C28=anal_period,-SUM($I$19:I27),IF(AND(C28&gt;=1,C28&lt;anal_period),working_cap_perct*(SUM(M28:N28)-SUM(M27:N27)),0))</f>
        <v>-247602.75369543582</v>
      </c>
      <c r="J28" s="185">
        <f t="shared" si="3"/>
        <v>0</v>
      </c>
      <c r="K28" s="185">
        <f t="shared" si="4"/>
        <v>0</v>
      </c>
      <c r="L28" s="185" cm="1">
        <f t="array" ref="L28">IF(C28=plant_life,-decom_prct*depr_cap_infl*D28,0)</f>
        <v>0</v>
      </c>
      <c r="M28" s="184">
        <f>IF(OR(A28&lt;startup_year,C28&gt;anal_period),0,IF(A28=startup_year,-Main!$B$84*Main!$E$121*D28,-Main!$E$121*D28))</f>
        <v>-21588001.73383737</v>
      </c>
      <c r="N28" s="184">
        <f>IF(OR(A28&lt;startup_year,C28&gt;anal_period),0,IF(A28=startup_year,-Main!$B$86*Main!$E$134*D28,-Main!$E$134*D28))</f>
        <v>-66940842.482180417</v>
      </c>
      <c r="O28" s="184">
        <f t="shared" si="5"/>
        <v>-8593166.9029964898</v>
      </c>
      <c r="P28" s="184">
        <f t="shared" si="6"/>
        <v>44725110.733302757</v>
      </c>
      <c r="Q28" s="184">
        <f>IF(C28=anal_period,-SUM(X82:$X$134),IF(C28&gt;anal_period,0,-X82))</f>
        <v>-22779729.837733693</v>
      </c>
      <c r="R28" s="184">
        <f t="shared" si="7"/>
        <v>21945380.895569064</v>
      </c>
      <c r="S28" s="184">
        <f t="shared" si="8"/>
        <v>-5648741.0425194763</v>
      </c>
      <c r="T28" s="184">
        <f t="shared" si="9"/>
        <v>0</v>
      </c>
      <c r="U28" s="184">
        <f t="shared" si="10"/>
        <v>37124193.765851483</v>
      </c>
      <c r="V28" s="184">
        <f t="shared" si="14"/>
        <v>31127778.06022381</v>
      </c>
      <c r="W28" s="184">
        <f t="shared" si="11"/>
        <v>42772934.808370963</v>
      </c>
      <c r="X28" s="184"/>
      <c r="Y28" s="184">
        <f>IF(OR(C27&lt;0,C27&gt;anal_period),0,IF(C27=1,startup_perct_revs*avg_prod*365,avg_prod*365))</f>
        <v>900000000</v>
      </c>
      <c r="Z28" s="175"/>
    </row>
    <row r="29" spans="1:26" x14ac:dyDescent="0.15">
      <c r="A29" s="99">
        <f t="shared" si="15"/>
        <v>2028</v>
      </c>
      <c r="B29" s="99">
        <v>11</v>
      </c>
      <c r="C29" s="99">
        <f t="shared" si="16"/>
        <v>10</v>
      </c>
      <c r="D29" s="183">
        <f t="shared" si="1"/>
        <v>1.1845888924186601</v>
      </c>
      <c r="E29" s="184">
        <f t="shared" si="2"/>
        <v>144542217.16751105</v>
      </c>
      <c r="F29" s="184"/>
      <c r="G29" s="185" cm="1">
        <f t="array" ref="G29">IF(A29&lt;startup_year,-equity_financing*depr_cap_infl*D29,0)</f>
        <v>0</v>
      </c>
      <c r="H29" s="184">
        <f t="shared" si="13"/>
        <v>-1736960.0614898517</v>
      </c>
      <c r="I29" s="185">
        <f>IF(C29=anal_period,-SUM($I$19:I28),IF(AND(C29&gt;=1,C29&lt;anal_period),working_cap_perct*(SUM(M29:N29)-SUM(M28:N28)),0))</f>
        <v>-252307.20601564943</v>
      </c>
      <c r="J29" s="185">
        <f t="shared" si="3"/>
        <v>0</v>
      </c>
      <c r="K29" s="185">
        <f t="shared" si="4"/>
        <v>0</v>
      </c>
      <c r="L29" s="185" cm="1">
        <f t="array" ref="L29">IF(C29=plant_life,-decom_prct*depr_cap_infl*D29,0)</f>
        <v>0</v>
      </c>
      <c r="M29" s="184">
        <f>IF(OR(A29&lt;startup_year,C29&gt;anal_period),0,IF(A29=startup_year,-Main!$B$84*Main!$E$121*D29,-Main!$E$121*D29))</f>
        <v>-21998173.766780276</v>
      </c>
      <c r="N29" s="184">
        <f>IF(OR(A29&lt;startup_year,C29&gt;anal_period),0,IF(A29=startup_year,-Main!$B$86*Main!$E$134*D29,-Main!$E$134*D29))</f>
        <v>-68212718.48934184</v>
      </c>
      <c r="O29" s="184">
        <f t="shared" si="5"/>
        <v>-8593166.9029964898</v>
      </c>
      <c r="P29" s="184">
        <f t="shared" si="6"/>
        <v>45738158.008392438</v>
      </c>
      <c r="Q29" s="184">
        <f>IF(C29=anal_period,-SUM(X83:$X$134),IF(C29&gt;anal_period,0,-X83))</f>
        <v>-22500308.808677707</v>
      </c>
      <c r="R29" s="184">
        <f t="shared" si="7"/>
        <v>23237849.199714731</v>
      </c>
      <c r="S29" s="184">
        <f t="shared" si="8"/>
        <v>-5981422.384006571</v>
      </c>
      <c r="T29" s="184">
        <f t="shared" si="9"/>
        <v>0</v>
      </c>
      <c r="U29" s="184">
        <f t="shared" si="10"/>
        <v>37767468.356880367</v>
      </c>
      <c r="V29" s="184">
        <f t="shared" si="14"/>
        <v>68895246.417104185</v>
      </c>
      <c r="W29" s="184">
        <f t="shared" si="11"/>
        <v>43748890.740886934</v>
      </c>
      <c r="X29" s="184"/>
      <c r="Y29" s="184">
        <f t="shared" ref="Y29:Y59" si="17">IF(OR(C29&lt;0,C29&gt;anal_period),0,IF(C29=1,startup_perct_revs*avg_prod*365,avg_prod*365))</f>
        <v>900000000</v>
      </c>
      <c r="Z29" s="175"/>
    </row>
    <row r="30" spans="1:26" x14ac:dyDescent="0.15">
      <c r="A30" s="99">
        <f t="shared" si="15"/>
        <v>2029</v>
      </c>
      <c r="B30" s="99">
        <v>12</v>
      </c>
      <c r="C30" s="99">
        <f t="shared" si="16"/>
        <v>11</v>
      </c>
      <c r="D30" s="183">
        <f t="shared" si="1"/>
        <v>1.2070960813746145</v>
      </c>
      <c r="E30" s="184">
        <f t="shared" si="2"/>
        <v>147288519.29369375</v>
      </c>
      <c r="F30" s="184"/>
      <c r="G30" s="185" cm="1">
        <f t="array" ref="G30">IF(A30&lt;startup_year,-equity_financing*depr_cap_infl*D30,0)</f>
        <v>0</v>
      </c>
      <c r="H30" s="184">
        <f t="shared" si="13"/>
        <v>-242003311.04323351</v>
      </c>
      <c r="I30" s="185">
        <f>IF(C30=anal_period,-SUM($I$19:I29),IF(AND(C30&gt;=1,C30&lt;anal_period),working_cap_perct*(SUM(M30:N30)-SUM(M29:N29)),0))</f>
        <v>-257101.04292994738</v>
      </c>
      <c r="J30" s="185">
        <f t="shared" si="3"/>
        <v>0</v>
      </c>
      <c r="K30" s="185">
        <f t="shared" si="4"/>
        <v>0</v>
      </c>
      <c r="L30" s="185" cm="1">
        <f t="array" ref="L30">IF(C30=plant_life,-decom_prct*depr_cap_infl*D30,0)</f>
        <v>0</v>
      </c>
      <c r="M30" s="184">
        <f>IF(OR(A30&lt;startup_year,C30&gt;anal_period),0,IF(A30=startup_year,-Main!$B$84*Main!$E$121*D30,-Main!$E$121*D30))</f>
        <v>-22416139.068349101</v>
      </c>
      <c r="N30" s="184">
        <f>IF(OR(A30&lt;startup_year,C30&gt;anal_period),0,IF(A30=startup_year,-Main!$B$86*Main!$E$134*D30,-Main!$E$134*D30))</f>
        <v>-69508760.140639335</v>
      </c>
      <c r="O30" s="184">
        <f t="shared" si="5"/>
        <v>-8593166.9029964898</v>
      </c>
      <c r="P30" s="184">
        <f t="shared" si="6"/>
        <v>46770453.181708828</v>
      </c>
      <c r="Q30" s="184">
        <f>IF(C30=anal_period,-SUM(X84:$X$134),IF(C30&gt;anal_period,0,-X84))</f>
        <v>-31266510.896908469</v>
      </c>
      <c r="R30" s="184">
        <f t="shared" si="7"/>
        <v>15503942.284800358</v>
      </c>
      <c r="S30" s="184">
        <f t="shared" si="8"/>
        <v>-3990714.7441076115</v>
      </c>
      <c r="T30" s="184">
        <f t="shared" si="9"/>
        <v>0</v>
      </c>
      <c r="U30" s="184">
        <f t="shared" si="10"/>
        <v>-199480673.64856225</v>
      </c>
      <c r="V30" s="184">
        <f t="shared" si="14"/>
        <v>-130585427.23145807</v>
      </c>
      <c r="W30" s="184">
        <f t="shared" si="11"/>
        <v>-195489958.90445465</v>
      </c>
      <c r="X30" s="184"/>
      <c r="Y30" s="184">
        <f t="shared" si="17"/>
        <v>900000000</v>
      </c>
      <c r="Z30" s="175"/>
    </row>
    <row r="31" spans="1:26" x14ac:dyDescent="0.15">
      <c r="A31" s="99">
        <f t="shared" si="15"/>
        <v>2030</v>
      </c>
      <c r="B31" s="99">
        <v>13</v>
      </c>
      <c r="C31" s="99">
        <f t="shared" si="16"/>
        <v>12</v>
      </c>
      <c r="D31" s="183">
        <f t="shared" si="1"/>
        <v>1.2300309069207322</v>
      </c>
      <c r="E31" s="184">
        <f t="shared" si="2"/>
        <v>150087001.16027394</v>
      </c>
      <c r="F31" s="184"/>
      <c r="G31" s="185" cm="1">
        <f t="array" ref="G31">IF(A31&lt;startup_year,-equity_financing*depr_cap_infl*D31,0)</f>
        <v>0</v>
      </c>
      <c r="H31" s="184">
        <f t="shared" si="13"/>
        <v>-1803591.5864086638</v>
      </c>
      <c r="I31" s="185">
        <f>IF(C31=anal_period,-SUM($I$19:I30),IF(AND(C31&gt;=1,C31&lt;anal_period),working_cap_perct*(SUM(M31:N31)-SUM(M30:N30)),0))</f>
        <v>-261985.96274561808</v>
      </c>
      <c r="J31" s="185">
        <f t="shared" si="3"/>
        <v>0</v>
      </c>
      <c r="K31" s="185">
        <f t="shared" si="4"/>
        <v>0</v>
      </c>
      <c r="L31" s="185" cm="1">
        <f t="array" ref="L31">IF(C31=plant_life,-decom_prct*depr_cap_infl*D31,0)</f>
        <v>0</v>
      </c>
      <c r="M31" s="184">
        <f>IF(OR(A31&lt;startup_year,C31&gt;anal_period),0,IF(A31=startup_year,-Main!$B$84*Main!$E$121*D31,-Main!$E$121*D31))</f>
        <v>-22842045.710647736</v>
      </c>
      <c r="N31" s="184">
        <f>IF(OR(A31&lt;startup_year,C31&gt;anal_period),0,IF(A31=startup_year,-Main!$B$86*Main!$E$134*D31,-Main!$E$134*D31))</f>
        <v>-70829426.583311483</v>
      </c>
      <c r="O31" s="184">
        <f t="shared" si="5"/>
        <v>-8593166.9029964898</v>
      </c>
      <c r="P31" s="184">
        <f t="shared" si="6"/>
        <v>47822361.963318229</v>
      </c>
      <c r="Q31" s="184">
        <f>IF(C31=anal_period,-SUM(X85:$X$134),IF(C31&gt;anal_period,0,-X85))</f>
        <v>-39375213.972236492</v>
      </c>
      <c r="R31" s="184">
        <f t="shared" si="7"/>
        <v>8447147.991081737</v>
      </c>
      <c r="S31" s="184">
        <f t="shared" si="8"/>
        <v>-2174295.892904439</v>
      </c>
      <c r="T31" s="184">
        <f t="shared" si="9"/>
        <v>0</v>
      </c>
      <c r="U31" s="184">
        <f t="shared" si="10"/>
        <v>43582488.521259509</v>
      </c>
      <c r="V31" s="184">
        <f t="shared" si="14"/>
        <v>-87002938.710198551</v>
      </c>
      <c r="W31" s="184">
        <f t="shared" si="11"/>
        <v>45756784.414163947</v>
      </c>
      <c r="X31" s="184"/>
      <c r="Y31" s="184">
        <f t="shared" si="17"/>
        <v>900000000</v>
      </c>
      <c r="Z31" s="175"/>
    </row>
    <row r="32" spans="1:26" x14ac:dyDescent="0.15">
      <c r="A32" s="99">
        <f t="shared" si="15"/>
        <v>2031</v>
      </c>
      <c r="B32" s="99">
        <v>14</v>
      </c>
      <c r="C32" s="99">
        <f t="shared" si="16"/>
        <v>13</v>
      </c>
      <c r="D32" s="183">
        <f t="shared" si="1"/>
        <v>1.253401494152226</v>
      </c>
      <c r="E32" s="184">
        <f t="shared" si="2"/>
        <v>152938654.18231913</v>
      </c>
      <c r="F32" s="184"/>
      <c r="G32" s="185" cm="1">
        <f t="array" ref="G32">IF(A32&lt;startup_year,-equity_financing*depr_cap_infl*D32,0)</f>
        <v>0</v>
      </c>
      <c r="H32" s="184">
        <f t="shared" si="13"/>
        <v>-1837859.8265504281</v>
      </c>
      <c r="I32" s="185">
        <f>IF(C32=anal_period,-SUM($I$19:I31),IF(AND(C32&gt;=1,C32&lt;anal_period),working_cap_perct*(SUM(M32:N32)-SUM(M31:N31)),0))</f>
        <v>-266963.69603778049</v>
      </c>
      <c r="J32" s="185">
        <f t="shared" si="3"/>
        <v>0</v>
      </c>
      <c r="K32" s="185">
        <f t="shared" si="4"/>
        <v>0</v>
      </c>
      <c r="L32" s="185" cm="1">
        <f t="array" ref="L32">IF(C32=plant_life,-decom_prct*depr_cap_infl*D32,0)</f>
        <v>0</v>
      </c>
      <c r="M32" s="184">
        <f>IF(OR(A32&lt;startup_year,C32&gt;anal_period),0,IF(A32=startup_year,-Main!$B$84*Main!$E$121*D32,-Main!$E$121*D32))</f>
        <v>-23276044.57915004</v>
      </c>
      <c r="N32" s="184">
        <f>IF(OR(A32&lt;startup_year,C32&gt;anal_period),0,IF(A32=startup_year,-Main!$B$86*Main!$E$134*D32,-Main!$E$134*D32))</f>
        <v>-72175185.688394383</v>
      </c>
      <c r="O32" s="184">
        <f t="shared" si="5"/>
        <v>-8593166.9029964898</v>
      </c>
      <c r="P32" s="184">
        <f t="shared" si="6"/>
        <v>48894257.011778221</v>
      </c>
      <c r="Q32" s="184">
        <f>IF(C32=anal_period,-SUM(X86:$X$134),IF(C32&gt;anal_period,0,-X86))</f>
        <v>-37881255.831574924</v>
      </c>
      <c r="R32" s="184">
        <f t="shared" si="7"/>
        <v>11013001.180203296</v>
      </c>
      <c r="S32" s="184">
        <f t="shared" si="8"/>
        <v>-2834746.5037843282</v>
      </c>
      <c r="T32" s="184">
        <f t="shared" si="9"/>
        <v>0</v>
      </c>
      <c r="U32" s="184">
        <f t="shared" si="10"/>
        <v>43954686.985405684</v>
      </c>
      <c r="V32" s="184">
        <f t="shared" si="14"/>
        <v>-43048251.724792868</v>
      </c>
      <c r="W32" s="184">
        <f t="shared" si="11"/>
        <v>46789433.489190012</v>
      </c>
      <c r="X32" s="184"/>
      <c r="Y32" s="184">
        <f t="shared" si="17"/>
        <v>900000000</v>
      </c>
      <c r="Z32" s="175"/>
    </row>
    <row r="33" spans="1:26" x14ac:dyDescent="0.15">
      <c r="A33" s="99">
        <f t="shared" si="15"/>
        <v>2032</v>
      </c>
      <c r="B33" s="99">
        <v>15</v>
      </c>
      <c r="C33" s="99">
        <f t="shared" si="16"/>
        <v>14</v>
      </c>
      <c r="D33" s="183">
        <f t="shared" si="1"/>
        <v>1.277216122541118</v>
      </c>
      <c r="E33" s="184">
        <f t="shared" si="2"/>
        <v>155844488.61178315</v>
      </c>
      <c r="F33" s="184"/>
      <c r="G33" s="185" cm="1">
        <f t="array" ref="G33">IF(A33&lt;startup_year,-equity_financing*depr_cap_infl*D33,0)</f>
        <v>0</v>
      </c>
      <c r="H33" s="184">
        <f t="shared" si="13"/>
        <v>-1872779.1632548859</v>
      </c>
      <c r="I33" s="185">
        <f>IF(C33=anal_period,-SUM($I$19:I32),IF(AND(C33&gt;=1,C33&lt;anal_period),working_cap_perct*(SUM(M33:N33)-SUM(M32:N32)),0))</f>
        <v>-272036.00626249908</v>
      </c>
      <c r="J33" s="185">
        <f t="shared" si="3"/>
        <v>0</v>
      </c>
      <c r="K33" s="185">
        <f t="shared" si="4"/>
        <v>0</v>
      </c>
      <c r="L33" s="185" cm="1">
        <f t="array" ref="L33">IF(C33=plant_life,-decom_prct*depr_cap_infl*D33,0)</f>
        <v>0</v>
      </c>
      <c r="M33" s="184">
        <f>IF(OR(A33&lt;startup_year,C33&gt;anal_period),0,IF(A33=startup_year,-Main!$B$84*Main!$E$121*D33,-Main!$E$121*D33))</f>
        <v>-23718289.426153883</v>
      </c>
      <c r="N33" s="184">
        <f>IF(OR(A33&lt;startup_year,C33&gt;anal_period),0,IF(A33=startup_year,-Main!$B$86*Main!$E$134*D33,-Main!$E$134*D33))</f>
        <v>-73546514.216473863</v>
      </c>
      <c r="O33" s="184">
        <f t="shared" si="5"/>
        <v>-8593166.9029964898</v>
      </c>
      <c r="P33" s="184">
        <f t="shared" si="6"/>
        <v>49986518.066158906</v>
      </c>
      <c r="Q33" s="184">
        <f>IF(C33=anal_period,-SUM(X87:$X$134),IF(C33&gt;anal_period,0,-X87))</f>
        <v>-36716601.085546322</v>
      </c>
      <c r="R33" s="184">
        <f t="shared" si="7"/>
        <v>13269916.980612583</v>
      </c>
      <c r="S33" s="184">
        <f t="shared" si="8"/>
        <v>-3415676.6308096787</v>
      </c>
      <c r="T33" s="184">
        <f t="shared" si="9"/>
        <v>0</v>
      </c>
      <c r="U33" s="184">
        <f t="shared" si="10"/>
        <v>44426026.265831843</v>
      </c>
      <c r="V33" s="184">
        <f t="shared" si="14"/>
        <v>1377774.5410389751</v>
      </c>
      <c r="W33" s="184">
        <f t="shared" si="11"/>
        <v>47841702.896641523</v>
      </c>
      <c r="X33" s="184"/>
      <c r="Y33" s="184">
        <f t="shared" si="17"/>
        <v>900000000</v>
      </c>
      <c r="Z33" s="175"/>
    </row>
    <row r="34" spans="1:26" x14ac:dyDescent="0.15">
      <c r="A34" s="99">
        <f t="shared" si="15"/>
        <v>2033</v>
      </c>
      <c r="B34" s="99">
        <v>16</v>
      </c>
      <c r="C34" s="99">
        <f t="shared" si="16"/>
        <v>15</v>
      </c>
      <c r="D34" s="183">
        <f t="shared" si="1"/>
        <v>1.3014832288693996</v>
      </c>
      <c r="E34" s="184">
        <f t="shared" si="2"/>
        <v>158805533.89540708</v>
      </c>
      <c r="F34" s="184"/>
      <c r="G34" s="185" cm="1">
        <f t="array" ref="G34">IF(A34&lt;startup_year,-equity_financing*depr_cap_infl*D34,0)</f>
        <v>0</v>
      </c>
      <c r="H34" s="184">
        <f t="shared" si="13"/>
        <v>-1908361.9673567291</v>
      </c>
      <c r="I34" s="185">
        <f>IF(C34=anal_period,-SUM($I$19:I33),IF(AND(C34&gt;=1,C34&lt;anal_period),working_cap_perct*(SUM(M34:N34)-SUM(M33:N33)),0))</f>
        <v>-277204.69038149266</v>
      </c>
      <c r="J34" s="185">
        <f t="shared" si="3"/>
        <v>0</v>
      </c>
      <c r="K34" s="185">
        <f t="shared" si="4"/>
        <v>0</v>
      </c>
      <c r="L34" s="185" cm="1">
        <f t="array" ref="L34">IF(C34=plant_life,-decom_prct*depr_cap_infl*D34,0)</f>
        <v>0</v>
      </c>
      <c r="M34" s="184">
        <f>IF(OR(A34&lt;startup_year,C34&gt;anal_period),0,IF(A34=startup_year,-Main!$B$84*Main!$E$121*D34,-Main!$E$121*D34))</f>
        <v>-24168936.925250813</v>
      </c>
      <c r="N34" s="184">
        <f>IF(OR(A34&lt;startup_year,C34&gt;anal_period),0,IF(A34=startup_year,-Main!$B$86*Main!$E$134*D34,-Main!$E$134*D34))</f>
        <v>-74943897.986586884</v>
      </c>
      <c r="O34" s="184">
        <f t="shared" si="5"/>
        <v>-8593166.9029964898</v>
      </c>
      <c r="P34" s="184">
        <f t="shared" si="6"/>
        <v>51099532.080572888</v>
      </c>
      <c r="Q34" s="184">
        <f>IF(C34=anal_period,-SUM(X88:$X$134),IF(C34&gt;anal_period,0,-X88))</f>
        <v>-35693051.552174196</v>
      </c>
      <c r="R34" s="184">
        <f t="shared" si="7"/>
        <v>15406480.528398693</v>
      </c>
      <c r="S34" s="184">
        <f t="shared" si="8"/>
        <v>-3965628.0880098231</v>
      </c>
      <c r="T34" s="184">
        <f t="shared" si="9"/>
        <v>0</v>
      </c>
      <c r="U34" s="184">
        <f t="shared" si="10"/>
        <v>44948337.334824845</v>
      </c>
      <c r="V34" s="184">
        <f t="shared" si="14"/>
        <v>46326111.87586382</v>
      </c>
      <c r="W34" s="184">
        <f t="shared" si="11"/>
        <v>48913965.422834665</v>
      </c>
      <c r="X34" s="184"/>
      <c r="Y34" s="184">
        <f t="shared" si="17"/>
        <v>900000000</v>
      </c>
      <c r="Z34" s="175"/>
    </row>
    <row r="35" spans="1:26" x14ac:dyDescent="0.15">
      <c r="A35" s="99">
        <f t="shared" si="15"/>
        <v>2034</v>
      </c>
      <c r="B35" s="99">
        <v>17</v>
      </c>
      <c r="C35" s="99">
        <f t="shared" si="16"/>
        <v>16</v>
      </c>
      <c r="D35" s="183">
        <f t="shared" si="1"/>
        <v>1.3262114102179181</v>
      </c>
      <c r="E35" s="184">
        <f t="shared" si="2"/>
        <v>161822839.03941983</v>
      </c>
      <c r="F35" s="184"/>
      <c r="G35" s="185" cm="1">
        <f t="array" ref="G35">IF(A35&lt;startup_year,-equity_financing*depr_cap_infl*D35,0)</f>
        <v>0</v>
      </c>
      <c r="H35" s="184">
        <f t="shared" si="13"/>
        <v>-94469276.619062722</v>
      </c>
      <c r="I35" s="185">
        <f>IF(C35=anal_period,-SUM($I$19:I34),IF(AND(C35&gt;=1,C35&lt;anal_period),working_cap_perct*(SUM(M35:N35)-SUM(M34:N34)),0))</f>
        <v>-282471.57949873654</v>
      </c>
      <c r="J35" s="185">
        <f t="shared" si="3"/>
        <v>0</v>
      </c>
      <c r="K35" s="185">
        <f t="shared" si="4"/>
        <v>0</v>
      </c>
      <c r="L35" s="185" cm="1">
        <f t="array" ref="L35">IF(C35=plant_life,-decom_prct*depr_cap_infl*D35,0)</f>
        <v>0</v>
      </c>
      <c r="M35" s="184">
        <f>IF(OR(A35&lt;startup_year,C35&gt;anal_period),0,IF(A35=startup_year,-Main!$B$84*Main!$E$121*D35,-Main!$E$121*D35))</f>
        <v>-24628146.726830579</v>
      </c>
      <c r="N35" s="184">
        <f>IF(OR(A35&lt;startup_year,C35&gt;anal_period),0,IF(A35=startup_year,-Main!$B$86*Main!$E$134*D35,-Main!$E$134*D35))</f>
        <v>-76367832.048332036</v>
      </c>
      <c r="O35" s="184">
        <f t="shared" si="5"/>
        <v>-8593166.9029964898</v>
      </c>
      <c r="P35" s="184">
        <f t="shared" si="6"/>
        <v>52233693.361260727</v>
      </c>
      <c r="Q35" s="184">
        <f>IF(C35=anal_period,-SUM(X89:$X$134),IF(C35&gt;anal_period,0,-X89))</f>
        <v>-38221109.922768697</v>
      </c>
      <c r="R35" s="184">
        <f t="shared" si="7"/>
        <v>14012583.43849203</v>
      </c>
      <c r="S35" s="184">
        <f t="shared" si="8"/>
        <v>-3606838.9770678477</v>
      </c>
      <c r="T35" s="184">
        <f t="shared" si="9"/>
        <v>0</v>
      </c>
      <c r="U35" s="184">
        <f t="shared" si="10"/>
        <v>-46124893.814368583</v>
      </c>
      <c r="V35" s="184">
        <f t="shared" si="14"/>
        <v>201218.06149523705</v>
      </c>
      <c r="W35" s="184">
        <f t="shared" si="11"/>
        <v>-42518054.837300733</v>
      </c>
      <c r="X35" s="184"/>
      <c r="Y35" s="184">
        <f t="shared" si="17"/>
        <v>900000000</v>
      </c>
      <c r="Z35" s="175"/>
    </row>
    <row r="36" spans="1:26" x14ac:dyDescent="0.15">
      <c r="A36" s="99">
        <f t="shared" si="15"/>
        <v>2035</v>
      </c>
      <c r="B36" s="99">
        <v>18</v>
      </c>
      <c r="C36" s="99">
        <f t="shared" si="16"/>
        <v>17</v>
      </c>
      <c r="D36" s="183">
        <f t="shared" si="1"/>
        <v>1.3514094270120585</v>
      </c>
      <c r="E36" s="184">
        <f t="shared" si="2"/>
        <v>164897472.98116878</v>
      </c>
      <c r="F36" s="184"/>
      <c r="G36" s="185" cm="1">
        <f t="array" ref="G36">IF(A36&lt;startup_year,-equity_financing*depr_cap_infl*D36,0)</f>
        <v>0</v>
      </c>
      <c r="H36" s="184">
        <f t="shared" si="13"/>
        <v>-1981568.6407865004</v>
      </c>
      <c r="I36" s="185">
        <f>IF(C36=anal_period,-SUM($I$19:I35),IF(AND(C36&gt;=1,C36&lt;anal_period),working_cap_perct*(SUM(M36:N36)-SUM(M35:N35)),0))</f>
        <v>-287838.53950921295</v>
      </c>
      <c r="J36" s="185">
        <f t="shared" si="3"/>
        <v>0</v>
      </c>
      <c r="K36" s="185">
        <f t="shared" si="4"/>
        <v>0</v>
      </c>
      <c r="L36" s="185" cm="1">
        <f t="array" ref="L36">IF(C36=plant_life,-decom_prct*depr_cap_infl*D36,0)</f>
        <v>0</v>
      </c>
      <c r="M36" s="184">
        <f>IF(OR(A36&lt;startup_year,C36&gt;anal_period),0,IF(A36=startup_year,-Main!$B$84*Main!$E$121*D36,-Main!$E$121*D36))</f>
        <v>-25096081.514640357</v>
      </c>
      <c r="N36" s="184">
        <f>IF(OR(A36&lt;startup_year,C36&gt;anal_period),0,IF(A36=startup_year,-Main!$B$86*Main!$E$134*D36,-Main!$E$134*D36))</f>
        <v>-77818820.857250333</v>
      </c>
      <c r="O36" s="184">
        <f t="shared" si="5"/>
        <v>-8593166.9029964898</v>
      </c>
      <c r="P36" s="184">
        <f t="shared" si="6"/>
        <v>53389403.706281587</v>
      </c>
      <c r="Q36" s="184">
        <f>IF(C36=anal_period,-SUM(X90:$X$134),IF(C36&gt;anal_period,0,-X90))</f>
        <v>-40571573.640476696</v>
      </c>
      <c r="R36" s="184">
        <f t="shared" si="7"/>
        <v>12817830.065804891</v>
      </c>
      <c r="S36" s="184">
        <f t="shared" si="8"/>
        <v>-3299309.4589381786</v>
      </c>
      <c r="T36" s="184">
        <f t="shared" si="9"/>
        <v>0</v>
      </c>
      <c r="U36" s="184">
        <f t="shared" si="10"/>
        <v>47820687.067047693</v>
      </c>
      <c r="V36" s="184">
        <f t="shared" si="14"/>
        <v>48021905.12854293</v>
      </c>
      <c r="W36" s="184">
        <f t="shared" si="11"/>
        <v>51119996.525985874</v>
      </c>
      <c r="X36" s="184"/>
      <c r="Y36" s="184">
        <f t="shared" si="17"/>
        <v>900000000</v>
      </c>
      <c r="Z36" s="175"/>
    </row>
    <row r="37" spans="1:26" x14ac:dyDescent="0.15">
      <c r="A37" s="99">
        <f t="shared" si="15"/>
        <v>2036</v>
      </c>
      <c r="B37" s="99">
        <v>19</v>
      </c>
      <c r="C37" s="99">
        <f t="shared" si="16"/>
        <v>18</v>
      </c>
      <c r="D37" s="183">
        <f t="shared" si="1"/>
        <v>1.3770862061252875</v>
      </c>
      <c r="E37" s="184">
        <f t="shared" si="2"/>
        <v>168030524.96781099</v>
      </c>
      <c r="F37" s="184"/>
      <c r="G37" s="185" cm="1">
        <f t="array" ref="G37">IF(A37&lt;startup_year,-equity_financing*depr_cap_infl*D37,0)</f>
        <v>0</v>
      </c>
      <c r="H37" s="184">
        <f t="shared" si="13"/>
        <v>-2019218.4449614438</v>
      </c>
      <c r="I37" s="185">
        <f>IF(C37=anal_period,-SUM($I$19:I36),IF(AND(C37&gt;=1,C37&lt;anal_period),working_cap_perct*(SUM(M37:N37)-SUM(M36:N36)),0))</f>
        <v>-293307.47175988776</v>
      </c>
      <c r="J37" s="185">
        <f t="shared" si="3"/>
        <v>0</v>
      </c>
      <c r="K37" s="185">
        <f t="shared" si="4"/>
        <v>0</v>
      </c>
      <c r="L37" s="185" cm="1">
        <f t="array" ref="L37">IF(C37=plant_life,-decom_prct*depr_cap_infl*D37,0)</f>
        <v>0</v>
      </c>
      <c r="M37" s="184">
        <f>IF(OR(A37&lt;startup_year,C37&gt;anal_period),0,IF(A37=startup_year,-Main!$B$84*Main!$E$121*D37,-Main!$E$121*D37))</f>
        <v>-25572907.063418522</v>
      </c>
      <c r="N37" s="184">
        <f>IF(OR(A37&lt;startup_year,C37&gt;anal_period),0,IF(A37=startup_year,-Main!$B$86*Main!$E$134*D37,-Main!$E$134*D37))</f>
        <v>-79297378.45353809</v>
      </c>
      <c r="O37" s="184">
        <f t="shared" si="5"/>
        <v>-8593166.9029964898</v>
      </c>
      <c r="P37" s="184">
        <f t="shared" si="6"/>
        <v>54567072.547857881</v>
      </c>
      <c r="Q37" s="184">
        <f>IF(C37=anal_period,-SUM(X91:$X$134),IF(C37&gt;anal_period,0,-X91))</f>
        <v>-39280859.215442494</v>
      </c>
      <c r="R37" s="184">
        <f t="shared" si="7"/>
        <v>15286213.332415387</v>
      </c>
      <c r="S37" s="184">
        <f t="shared" si="8"/>
        <v>-3934671.3117637201</v>
      </c>
      <c r="T37" s="184">
        <f t="shared" si="9"/>
        <v>0</v>
      </c>
      <c r="U37" s="184">
        <f t="shared" si="10"/>
        <v>48319875.319372833</v>
      </c>
      <c r="V37" s="184">
        <f t="shared" si="14"/>
        <v>96341780.447915763</v>
      </c>
      <c r="W37" s="184">
        <f t="shared" si="11"/>
        <v>52254546.631136551</v>
      </c>
      <c r="X37" s="184"/>
      <c r="Y37" s="184">
        <f t="shared" si="17"/>
        <v>900000000</v>
      </c>
      <c r="Z37" s="175"/>
    </row>
    <row r="38" spans="1:26" x14ac:dyDescent="0.15">
      <c r="A38" s="99">
        <f t="shared" si="15"/>
        <v>2037</v>
      </c>
      <c r="B38" s="99">
        <v>20</v>
      </c>
      <c r="C38" s="99">
        <f t="shared" si="16"/>
        <v>19</v>
      </c>
      <c r="D38" s="183">
        <f t="shared" si="1"/>
        <v>1.4032508440416678</v>
      </c>
      <c r="E38" s="184">
        <f t="shared" si="2"/>
        <v>171223104.94219935</v>
      </c>
      <c r="F38" s="184"/>
      <c r="G38" s="185" cm="1">
        <f t="array" ref="G38">IF(A38&lt;startup_year,-equity_financing*depr_cap_infl*D38,0)</f>
        <v>0</v>
      </c>
      <c r="H38" s="184">
        <f t="shared" si="13"/>
        <v>-2057583.5954157109</v>
      </c>
      <c r="I38" s="185">
        <f>IF(C38=anal_period,-SUM($I$19:I37),IF(AND(C38&gt;=1,C38&lt;anal_period),working_cap_perct*(SUM(M38:N38)-SUM(M37:N37)),0))</f>
        <v>-298880.31372332497</v>
      </c>
      <c r="J38" s="185">
        <f t="shared" si="3"/>
        <v>0</v>
      </c>
      <c r="K38" s="185">
        <f t="shared" si="4"/>
        <v>0</v>
      </c>
      <c r="L38" s="185" cm="1">
        <f t="array" ref="L38">IF(C38=plant_life,-decom_prct*depr_cap_infl*D38,0)</f>
        <v>0</v>
      </c>
      <c r="M38" s="184">
        <f>IF(OR(A38&lt;startup_year,C38&gt;anal_period),0,IF(A38=startup_year,-Main!$B$84*Main!$E$121*D38,-Main!$E$121*D38))</f>
        <v>-26058792.29762347</v>
      </c>
      <c r="N38" s="184">
        <f>IF(OR(A38&lt;startup_year,C38&gt;anal_period),0,IF(A38=startup_year,-Main!$B$86*Main!$E$134*D38,-Main!$E$134*D38))</f>
        <v>-80804028.644155309</v>
      </c>
      <c r="O38" s="184">
        <f t="shared" si="5"/>
        <v>-8593166.9029964898</v>
      </c>
      <c r="P38" s="184">
        <f t="shared" si="6"/>
        <v>55767117.097424075</v>
      </c>
      <c r="Q38" s="184">
        <f>IF(C38=anal_period,-SUM(X92:$X$134),IF(C38&gt;anal_period,0,-X92))</f>
        <v>-38772111.859035179</v>
      </c>
      <c r="R38" s="184">
        <f t="shared" si="7"/>
        <v>16995005.238388896</v>
      </c>
      <c r="S38" s="184">
        <f t="shared" si="8"/>
        <v>-4374514.3483613012</v>
      </c>
      <c r="T38" s="184">
        <f t="shared" si="9"/>
        <v>0</v>
      </c>
      <c r="U38" s="184">
        <f t="shared" si="10"/>
        <v>49036138.839923739</v>
      </c>
      <c r="V38" s="184">
        <f t="shared" si="14"/>
        <v>145377919.2878395</v>
      </c>
      <c r="W38" s="184">
        <f t="shared" si="11"/>
        <v>53410653.188285038</v>
      </c>
      <c r="X38" s="184"/>
      <c r="Y38" s="184">
        <f t="shared" si="17"/>
        <v>900000000</v>
      </c>
      <c r="Z38" s="175"/>
    </row>
    <row r="39" spans="1:26" x14ac:dyDescent="0.15">
      <c r="A39" s="99">
        <f t="shared" si="15"/>
        <v>2038</v>
      </c>
      <c r="B39" s="99">
        <v>21</v>
      </c>
      <c r="C39" s="99">
        <f t="shared" si="16"/>
        <v>20</v>
      </c>
      <c r="D39" s="183">
        <f t="shared" si="1"/>
        <v>1.4299126100784596</v>
      </c>
      <c r="E39" s="184">
        <f t="shared" si="2"/>
        <v>174476343.93610117</v>
      </c>
      <c r="F39" s="184"/>
      <c r="G39" s="185" cm="1">
        <f t="array" ref="G39">IF(A39&lt;startup_year,-equity_financing*depr_cap_infl*D39,0)</f>
        <v>0</v>
      </c>
      <c r="H39" s="184">
        <f t="shared" si="13"/>
        <v>-2096677.6837286097</v>
      </c>
      <c r="I39" s="185">
        <f>IF(C39=anal_period,-SUM($I$19:I38),IF(AND(C39&gt;=1,C39&lt;anal_period),working_cap_perct*(SUM(M39:N39)-SUM(M38:N38)),0))</f>
        <v>-304559.03968407062</v>
      </c>
      <c r="J39" s="185">
        <f t="shared" si="3"/>
        <v>0</v>
      </c>
      <c r="K39" s="185">
        <f t="shared" si="4"/>
        <v>0</v>
      </c>
      <c r="L39" s="185" cm="1">
        <f t="array" ref="L39">IF(C39=plant_life,-decom_prct*depr_cap_infl*D39,0)</f>
        <v>0</v>
      </c>
      <c r="M39" s="184">
        <f>IF(OR(A39&lt;startup_year,C39&gt;anal_period),0,IF(A39=startup_year,-Main!$B$84*Main!$E$121*D39,-Main!$E$121*D39))</f>
        <v>-26553909.35127832</v>
      </c>
      <c r="N39" s="184">
        <f>IF(OR(A39&lt;startup_year,C39&gt;anal_period),0,IF(A39=startup_year,-Main!$B$86*Main!$E$134*D39,-Main!$E$134*D39))</f>
        <v>-82339305.188394263</v>
      </c>
      <c r="O39" s="184">
        <f t="shared" si="5"/>
        <v>-8593166.9029964898</v>
      </c>
      <c r="P39" s="184">
        <f t="shared" si="6"/>
        <v>56989962.49343209</v>
      </c>
      <c r="Q39" s="184">
        <f>IF(C39=anal_period,-SUM(X93:$X$134),IF(C39&gt;anal_period,0,-X93))</f>
        <v>-38433991.133157901</v>
      </c>
      <c r="R39" s="184">
        <f t="shared" si="7"/>
        <v>18555971.360274188</v>
      </c>
      <c r="S39" s="184">
        <f t="shared" si="8"/>
        <v>-4776307.0281345751</v>
      </c>
      <c r="T39" s="184">
        <f t="shared" si="9"/>
        <v>0</v>
      </c>
      <c r="U39" s="184">
        <f t="shared" si="10"/>
        <v>49812418.741884835</v>
      </c>
      <c r="V39" s="184">
        <f t="shared" si="14"/>
        <v>195190338.02972433</v>
      </c>
      <c r="W39" s="184">
        <f t="shared" si="11"/>
        <v>54588725.770019412</v>
      </c>
      <c r="X39" s="184"/>
      <c r="Y39" s="184">
        <f t="shared" si="17"/>
        <v>900000000</v>
      </c>
      <c r="Z39" s="175"/>
    </row>
    <row r="40" spans="1:26" x14ac:dyDescent="0.15">
      <c r="A40" s="99">
        <f t="shared" si="15"/>
        <v>2039</v>
      </c>
      <c r="B40" s="99">
        <v>22</v>
      </c>
      <c r="C40" s="99">
        <f t="shared" si="16"/>
        <v>21</v>
      </c>
      <c r="D40" s="183">
        <f t="shared" si="1"/>
        <v>1.4570809496699502</v>
      </c>
      <c r="E40" s="184">
        <f t="shared" si="2"/>
        <v>177791394.47088706</v>
      </c>
      <c r="F40" s="184"/>
      <c r="G40" s="185" cm="1">
        <f t="array" ref="G40">IF(A40&lt;startup_year,-equity_financing*depr_cap_infl*D40,0)</f>
        <v>0</v>
      </c>
      <c r="H40" s="184">
        <f t="shared" si="13"/>
        <v>-292121248.43996918</v>
      </c>
      <c r="I40" s="185">
        <f>IF(C40=anal_period,-SUM($I$19:I39),IF(AND(C40&gt;=1,C40&lt;anal_period),working_cap_perct*(SUM(M40:N40)-SUM(M39:N39)),0))</f>
        <v>-310345.66143806576</v>
      </c>
      <c r="J40" s="185">
        <f t="shared" si="3"/>
        <v>0</v>
      </c>
      <c r="K40" s="185">
        <f t="shared" si="4"/>
        <v>0</v>
      </c>
      <c r="L40" s="185" cm="1">
        <f t="array" ref="L40">IF(C40=plant_life,-decom_prct*depr_cap_infl*D40,0)</f>
        <v>0</v>
      </c>
      <c r="M40" s="184">
        <f>IF(OR(A40&lt;startup_year,C40&gt;anal_period),0,IF(A40=startup_year,-Main!$B$84*Main!$E$121*D40,-Main!$E$121*D40))</f>
        <v>-27058433.628952604</v>
      </c>
      <c r="N40" s="184">
        <f>IF(OR(A40&lt;startup_year,C40&gt;anal_period),0,IF(A40=startup_year,-Main!$B$86*Main!$E$134*D40,-Main!$E$134*D40))</f>
        <v>-83903751.986973748</v>
      </c>
      <c r="O40" s="184">
        <f t="shared" si="5"/>
        <v>-8593166.9029964898</v>
      </c>
      <c r="P40" s="184">
        <f t="shared" si="6"/>
        <v>58236041.951964214</v>
      </c>
      <c r="Q40" s="184">
        <f>IF(C40=anal_period,-SUM(X94:$X$134),IF(C40&gt;anal_period,0,-X94))</f>
        <v>-40348013.257687859</v>
      </c>
      <c r="R40" s="184">
        <f t="shared" si="7"/>
        <v>17888028.694276355</v>
      </c>
      <c r="S40" s="184">
        <f t="shared" si="8"/>
        <v>-4604378.5859067328</v>
      </c>
      <c r="T40" s="184">
        <f t="shared" si="9"/>
        <v>0</v>
      </c>
      <c r="U40" s="184">
        <f t="shared" si="10"/>
        <v>-238799930.73534977</v>
      </c>
      <c r="V40" s="184">
        <f t="shared" si="14"/>
        <v>-43609592.705625445</v>
      </c>
      <c r="W40" s="184">
        <f t="shared" si="11"/>
        <v>-234195552.14944303</v>
      </c>
      <c r="X40" s="184"/>
      <c r="Y40" s="184">
        <f t="shared" si="17"/>
        <v>900000000</v>
      </c>
      <c r="Z40" s="175"/>
    </row>
    <row r="41" spans="1:26" x14ac:dyDescent="0.15">
      <c r="A41" s="99">
        <f t="shared" si="15"/>
        <v>2040</v>
      </c>
      <c r="B41" s="99">
        <v>23</v>
      </c>
      <c r="C41" s="99">
        <f t="shared" si="16"/>
        <v>22</v>
      </c>
      <c r="D41" s="183">
        <f t="shared" si="1"/>
        <v>1.4847654877136791</v>
      </c>
      <c r="E41" s="184">
        <f t="shared" si="2"/>
        <v>181169430.9658339</v>
      </c>
      <c r="F41" s="184"/>
      <c r="G41" s="185" cm="1">
        <f t="array" ref="G41">IF(A41&lt;startup_year,-equity_financing*depr_cap_infl*D41,0)</f>
        <v>0</v>
      </c>
      <c r="H41" s="184">
        <f t="shared" si="13"/>
        <v>-2177108.3363541225</v>
      </c>
      <c r="I41" s="185">
        <f>IF(C41=anal_period,-SUM($I$19:I40),IF(AND(C41&gt;=1,C41&lt;anal_period),working_cap_perct*(SUM(M41:N41)-SUM(M40:N40)),0))</f>
        <v>-316242.2290053874</v>
      </c>
      <c r="J41" s="185">
        <f t="shared" si="3"/>
        <v>0</v>
      </c>
      <c r="K41" s="185">
        <f t="shared" si="4"/>
        <v>0</v>
      </c>
      <c r="L41" s="185" cm="1">
        <f t="array" ref="L41">IF(C41=plant_life,-decom_prct*depr_cap_infl*D41,0)</f>
        <v>0</v>
      </c>
      <c r="M41" s="184">
        <f>IF(OR(A41&lt;startup_year,C41&gt;anal_period),0,IF(A41=startup_year,-Main!$B$84*Main!$E$121*D41,-Main!$E$121*D41))</f>
        <v>-27572543.867902704</v>
      </c>
      <c r="N41" s="184">
        <f>IF(OR(A41&lt;startup_year,C41&gt;anal_period),0,IF(A41=startup_year,-Main!$B$86*Main!$E$134*D41,-Main!$E$134*D41))</f>
        <v>-85497923.274726242</v>
      </c>
      <c r="O41" s="184">
        <f t="shared" si="5"/>
        <v>-8593166.9029964898</v>
      </c>
      <c r="P41" s="184">
        <f t="shared" si="6"/>
        <v>59505796.920208469</v>
      </c>
      <c r="Q41" s="184">
        <f>IF(C41=anal_period,-SUM(X95:$X$134),IF(C41&gt;anal_period,0,-X95))</f>
        <v>-41437256.313409448</v>
      </c>
      <c r="R41" s="184">
        <f t="shared" si="7"/>
        <v>18068540.606799021</v>
      </c>
      <c r="S41" s="184">
        <f t="shared" si="8"/>
        <v>-4650842.3521900671</v>
      </c>
      <c r="T41" s="184">
        <f t="shared" si="9"/>
        <v>0</v>
      </c>
      <c r="U41" s="184">
        <f t="shared" si="10"/>
        <v>52361604.002658889</v>
      </c>
      <c r="V41" s="184">
        <f t="shared" si="14"/>
        <v>8752011.297033444</v>
      </c>
      <c r="W41" s="184">
        <f t="shared" si="11"/>
        <v>57012446.354848959</v>
      </c>
      <c r="X41" s="184"/>
      <c r="Y41" s="184">
        <f t="shared" si="17"/>
        <v>900000000</v>
      </c>
      <c r="Z41" s="175"/>
    </row>
    <row r="42" spans="1:26" x14ac:dyDescent="0.15">
      <c r="A42" s="99">
        <f t="shared" si="15"/>
        <v>2041</v>
      </c>
      <c r="B42" s="99">
        <v>24</v>
      </c>
      <c r="C42" s="99">
        <f t="shared" si="16"/>
        <v>23</v>
      </c>
      <c r="D42" s="183">
        <f t="shared" si="1"/>
        <v>1.5129760319802392</v>
      </c>
      <c r="E42" s="184">
        <f t="shared" si="2"/>
        <v>184611650.15418476</v>
      </c>
      <c r="F42" s="184"/>
      <c r="G42" s="185" cm="1">
        <f t="array" ref="G42">IF(A42&lt;startup_year,-equity_financing*depr_cap_infl*D42,0)</f>
        <v>0</v>
      </c>
      <c r="H42" s="184">
        <f t="shared" si="13"/>
        <v>-2218473.3947448512</v>
      </c>
      <c r="I42" s="185">
        <f>IF(C42=anal_period,-SUM($I$19:I41),IF(AND(C42&gt;=1,C42&lt;anal_period),working_cap_perct*(SUM(M42:N42)-SUM(M41:N41)),0))</f>
        <v>-322250.83135649486</v>
      </c>
      <c r="J42" s="185">
        <f t="shared" si="3"/>
        <v>0</v>
      </c>
      <c r="K42" s="185">
        <f t="shared" si="4"/>
        <v>0</v>
      </c>
      <c r="L42" s="185" cm="1">
        <f t="array" ref="L42">IF(C42=plant_life,-decom_prct*depr_cap_infl*D42,0)</f>
        <v>0</v>
      </c>
      <c r="M42" s="184">
        <f>IF(OR(A42&lt;startup_year,C42&gt;anal_period),0,IF(A42=startup_year,-Main!$B$84*Main!$E$121*D42,-Main!$E$121*D42))</f>
        <v>-28096422.201392859</v>
      </c>
      <c r="N42" s="184">
        <f>IF(OR(A42&lt;startup_year,C42&gt;anal_period),0,IF(A42=startup_year,-Main!$B$86*Main!$E$134*D42,-Main!$E$134*D42))</f>
        <v>-87122383.816946045</v>
      </c>
      <c r="O42" s="184">
        <f t="shared" si="5"/>
        <v>-8593166.9029964898</v>
      </c>
      <c r="P42" s="184">
        <f t="shared" si="6"/>
        <v>60799677.23284936</v>
      </c>
      <c r="Q42" s="184">
        <f>IF(C42=anal_period,-SUM(X96:$X$134),IF(C42&gt;anal_period,0,-X96))</f>
        <v>-39563564.812216714</v>
      </c>
      <c r="R42" s="184">
        <f t="shared" si="7"/>
        <v>21236112.420632645</v>
      </c>
      <c r="S42" s="184">
        <f t="shared" si="8"/>
        <v>-5466175.3370708423</v>
      </c>
      <c r="T42" s="184">
        <f t="shared" si="9"/>
        <v>0</v>
      </c>
      <c r="U42" s="184">
        <f t="shared" si="10"/>
        <v>52792777.669677168</v>
      </c>
      <c r="V42" s="184">
        <f t="shared" si="14"/>
        <v>61544788.966710612</v>
      </c>
      <c r="W42" s="184">
        <f t="shared" si="11"/>
        <v>58258953.006748013</v>
      </c>
      <c r="X42" s="184"/>
      <c r="Y42" s="184">
        <f t="shared" si="17"/>
        <v>900000000</v>
      </c>
      <c r="Z42" s="175"/>
    </row>
    <row r="43" spans="1:26" x14ac:dyDescent="0.15">
      <c r="A43" s="99">
        <f t="shared" si="15"/>
        <v>2042</v>
      </c>
      <c r="B43" s="99">
        <v>25</v>
      </c>
      <c r="C43" s="99">
        <f t="shared" si="16"/>
        <v>24</v>
      </c>
      <c r="D43" s="183">
        <f t="shared" si="1"/>
        <v>1.5417225765878635</v>
      </c>
      <c r="E43" s="184">
        <f t="shared" si="2"/>
        <v>188119271.50711426</v>
      </c>
      <c r="F43" s="184"/>
      <c r="G43" s="185" cm="1">
        <f t="array" ref="G43">IF(A43&lt;startup_year,-equity_financing*depr_cap_infl*D43,0)</f>
        <v>0</v>
      </c>
      <c r="H43" s="184">
        <f t="shared" si="13"/>
        <v>-2260624.389245003</v>
      </c>
      <c r="I43" s="185">
        <f>IF(C43=anal_period,-SUM($I$19:I42),IF(AND(C43&gt;=1,C43&lt;anal_period),working_cap_perct*(SUM(M43:N43)-SUM(M42:N42)),0))</f>
        <v>-328373.59715226438</v>
      </c>
      <c r="J43" s="185">
        <f t="shared" si="3"/>
        <v>0</v>
      </c>
      <c r="K43" s="185">
        <f t="shared" si="4"/>
        <v>0</v>
      </c>
      <c r="L43" s="185" cm="1">
        <f t="array" ref="L43">IF(C43=plant_life,-decom_prct*depr_cap_infl*D43,0)</f>
        <v>0</v>
      </c>
      <c r="M43" s="184">
        <f>IF(OR(A43&lt;startup_year,C43&gt;anal_period),0,IF(A43=startup_year,-Main!$B$84*Main!$E$121*D43,-Main!$E$121*D43))</f>
        <v>-28630254.223219316</v>
      </c>
      <c r="N43" s="184">
        <f>IF(OR(A43&lt;startup_year,C43&gt;anal_period),0,IF(A43=startup_year,-Main!$B$86*Main!$E$134*D43,-Main!$E$134*D43))</f>
        <v>-88777709.109468013</v>
      </c>
      <c r="O43" s="184">
        <f t="shared" si="5"/>
        <v>-8593166.9029964898</v>
      </c>
      <c r="P43" s="184">
        <f t="shared" si="6"/>
        <v>62118141.271430433</v>
      </c>
      <c r="Q43" s="184">
        <f>IF(C43=anal_period,-SUM(X97:$X$134),IF(C43&gt;anal_period,0,-X97))</f>
        <v>-38092186.264443256</v>
      </c>
      <c r="R43" s="184">
        <f t="shared" si="7"/>
        <v>24025955.006987177</v>
      </c>
      <c r="S43" s="184">
        <f t="shared" si="8"/>
        <v>-6184280.8187984983</v>
      </c>
      <c r="T43" s="184">
        <f t="shared" si="9"/>
        <v>0</v>
      </c>
      <c r="U43" s="184">
        <f t="shared" si="10"/>
        <v>53344862.466234669</v>
      </c>
      <c r="V43" s="184">
        <f t="shared" si="14"/>
        <v>114889651.43294528</v>
      </c>
      <c r="W43" s="184">
        <f t="shared" si="11"/>
        <v>59529143.285033166</v>
      </c>
      <c r="X43" s="184"/>
      <c r="Y43" s="184">
        <f t="shared" si="17"/>
        <v>900000000</v>
      </c>
      <c r="Z43" s="175"/>
    </row>
    <row r="44" spans="1:26" x14ac:dyDescent="0.15">
      <c r="A44" s="99">
        <f t="shared" si="15"/>
        <v>2043</v>
      </c>
      <c r="B44" s="99">
        <v>26</v>
      </c>
      <c r="C44" s="99">
        <f t="shared" si="16"/>
        <v>25</v>
      </c>
      <c r="D44" s="183">
        <f t="shared" si="1"/>
        <v>1.5710153055430329</v>
      </c>
      <c r="E44" s="184">
        <f t="shared" si="2"/>
        <v>191693537.66574943</v>
      </c>
      <c r="F44" s="184"/>
      <c r="G44" s="185" cm="1">
        <f t="array" ref="G44">IF(A44&lt;startup_year,-equity_financing*depr_cap_infl*D44,0)</f>
        <v>0</v>
      </c>
      <c r="H44" s="184">
        <f t="shared" si="13"/>
        <v>-2303576.2526406581</v>
      </c>
      <c r="I44" s="185">
        <f>IF(C44=anal_period,-SUM($I$19:I43),IF(AND(C44&gt;=1,C44&lt;anal_period),working_cap_perct*(SUM(M44:N44)-SUM(M43:N43)),0))</f>
        <v>-334612.69549815729</v>
      </c>
      <c r="J44" s="185">
        <f t="shared" si="3"/>
        <v>0</v>
      </c>
      <c r="K44" s="185">
        <f t="shared" si="4"/>
        <v>0</v>
      </c>
      <c r="L44" s="185" cm="1">
        <f t="array" ref="L44">IF(C44=plant_life,-decom_prct*depr_cap_infl*D44,0)</f>
        <v>0</v>
      </c>
      <c r="M44" s="184">
        <f>IF(OR(A44&lt;startup_year,C44&gt;anal_period),0,IF(A44=startup_year,-Main!$B$84*Main!$E$121*D44,-Main!$E$121*D44))</f>
        <v>-29174229.053460483</v>
      </c>
      <c r="N44" s="184">
        <f>IF(OR(A44&lt;startup_year,C44&gt;anal_period),0,IF(A44=startup_year,-Main!$B$86*Main!$E$134*D44,-Main!$E$134*D44))</f>
        <v>-90464485.582547903</v>
      </c>
      <c r="O44" s="184">
        <f t="shared" si="5"/>
        <v>-8593166.9029964898</v>
      </c>
      <c r="P44" s="184">
        <f t="shared" si="6"/>
        <v>63461656.126744553</v>
      </c>
      <c r="Q44" s="184">
        <f>IF(C44=anal_period,-SUM(X98:$X$134),IF(C44&gt;anal_period,0,-X98))</f>
        <v>-36783741.641575038</v>
      </c>
      <c r="R44" s="184">
        <f t="shared" si="7"/>
        <v>26677914.485169515</v>
      </c>
      <c r="S44" s="184">
        <f t="shared" si="8"/>
        <v>-6866895.1884826319</v>
      </c>
      <c r="T44" s="184">
        <f t="shared" si="9"/>
        <v>0</v>
      </c>
      <c r="U44" s="184">
        <f t="shared" si="10"/>
        <v>53956571.990123101</v>
      </c>
      <c r="V44" s="184">
        <f t="shared" si="14"/>
        <v>168846223.42306837</v>
      </c>
      <c r="W44" s="184">
        <f t="shared" si="11"/>
        <v>60823467.178605735</v>
      </c>
      <c r="X44" s="184"/>
      <c r="Y44" s="184">
        <f t="shared" si="17"/>
        <v>900000000</v>
      </c>
      <c r="Z44" s="175"/>
    </row>
    <row r="45" spans="1:26" x14ac:dyDescent="0.15">
      <c r="A45" s="99">
        <f t="shared" si="15"/>
        <v>2044</v>
      </c>
      <c r="B45" s="99">
        <v>27</v>
      </c>
      <c r="C45" s="99">
        <f t="shared" si="16"/>
        <v>26</v>
      </c>
      <c r="D45" s="183">
        <f t="shared" si="1"/>
        <v>1.6008645963483503</v>
      </c>
      <c r="E45" s="184">
        <f t="shared" si="2"/>
        <v>195335714.88139862</v>
      </c>
      <c r="F45" s="184"/>
      <c r="G45" s="185" cm="1">
        <f t="array" ref="G45">IF(A45&lt;startup_year,-equity_financing*depr_cap_infl*D45,0)</f>
        <v>0</v>
      </c>
      <c r="H45" s="184">
        <f t="shared" si="13"/>
        <v>-114033493.61716512</v>
      </c>
      <c r="I45" s="185">
        <f>IF(C45=anal_period,-SUM($I$19:I44),IF(AND(C45&gt;=1,C45&lt;anal_period),working_cap_perct*(SUM(M45:N45)-SUM(M44:N44)),0))</f>
        <v>-340970.33671262115</v>
      </c>
      <c r="J45" s="185">
        <f t="shared" si="3"/>
        <v>0</v>
      </c>
      <c r="K45" s="185">
        <f t="shared" si="4"/>
        <v>0</v>
      </c>
      <c r="L45" s="185" cm="1">
        <f t="array" ref="L45">IF(C45=plant_life,-decom_prct*depr_cap_infl*D45,0)</f>
        <v>0</v>
      </c>
      <c r="M45" s="184">
        <f>IF(OR(A45&lt;startup_year,C45&gt;anal_period),0,IF(A45=startup_year,-Main!$B$84*Main!$E$121*D45,-Main!$E$121*D45))</f>
        <v>-29728539.405476231</v>
      </c>
      <c r="N45" s="184">
        <f>IF(OR(A45&lt;startup_year,C45&gt;anal_period),0,IF(A45=startup_year,-Main!$B$86*Main!$E$134*D45,-Main!$E$134*D45))</f>
        <v>-92183310.808616295</v>
      </c>
      <c r="O45" s="184">
        <f t="shared" si="5"/>
        <v>-8593166.9029964898</v>
      </c>
      <c r="P45" s="184">
        <f t="shared" si="6"/>
        <v>64830697.7643096</v>
      </c>
      <c r="Q45" s="184">
        <f>IF(C45=anal_period,-SUM(X99:$X$134),IF(C45&gt;anal_period,0,-X99))</f>
        <v>-38057116.871713333</v>
      </c>
      <c r="R45" s="184">
        <f t="shared" si="7"/>
        <v>26773580.892596267</v>
      </c>
      <c r="S45" s="184">
        <f t="shared" si="8"/>
        <v>-6891519.7217542781</v>
      </c>
      <c r="T45" s="184">
        <f t="shared" si="9"/>
        <v>0</v>
      </c>
      <c r="U45" s="184">
        <f t="shared" si="10"/>
        <v>-56435285.911322422</v>
      </c>
      <c r="V45" s="184">
        <f t="shared" si="14"/>
        <v>112410937.51174596</v>
      </c>
      <c r="W45" s="184">
        <f t="shared" si="11"/>
        <v>-49543766.189568147</v>
      </c>
      <c r="X45" s="184"/>
      <c r="Y45" s="184">
        <f t="shared" si="17"/>
        <v>900000000</v>
      </c>
      <c r="Z45" s="175"/>
    </row>
    <row r="46" spans="1:26" x14ac:dyDescent="0.15">
      <c r="A46" s="99">
        <f t="shared" si="15"/>
        <v>2045</v>
      </c>
      <c r="B46" s="99">
        <v>28</v>
      </c>
      <c r="C46" s="99">
        <f t="shared" si="16"/>
        <v>27</v>
      </c>
      <c r="D46" s="183">
        <f t="shared" si="1"/>
        <v>1.631281023678969</v>
      </c>
      <c r="E46" s="184">
        <f t="shared" si="2"/>
        <v>199047093.46414518</v>
      </c>
      <c r="F46" s="184"/>
      <c r="G46" s="185" cm="1">
        <f t="array" ref="G46">IF(A46&lt;startup_year,-equity_financing*depr_cap_infl*D46,0)</f>
        <v>0</v>
      </c>
      <c r="H46" s="184">
        <f t="shared" si="13"/>
        <v>-2391943.7412682059</v>
      </c>
      <c r="I46" s="185">
        <f>IF(C46=anal_period,-SUM($I$19:I45),IF(AND(C46&gt;=1,C46&lt;anal_period),working_cap_perct*(SUM(M46:N46)-SUM(M45:N45)),0))</f>
        <v>-347448.77311016322</v>
      </c>
      <c r="J46" s="185">
        <f t="shared" si="3"/>
        <v>0</v>
      </c>
      <c r="K46" s="185">
        <f t="shared" si="4"/>
        <v>0</v>
      </c>
      <c r="L46" s="185" cm="1">
        <f t="array" ref="L46">IF(C46=plant_life,-decom_prct*depr_cap_infl*D46,0)</f>
        <v>0</v>
      </c>
      <c r="M46" s="184">
        <f>IF(OR(A46&lt;startup_year,C46&gt;anal_period),0,IF(A46=startup_year,-Main!$B$84*Main!$E$121*D46,-Main!$E$121*D46))</f>
        <v>-30293381.654180277</v>
      </c>
      <c r="N46" s="184">
        <f>IF(OR(A46&lt;startup_year,C46&gt;anal_period),0,IF(A46=startup_year,-Main!$B$86*Main!$E$134*D46,-Main!$E$134*D46))</f>
        <v>-93934793.713980004</v>
      </c>
      <c r="O46" s="184">
        <f t="shared" si="5"/>
        <v>-8593166.9029964898</v>
      </c>
      <c r="P46" s="184">
        <f t="shared" si="6"/>
        <v>66225751.192988411</v>
      </c>
      <c r="Q46" s="184">
        <f>IF(C46=anal_period,-SUM(X100:$X$134),IF(C46&gt;anal_period,0,-X100))</f>
        <v>-39109441.193485297</v>
      </c>
      <c r="R46" s="184">
        <f t="shared" si="7"/>
        <v>27116309.999503113</v>
      </c>
      <c r="S46" s="184">
        <f t="shared" si="8"/>
        <v>-6979738.1938721007</v>
      </c>
      <c r="T46" s="184">
        <f t="shared" si="9"/>
        <v>0</v>
      </c>
      <c r="U46" s="184">
        <f t="shared" si="10"/>
        <v>56506620.48473794</v>
      </c>
      <c r="V46" s="184">
        <f t="shared" si="14"/>
        <v>168917557.99648389</v>
      </c>
      <c r="W46" s="184">
        <f t="shared" si="11"/>
        <v>63486358.678610042</v>
      </c>
      <c r="X46" s="184"/>
      <c r="Y46" s="184">
        <f t="shared" si="17"/>
        <v>900000000</v>
      </c>
      <c r="Z46" s="175"/>
    </row>
    <row r="47" spans="1:26" x14ac:dyDescent="0.15">
      <c r="A47" s="99">
        <f t="shared" si="15"/>
        <v>2046</v>
      </c>
      <c r="B47" s="99">
        <v>29</v>
      </c>
      <c r="C47" s="99">
        <f t="shared" si="16"/>
        <v>28</v>
      </c>
      <c r="D47" s="183">
        <f t="shared" si="1"/>
        <v>1.6622753631288694</v>
      </c>
      <c r="E47" s="184">
        <f t="shared" si="2"/>
        <v>202828988.23996398</v>
      </c>
      <c r="F47" s="184"/>
      <c r="G47" s="185" cm="1">
        <f t="array" ref="G47">IF(A47&lt;startup_year,-equity_financing*depr_cap_infl*D47,0)</f>
        <v>0</v>
      </c>
      <c r="H47" s="184">
        <f t="shared" si="13"/>
        <v>-2437390.6723523019</v>
      </c>
      <c r="I47" s="185">
        <f>IF(C47=anal_period,-SUM($I$19:I46),IF(AND(C47&gt;=1,C47&lt;anal_period),working_cap_perct*(SUM(M47:N47)-SUM(M46:N46)),0))</f>
        <v>-354050.29979925603</v>
      </c>
      <c r="J47" s="185">
        <f t="shared" si="3"/>
        <v>0</v>
      </c>
      <c r="K47" s="185">
        <f t="shared" si="4"/>
        <v>0</v>
      </c>
      <c r="L47" s="185" cm="1">
        <f t="array" ref="L47">IF(C47=plant_life,-decom_prct*depr_cap_infl*D47,0)</f>
        <v>0</v>
      </c>
      <c r="M47" s="184">
        <f>IF(OR(A47&lt;startup_year,C47&gt;anal_period),0,IF(A47=startup_year,-Main!$B$84*Main!$E$121*D47,-Main!$E$121*D47))</f>
        <v>-30868955.905609701</v>
      </c>
      <c r="N47" s="184">
        <f>IF(OR(A47&lt;startup_year,C47&gt;anal_period),0,IF(A47=startup_year,-Main!$B$86*Main!$E$134*D47,-Main!$E$134*D47))</f>
        <v>-95719554.794545621</v>
      </c>
      <c r="O47" s="184">
        <f t="shared" si="5"/>
        <v>-8593166.9029964898</v>
      </c>
      <c r="P47" s="184">
        <f t="shared" si="6"/>
        <v>67647310.63681218</v>
      </c>
      <c r="Q47" s="184">
        <f>IF(C47=anal_period,-SUM(X101:$X$134),IF(C47&gt;anal_period,0,-X101))</f>
        <v>-37479767.970564499</v>
      </c>
      <c r="R47" s="184">
        <f t="shared" si="7"/>
        <v>30167542.666247681</v>
      </c>
      <c r="S47" s="184">
        <f t="shared" si="8"/>
        <v>-7765125.482292152</v>
      </c>
      <c r="T47" s="184">
        <f t="shared" si="9"/>
        <v>0</v>
      </c>
      <c r="U47" s="184">
        <f t="shared" si="10"/>
        <v>57090744.182368472</v>
      </c>
      <c r="V47" s="184">
        <f t="shared" si="14"/>
        <v>226008302.17885238</v>
      </c>
      <c r="W47" s="184">
        <f t="shared" si="11"/>
        <v>64855869.664660625</v>
      </c>
      <c r="X47" s="184"/>
      <c r="Y47" s="184">
        <f t="shared" si="17"/>
        <v>900000000</v>
      </c>
      <c r="Z47" s="175"/>
    </row>
    <row r="48" spans="1:26" x14ac:dyDescent="0.15">
      <c r="A48" s="99">
        <f t="shared" si="15"/>
        <v>2047</v>
      </c>
      <c r="B48" s="99">
        <v>30</v>
      </c>
      <c r="C48" s="99">
        <f t="shared" si="16"/>
        <v>29</v>
      </c>
      <c r="D48" s="183">
        <f t="shared" si="1"/>
        <v>1.6938585950283176</v>
      </c>
      <c r="E48" s="184">
        <f t="shared" si="2"/>
        <v>206682739.01652324</v>
      </c>
      <c r="F48" s="184"/>
      <c r="G48" s="185" cm="1">
        <f t="array" ref="G48">IF(A48&lt;startup_year,-equity_financing*depr_cap_infl*D48,0)</f>
        <v>0</v>
      </c>
      <c r="H48" s="184">
        <f t="shared" si="13"/>
        <v>-2483701.0951269949</v>
      </c>
      <c r="I48" s="185">
        <f>IF(C48=anal_period,-SUM($I$19:I47),IF(AND(C48&gt;=1,C48&lt;anal_period),working_cap_perct*(SUM(M48:N48)-SUM(M47:N47)),0))</f>
        <v>-360777.25549544243</v>
      </c>
      <c r="J48" s="185">
        <f t="shared" si="3"/>
        <v>0</v>
      </c>
      <c r="K48" s="185">
        <f t="shared" si="4"/>
        <v>0</v>
      </c>
      <c r="L48" s="185" cm="1">
        <f t="array" ref="L48">IF(C48=plant_life,-decom_prct*depr_cap_infl*D48,0)</f>
        <v>0</v>
      </c>
      <c r="M48" s="184">
        <f>IF(OR(A48&lt;startup_year,C48&gt;anal_period),0,IF(A48=startup_year,-Main!$B$84*Main!$E$121*D48,-Main!$E$121*D48))</f>
        <v>-31455466.06781628</v>
      </c>
      <c r="N48" s="184">
        <f>IF(OR(A48&lt;startup_year,C48&gt;anal_period),0,IF(A48=startup_year,-Main!$B$86*Main!$E$134*D48,-Main!$E$134*D48))</f>
        <v>-97538226.33564198</v>
      </c>
      <c r="O48" s="184">
        <f t="shared" si="5"/>
        <v>-8593166.9029964898</v>
      </c>
      <c r="P48" s="184">
        <f t="shared" si="6"/>
        <v>69095879.710068494</v>
      </c>
      <c r="Q48" s="184">
        <f>IF(C48=anal_period,-SUM(X102:$X$134),IF(C48&gt;anal_period,0,-X102))</f>
        <v>-36788041.641408242</v>
      </c>
      <c r="R48" s="184">
        <f t="shared" si="7"/>
        <v>32307838.068660252</v>
      </c>
      <c r="S48" s="184">
        <f t="shared" si="8"/>
        <v>-8316037.5188731477</v>
      </c>
      <c r="T48" s="184">
        <f t="shared" si="9"/>
        <v>0</v>
      </c>
      <c r="U48" s="184">
        <f t="shared" si="10"/>
        <v>57935363.840572909</v>
      </c>
      <c r="V48" s="184">
        <f t="shared" si="14"/>
        <v>283943666.01942527</v>
      </c>
      <c r="W48" s="184">
        <f t="shared" si="11"/>
        <v>66251401.359446056</v>
      </c>
      <c r="X48" s="184"/>
      <c r="Y48" s="184">
        <f t="shared" si="17"/>
        <v>900000000</v>
      </c>
      <c r="Z48" s="175"/>
    </row>
    <row r="49" spans="1:26" x14ac:dyDescent="0.15">
      <c r="A49" s="99">
        <f t="shared" si="15"/>
        <v>2048</v>
      </c>
      <c r="B49" s="99">
        <v>31</v>
      </c>
      <c r="C49" s="99">
        <f t="shared" si="16"/>
        <v>30</v>
      </c>
      <c r="D49" s="183">
        <f t="shared" si="1"/>
        <v>1.7260419083338554</v>
      </c>
      <c r="E49" s="184">
        <f t="shared" si="2"/>
        <v>210609711.05783716</v>
      </c>
      <c r="F49" s="184"/>
      <c r="G49" s="185" cm="1">
        <f t="array" ref="G49">IF(A49&lt;startup_year,-equity_financing*depr_cap_infl*D49,0)</f>
        <v>0</v>
      </c>
      <c r="H49" s="184">
        <f t="shared" si="13"/>
        <v>-2530891.4159344076</v>
      </c>
      <c r="I49" s="185">
        <f>IF(C49=anal_period,-SUM($I$19:I48),IF(AND(C49&gt;=1,C49&lt;anal_period),working_cap_perct*(SUM(M49:N49)-SUM(M48:N48)),0))</f>
        <v>-367632.02334984986</v>
      </c>
      <c r="J49" s="185">
        <f t="shared" si="3"/>
        <v>0</v>
      </c>
      <c r="K49" s="185">
        <f t="shared" si="4"/>
        <v>0</v>
      </c>
      <c r="L49" s="185" cm="1">
        <f t="array" ref="L49">IF(C49=plant_life,-decom_prct*depr_cap_infl*D49,0)</f>
        <v>0</v>
      </c>
      <c r="M49" s="184">
        <f>IF(OR(A49&lt;startup_year,C49&gt;anal_period),0,IF(A49=startup_year,-Main!$B$84*Main!$E$121*D49,-Main!$E$121*D49))</f>
        <v>-32053119.923104785</v>
      </c>
      <c r="N49" s="184">
        <f>IF(OR(A49&lt;startup_year,C49&gt;anal_period),0,IF(A49=startup_year,-Main!$B$86*Main!$E$134*D49,-Main!$E$134*D49))</f>
        <v>-99391452.636019155</v>
      </c>
      <c r="O49" s="184">
        <f t="shared" si="5"/>
        <v>-8593166.9029964898</v>
      </c>
      <c r="P49" s="184">
        <f t="shared" si="6"/>
        <v>70571971.595716745</v>
      </c>
      <c r="Q49" s="184">
        <f>IF(C49=anal_period,-SUM(X103:$X$134),IF(C49&gt;anal_period,0,-X103))</f>
        <v>-41437256.313409448</v>
      </c>
      <c r="R49" s="184">
        <f t="shared" si="7"/>
        <v>29134715.282307297</v>
      </c>
      <c r="S49" s="184">
        <f t="shared" si="8"/>
        <v>-7499275.713665897</v>
      </c>
      <c r="T49" s="184">
        <f t="shared" si="9"/>
        <v>0</v>
      </c>
      <c r="U49" s="184">
        <f t="shared" si="10"/>
        <v>60174172.442766584</v>
      </c>
      <c r="V49" s="184">
        <f t="shared" si="14"/>
        <v>344117838.46219188</v>
      </c>
      <c r="W49" s="184">
        <f t="shared" si="11"/>
        <v>67673448.15643248</v>
      </c>
      <c r="X49" s="184"/>
      <c r="Y49" s="184">
        <f t="shared" si="17"/>
        <v>900000000</v>
      </c>
      <c r="Z49" s="175"/>
    </row>
    <row r="50" spans="1:26" x14ac:dyDescent="0.15">
      <c r="A50" s="99">
        <f t="shared" si="15"/>
        <v>2049</v>
      </c>
      <c r="B50" s="99">
        <v>32</v>
      </c>
      <c r="C50" s="99">
        <f t="shared" si="16"/>
        <v>31</v>
      </c>
      <c r="D50" s="183">
        <f t="shared" si="1"/>
        <v>1.7588367045921991</v>
      </c>
      <c r="E50" s="184">
        <f t="shared" si="2"/>
        <v>214611295.56793609</v>
      </c>
      <c r="F50" s="184"/>
      <c r="G50" s="185" cm="1">
        <f t="array" ref="G50">IF(A50&lt;startup_year,-equity_financing*depr_cap_infl*D50,0)</f>
        <v>0</v>
      </c>
      <c r="H50" s="184">
        <f t="shared" si="13"/>
        <v>-352618414.2781471</v>
      </c>
      <c r="I50" s="185">
        <f>IF(C50=anal_period,-SUM($I$19:I49),IF(AND(C50&gt;=1,C50&lt;anal_period),working_cap_perct*(SUM(M50:N50)-SUM(M49:N49)),0))</f>
        <v>-374617.03179350944</v>
      </c>
      <c r="J50" s="185">
        <f t="shared" si="3"/>
        <v>0</v>
      </c>
      <c r="K50" s="185">
        <f t="shared" si="4"/>
        <v>0</v>
      </c>
      <c r="L50" s="185" cm="1">
        <f t="array" ref="L50">IF(C50=plant_life,-decom_prct*depr_cap_infl*D50,0)</f>
        <v>0</v>
      </c>
      <c r="M50" s="184">
        <f>IF(OR(A50&lt;startup_year,C50&gt;anal_period),0,IF(A50=startup_year,-Main!$B$84*Main!$E$121*D50,-Main!$E$121*D50))</f>
        <v>-32662129.201643787</v>
      </c>
      <c r="N50" s="184">
        <f>IF(OR(A50&lt;startup_year,C50&gt;anal_period),0,IF(A50=startup_year,-Main!$B$86*Main!$E$134*D50,-Main!$E$134*D50))</f>
        <v>-101279890.23610355</v>
      </c>
      <c r="O50" s="184">
        <f t="shared" si="5"/>
        <v>-8593166.9029964898</v>
      </c>
      <c r="P50" s="184">
        <f t="shared" si="6"/>
        <v>72076109.227192283</v>
      </c>
      <c r="Q50" s="184">
        <f>IF(C50=anal_period,-SUM(X104:$X$134),IF(C50&gt;anal_period,0,-X104))</f>
        <v>-39563564.812216714</v>
      </c>
      <c r="R50" s="184">
        <f t="shared" si="7"/>
        <v>32512544.414975569</v>
      </c>
      <c r="S50" s="184">
        <f t="shared" si="8"/>
        <v>-8368728.9324147105</v>
      </c>
      <c r="T50" s="184">
        <f t="shared" si="9"/>
        <v>0</v>
      </c>
      <c r="U50" s="184">
        <f t="shared" si="10"/>
        <v>-289285651.01516306</v>
      </c>
      <c r="V50" s="184">
        <f t="shared" si="14"/>
        <v>54832187.447028816</v>
      </c>
      <c r="W50" s="184">
        <f t="shared" si="11"/>
        <v>-280916922.08274835</v>
      </c>
      <c r="X50" s="184"/>
      <c r="Y50" s="184">
        <f t="shared" si="17"/>
        <v>900000000</v>
      </c>
      <c r="Z50" s="157"/>
    </row>
    <row r="51" spans="1:26" x14ac:dyDescent="0.15">
      <c r="A51" s="99">
        <f t="shared" si="15"/>
        <v>2050</v>
      </c>
      <c r="B51" s="99">
        <v>33</v>
      </c>
      <c r="C51" s="99">
        <f t="shared" si="16"/>
        <v>32</v>
      </c>
      <c r="D51" s="183">
        <f t="shared" si="1"/>
        <v>1.7922546019794507</v>
      </c>
      <c r="E51" s="184">
        <f t="shared" si="2"/>
        <v>218688910.18372691</v>
      </c>
      <c r="F51" s="184"/>
      <c r="G51" s="185" cm="1">
        <f t="array" ref="G51">IF(A51&lt;startup_year,-equity_financing*depr_cap_infl*D51,0)</f>
        <v>0</v>
      </c>
      <c r="H51" s="184">
        <f t="shared" si="13"/>
        <v>-2627978.9415410678</v>
      </c>
      <c r="I51" s="185">
        <f>IF(C51=anal_period,-SUM($I$19:I50),IF(AND(C51&gt;=1,C51&lt;anal_period),working_cap_perct*(SUM(M51:N51)-SUM(M50:N50)),0))</f>
        <v>-381734.75539758056</v>
      </c>
      <c r="J51" s="185">
        <f t="shared" si="3"/>
        <v>0</v>
      </c>
      <c r="K51" s="185">
        <f t="shared" si="4"/>
        <v>0</v>
      </c>
      <c r="L51" s="185" cm="1">
        <f t="array" ref="L51">IF(C51=plant_life,-decom_prct*depr_cap_infl*D51,0)</f>
        <v>0</v>
      </c>
      <c r="M51" s="184">
        <f>IF(OR(A51&lt;startup_year,C51&gt;anal_period),0,IF(A51=startup_year,-Main!$B$84*Main!$E$121*D51,-Main!$E$121*D51))</f>
        <v>-33282709.656475015</v>
      </c>
      <c r="N51" s="184">
        <f>IF(OR(A51&lt;startup_year,C51&gt;anal_period),0,IF(A51=startup_year,-Main!$B$86*Main!$E$134*D51,-Main!$E$134*D51))</f>
        <v>-103204208.15058951</v>
      </c>
      <c r="O51" s="184">
        <f t="shared" si="5"/>
        <v>-8593166.9029964898</v>
      </c>
      <c r="P51" s="184">
        <f t="shared" si="6"/>
        <v>73608825.473665893</v>
      </c>
      <c r="Q51" s="184">
        <f>IF(C51=anal_period,-SUM(X105:$X$134),IF(C51&gt;anal_period,0,-X105))</f>
        <v>-38092186.264443256</v>
      </c>
      <c r="R51" s="184">
        <f t="shared" si="7"/>
        <v>35516639.209222637</v>
      </c>
      <c r="S51" s="184">
        <f t="shared" si="8"/>
        <v>-9141982.9324539062</v>
      </c>
      <c r="T51" s="184">
        <f t="shared" si="9"/>
        <v>0</v>
      </c>
      <c r="U51" s="184">
        <f t="shared" si="10"/>
        <v>61457128.844273336</v>
      </c>
      <c r="V51" s="184">
        <f t="shared" si="14"/>
        <v>116289316.29130214</v>
      </c>
      <c r="W51" s="184">
        <f t="shared" si="11"/>
        <v>70599111.776727244</v>
      </c>
      <c r="X51" s="184"/>
      <c r="Y51" s="184">
        <f t="shared" si="17"/>
        <v>900000000</v>
      </c>
      <c r="Z51" s="157"/>
    </row>
    <row r="52" spans="1:26" x14ac:dyDescent="0.15">
      <c r="A52" s="99">
        <f t="shared" si="15"/>
        <v>2051</v>
      </c>
      <c r="B52" s="99">
        <v>34</v>
      </c>
      <c r="C52" s="99">
        <f t="shared" si="16"/>
        <v>33</v>
      </c>
      <c r="D52" s="183">
        <f t="shared" si="1"/>
        <v>1.8263074394170602</v>
      </c>
      <c r="E52" s="184">
        <f t="shared" si="2"/>
        <v>222843999.47721767</v>
      </c>
      <c r="F52" s="184"/>
      <c r="G52" s="185" cm="1">
        <f t="array" ref="G52">IF(A52&lt;startup_year,-equity_financing*depr_cap_infl*D52,0)</f>
        <v>0</v>
      </c>
      <c r="H52" s="184">
        <f t="shared" si="13"/>
        <v>-2677910.5414303481</v>
      </c>
      <c r="I52" s="185">
        <f>IF(C52=anal_period,-SUM($I$19:I51),IF(AND(C52&gt;=1,C52&lt;anal_period),working_cap_perct*(SUM(M52:N52)-SUM(M51:N51)),0))</f>
        <v>-388987.71575013397</v>
      </c>
      <c r="J52" s="185">
        <f t="shared" si="3"/>
        <v>0</v>
      </c>
      <c r="K52" s="185">
        <f t="shared" si="4"/>
        <v>0</v>
      </c>
      <c r="L52" s="185" cm="1">
        <f t="array" ref="L52">IF(C52=plant_life,-decom_prct*depr_cap_infl*D52,0)</f>
        <v>0</v>
      </c>
      <c r="M52" s="184">
        <f>IF(OR(A52&lt;startup_year,C52&gt;anal_period),0,IF(A52=startup_year,-Main!$B$84*Main!$E$121*D52,-Main!$E$121*D52))</f>
        <v>-33915081.13994804</v>
      </c>
      <c r="N52" s="184">
        <f>IF(OR(A52&lt;startup_year,C52&gt;anal_period),0,IF(A52=startup_year,-Main!$B$86*Main!$E$134*D52,-Main!$E$134*D52))</f>
        <v>-105165088.1054507</v>
      </c>
      <c r="O52" s="184">
        <f t="shared" si="5"/>
        <v>-8593166.9029964898</v>
      </c>
      <c r="P52" s="184">
        <f t="shared" si="6"/>
        <v>75170663.328822434</v>
      </c>
      <c r="Q52" s="184">
        <f>IF(C52=anal_period,-SUM(X106:$X$134),IF(C52&gt;anal_period,0,-X106))</f>
        <v>-36783741.641575038</v>
      </c>
      <c r="R52" s="184">
        <f t="shared" si="7"/>
        <v>38386921.687247396</v>
      </c>
      <c r="S52" s="184">
        <f t="shared" si="8"/>
        <v>-9880793.6422974784</v>
      </c>
      <c r="T52" s="184">
        <f t="shared" si="9"/>
        <v>0</v>
      </c>
      <c r="U52" s="184">
        <f t="shared" si="10"/>
        <v>62222971.429344475</v>
      </c>
      <c r="V52" s="184">
        <f t="shared" si="14"/>
        <v>178512287.72064662</v>
      </c>
      <c r="W52" s="184">
        <f t="shared" si="11"/>
        <v>72103765.071641952</v>
      </c>
      <c r="X52" s="184"/>
      <c r="Y52" s="184">
        <f t="shared" si="17"/>
        <v>900000000</v>
      </c>
      <c r="Z52" s="157"/>
    </row>
    <row r="53" spans="1:26" x14ac:dyDescent="0.15">
      <c r="A53" s="99">
        <f t="shared" si="15"/>
        <v>2052</v>
      </c>
      <c r="B53" s="99">
        <v>35</v>
      </c>
      <c r="C53" s="99">
        <f t="shared" si="16"/>
        <v>34</v>
      </c>
      <c r="D53" s="183">
        <f t="shared" si="1"/>
        <v>1.8610072807659841</v>
      </c>
      <c r="E53" s="184">
        <f t="shared" si="2"/>
        <v>227078035.46728477</v>
      </c>
      <c r="F53" s="184"/>
      <c r="G53" s="185" cm="1">
        <f t="array" ref="G53">IF(A53&lt;startup_year,-equity_financing*depr_cap_infl*D53,0)</f>
        <v>0</v>
      </c>
      <c r="H53" s="184">
        <f t="shared" si="13"/>
        <v>-2728790.8417175245</v>
      </c>
      <c r="I53" s="185">
        <f>IF(C53=anal_period,-SUM($I$19:I52),IF(AND(C53&gt;=1,C53&lt;anal_period),working_cap_perct*(SUM(M53:N53)-SUM(M52:N52)),0))</f>
        <v>-396378.48234938085</v>
      </c>
      <c r="J53" s="185">
        <f t="shared" si="3"/>
        <v>0</v>
      </c>
      <c r="K53" s="185">
        <f t="shared" si="4"/>
        <v>0</v>
      </c>
      <c r="L53" s="185" cm="1">
        <f t="array" ref="L53">IF(C53=plant_life,-decom_prct*depr_cap_infl*D53,0)</f>
        <v>0</v>
      </c>
      <c r="M53" s="184">
        <f>IF(OR(A53&lt;startup_year,C53&gt;anal_period),0,IF(A53=startup_year,-Main!$B$84*Main!$E$121*D53,-Main!$E$121*D53))</f>
        <v>-34559467.681607045</v>
      </c>
      <c r="N53" s="184">
        <f>IF(OR(A53&lt;startup_year,C53&gt;anal_period),0,IF(A53=startup_year,-Main!$B$86*Main!$E$134*D53,-Main!$E$134*D53))</f>
        <v>-107163224.77945426</v>
      </c>
      <c r="O53" s="184">
        <f t="shared" si="5"/>
        <v>-8593166.9029964898</v>
      </c>
      <c r="P53" s="184">
        <f t="shared" si="6"/>
        <v>76762176.10322699</v>
      </c>
      <c r="Q53" s="184">
        <f>IF(C53=anal_period,-SUM(X107:$X$134),IF(C53&gt;anal_period,0,-X107))</f>
        <v>-38057116.871713333</v>
      </c>
      <c r="R53" s="184">
        <f t="shared" si="7"/>
        <v>38705059.231513657</v>
      </c>
      <c r="S53" s="184">
        <f t="shared" si="8"/>
        <v>-9962682.2461916134</v>
      </c>
      <c r="T53" s="184">
        <f t="shared" si="9"/>
        <v>0</v>
      </c>
      <c r="U53" s="184">
        <f t="shared" si="10"/>
        <v>63674324.532968469</v>
      </c>
      <c r="V53" s="184">
        <f t="shared" si="14"/>
        <v>242186612.25361508</v>
      </c>
      <c r="W53" s="184">
        <f t="shared" si="11"/>
        <v>73637006.779160082</v>
      </c>
      <c r="X53" s="184"/>
      <c r="Y53" s="184">
        <f t="shared" si="17"/>
        <v>900000000</v>
      </c>
      <c r="Z53" s="158"/>
    </row>
    <row r="54" spans="1:26" x14ac:dyDescent="0.15">
      <c r="A54" s="99">
        <f t="shared" si="15"/>
        <v>2053</v>
      </c>
      <c r="B54" s="99">
        <v>36</v>
      </c>
      <c r="C54" s="99">
        <f t="shared" si="16"/>
        <v>35</v>
      </c>
      <c r="D54" s="183">
        <f t="shared" si="1"/>
        <v>1.8963664191005378</v>
      </c>
      <c r="E54" s="184">
        <f t="shared" si="2"/>
        <v>231392518.14116323</v>
      </c>
      <c r="F54" s="184"/>
      <c r="G54" s="185" cm="1">
        <f t="array" ref="G54">IF(A54&lt;startup_year,-equity_financing*depr_cap_infl*D54,0)</f>
        <v>0</v>
      </c>
      <c r="H54" s="184">
        <f t="shared" si="13"/>
        <v>-2780637.8677101573</v>
      </c>
      <c r="I54" s="185">
        <f>IF(C54=anal_period,-SUM($I$19:I53),IF(AND(C54&gt;=1,C54&lt;anal_period),working_cap_perct*(SUM(M54:N54)-SUM(M53:N53)),0))</f>
        <v>-403909.67351402342</v>
      </c>
      <c r="J54" s="185">
        <f t="shared" si="3"/>
        <v>0</v>
      </c>
      <c r="K54" s="185">
        <f t="shared" si="4"/>
        <v>0</v>
      </c>
      <c r="L54" s="185" cm="1">
        <f t="array" ref="L54">IF(C54=plant_life,-decom_prct*depr_cap_infl*D54,0)</f>
        <v>0</v>
      </c>
      <c r="M54" s="184">
        <f>IF(OR(A54&lt;startup_year,C54&gt;anal_period),0,IF(A54=startup_year,-Main!$B$84*Main!$E$121*D54,-Main!$E$121*D54))</f>
        <v>-35216097.567557581</v>
      </c>
      <c r="N54" s="184">
        <f>IF(OR(A54&lt;startup_year,C54&gt;anal_period),0,IF(A54=startup_year,-Main!$B$86*Main!$E$134*D54,-Main!$E$134*D54))</f>
        <v>-109199326.05026388</v>
      </c>
      <c r="O54" s="184">
        <f t="shared" si="5"/>
        <v>-8593166.9029964898</v>
      </c>
      <c r="P54" s="184">
        <f t="shared" si="6"/>
        <v>78383927.620345294</v>
      </c>
      <c r="Q54" s="184">
        <f>IF(C54=anal_period,-SUM(X108:$X$134),IF(C54&gt;anal_period,0,-X108))</f>
        <v>-39109441.193485297</v>
      </c>
      <c r="R54" s="184">
        <f t="shared" si="7"/>
        <v>39274486.426859997</v>
      </c>
      <c r="S54" s="184">
        <f t="shared" si="8"/>
        <v>-10109252.806273762</v>
      </c>
      <c r="T54" s="184">
        <f t="shared" si="9"/>
        <v>0</v>
      </c>
      <c r="U54" s="184">
        <f t="shared" si="10"/>
        <v>65090127.272847354</v>
      </c>
      <c r="V54" s="184">
        <f t="shared" si="14"/>
        <v>307276739.52646244</v>
      </c>
      <c r="W54" s="184">
        <f t="shared" si="11"/>
        <v>75199380.079121113</v>
      </c>
      <c r="X54" s="184"/>
      <c r="Y54" s="184">
        <f t="shared" si="17"/>
        <v>900000000</v>
      </c>
      <c r="Z54" s="158"/>
    </row>
    <row r="55" spans="1:26" x14ac:dyDescent="0.15">
      <c r="A55" s="99">
        <f t="shared" si="15"/>
        <v>2054</v>
      </c>
      <c r="B55" s="99">
        <v>37</v>
      </c>
      <c r="C55" s="99">
        <f t="shared" si="16"/>
        <v>36</v>
      </c>
      <c r="D55" s="183">
        <f t="shared" si="1"/>
        <v>1.932397381063448</v>
      </c>
      <c r="E55" s="184">
        <f t="shared" si="2"/>
        <v>235788975.9858453</v>
      </c>
      <c r="F55" s="184"/>
      <c r="G55" s="185" cm="1">
        <f t="array" ref="G55">IF(A55&lt;startup_year,-equity_financing*depr_cap_infl*D55,0)</f>
        <v>0</v>
      </c>
      <c r="H55" s="184">
        <f t="shared" si="13"/>
        <v>-137649383.29073715</v>
      </c>
      <c r="I55" s="185">
        <f>IF(C55=anal_period,-SUM($I$19:I54),IF(AND(C55&gt;=1,C55&lt;anal_period),working_cap_perct*(SUM(M55:N55)-SUM(M54:N54)),0))</f>
        <v>-411583.95731079427</v>
      </c>
      <c r="J55" s="185">
        <f t="shared" si="3"/>
        <v>0</v>
      </c>
      <c r="K55" s="185">
        <f t="shared" si="4"/>
        <v>0</v>
      </c>
      <c r="L55" s="185" cm="1">
        <f t="array" ref="L55">IF(C55=plant_life,-decom_prct*depr_cap_infl*D55,0)</f>
        <v>0</v>
      </c>
      <c r="M55" s="184">
        <f>IF(OR(A55&lt;startup_year,C55&gt;anal_period),0,IF(A55=startup_year,-Main!$B$84*Main!$E$121*D55,-Main!$E$121*D55))</f>
        <v>-35885203.421341173</v>
      </c>
      <c r="N55" s="184">
        <f>IF(OR(A55&lt;startup_year,C55&gt;anal_period),0,IF(A55=startup_year,-Main!$B$86*Main!$E$134*D55,-Main!$E$134*D55))</f>
        <v>-111274113.2452189</v>
      </c>
      <c r="O55" s="184">
        <f t="shared" si="5"/>
        <v>-8593166.9029964898</v>
      </c>
      <c r="P55" s="184">
        <f t="shared" si="6"/>
        <v>80036492.416288733</v>
      </c>
      <c r="Q55" s="184">
        <f>IF(C55=anal_period,-SUM(X109:$X$134),IF(C55&gt;anal_period,0,-X109))</f>
        <v>-37479767.970564499</v>
      </c>
      <c r="R55" s="184">
        <f t="shared" si="7"/>
        <v>42556724.445724234</v>
      </c>
      <c r="S55" s="184">
        <f t="shared" si="8"/>
        <v>-10954100.872329416</v>
      </c>
      <c r="T55" s="184">
        <f t="shared" si="9"/>
        <v>0</v>
      </c>
      <c r="U55" s="184">
        <f t="shared" si="10"/>
        <v>-68978575.704088628</v>
      </c>
      <c r="V55" s="184">
        <f t="shared" si="14"/>
        <v>238298163.82237381</v>
      </c>
      <c r="W55" s="184">
        <f t="shared" si="11"/>
        <v>-58024474.831759214</v>
      </c>
      <c r="X55" s="184"/>
      <c r="Y55" s="184">
        <f t="shared" si="17"/>
        <v>900000000</v>
      </c>
      <c r="Z55" s="170"/>
    </row>
    <row r="56" spans="1:26" x14ac:dyDescent="0.15">
      <c r="A56" s="99">
        <f t="shared" si="15"/>
        <v>2055</v>
      </c>
      <c r="B56" s="99">
        <v>38</v>
      </c>
      <c r="C56" s="99">
        <f t="shared" si="16"/>
        <v>37</v>
      </c>
      <c r="D56" s="183">
        <f t="shared" si="1"/>
        <v>1.9691129313036535</v>
      </c>
      <c r="E56" s="184">
        <f t="shared" si="2"/>
        <v>240268966.52957636</v>
      </c>
      <c r="F56" s="184"/>
      <c r="G56" s="185" cm="1">
        <f t="array" ref="G56">IF(A56&lt;startup_year,-equity_financing*depr_cap_infl*D56,0)</f>
        <v>0</v>
      </c>
      <c r="H56" s="184">
        <f t="shared" si="13"/>
        <v>-2887305.9169533867</v>
      </c>
      <c r="I56" s="185">
        <f>IF(C56=anal_period,-SUM($I$19:I55),IF(AND(C56&gt;=1,C56&lt;anal_period),working_cap_perct*(SUM(M56:N56)-SUM(M55:N55)),0))</f>
        <v>-419404.05249969364</v>
      </c>
      <c r="J56" s="185">
        <f t="shared" si="3"/>
        <v>0</v>
      </c>
      <c r="K56" s="185">
        <f t="shared" si="4"/>
        <v>0</v>
      </c>
      <c r="L56" s="185" cm="1">
        <f t="array" ref="L56">IF(C56=plant_life,-decom_prct*depr_cap_infl*D56,0)</f>
        <v>0</v>
      </c>
      <c r="M56" s="184">
        <f>IF(OR(A56&lt;startup_year,C56&gt;anal_period),0,IF(A56=startup_year,-Main!$B$84*Main!$E$121*D56,-Main!$E$121*D56))</f>
        <v>-36567022.286346659</v>
      </c>
      <c r="N56" s="184">
        <f>IF(OR(A56&lt;startup_year,C56&gt;anal_period),0,IF(A56=startup_year,-Main!$B$86*Main!$E$134*D56,-Main!$E$134*D56))</f>
        <v>-113388321.39687805</v>
      </c>
      <c r="O56" s="184">
        <f t="shared" si="5"/>
        <v>-8593166.9029964898</v>
      </c>
      <c r="P56" s="184">
        <f t="shared" si="6"/>
        <v>81720455.943355173</v>
      </c>
      <c r="Q56" s="184">
        <f>IF(C56=anal_period,-SUM(X110:$X$134),IF(C56&gt;anal_period,0,-X110))</f>
        <v>-36788041.641408242</v>
      </c>
      <c r="R56" s="184">
        <f t="shared" si="7"/>
        <v>44932414.301946931</v>
      </c>
      <c r="S56" s="184">
        <f t="shared" si="8"/>
        <v>-11565603.441321138</v>
      </c>
      <c r="T56" s="184">
        <f t="shared" si="9"/>
        <v>0</v>
      </c>
      <c r="U56" s="184">
        <f t="shared" si="10"/>
        <v>66848142.532580957</v>
      </c>
      <c r="V56" s="184">
        <f t="shared" si="14"/>
        <v>305146306.35495478</v>
      </c>
      <c r="W56" s="184">
        <f t="shared" si="11"/>
        <v>78413745.973902091</v>
      </c>
      <c r="X56" s="184"/>
      <c r="Y56" s="184">
        <f t="shared" si="17"/>
        <v>900000000</v>
      </c>
      <c r="Z56" s="187"/>
    </row>
    <row r="57" spans="1:26" x14ac:dyDescent="0.15">
      <c r="A57" s="99">
        <f t="shared" si="15"/>
        <v>2056</v>
      </c>
      <c r="B57" s="99">
        <v>39</v>
      </c>
      <c r="C57" s="99">
        <f t="shared" si="16"/>
        <v>38</v>
      </c>
      <c r="D57" s="183">
        <f t="shared" si="1"/>
        <v>2.0065260769984223</v>
      </c>
      <c r="E57" s="184">
        <f t="shared" si="2"/>
        <v>244834076.89363822</v>
      </c>
      <c r="F57" s="184"/>
      <c r="G57" s="185" cm="1">
        <f t="array" ref="G57">IF(A57&lt;startup_year,-equity_financing*depr_cap_infl*D57,0)</f>
        <v>0</v>
      </c>
      <c r="H57" s="184">
        <f t="shared" si="13"/>
        <v>-2942164.7293755002</v>
      </c>
      <c r="I57" s="185">
        <f>IF(C57=anal_period,-SUM($I$19:I56),IF(AND(C57&gt;=1,C57&lt;anal_period),working_cap_perct*(SUM(M57:N57)-SUM(M56:N56)),0))</f>
        <v>-427372.72949718387</v>
      </c>
      <c r="J57" s="185">
        <f t="shared" si="3"/>
        <v>0</v>
      </c>
      <c r="K57" s="185">
        <f t="shared" si="4"/>
        <v>0</v>
      </c>
      <c r="L57" s="185" cm="1">
        <f t="array" ref="L57">IF(C57=plant_life,-decom_prct*depr_cap_infl*D57,0)</f>
        <v>0</v>
      </c>
      <c r="M57" s="184">
        <f>IF(OR(A57&lt;startup_year,C57&gt;anal_period),0,IF(A57=startup_year,-Main!$B$84*Main!$E$121*D57,-Main!$E$121*D57))</f>
        <v>-37261795.709787235</v>
      </c>
      <c r="N57" s="184">
        <f>IF(OR(A57&lt;startup_year,C57&gt;anal_period),0,IF(A57=startup_year,-Main!$B$86*Main!$E$134*D57,-Main!$E$134*D57))</f>
        <v>-115542699.5034187</v>
      </c>
      <c r="O57" s="184">
        <f t="shared" si="5"/>
        <v>-8593166.9029964898</v>
      </c>
      <c r="P57" s="184">
        <f t="shared" si="6"/>
        <v>83436414.777435809</v>
      </c>
      <c r="Q57" s="184">
        <f>IF(C57=anal_period,-SUM(X111:$X$134),IF(C57&gt;anal_period,0,-X111))</f>
        <v>-36305404.290426739</v>
      </c>
      <c r="R57" s="184">
        <f t="shared" si="7"/>
        <v>47131010.487009071</v>
      </c>
      <c r="S57" s="184">
        <f t="shared" si="8"/>
        <v>-12131522.099356133</v>
      </c>
      <c r="T57" s="184">
        <f t="shared" si="9"/>
        <v>0</v>
      </c>
      <c r="U57" s="184">
        <f t="shared" si="10"/>
        <v>67935355.219206989</v>
      </c>
      <c r="V57" s="184">
        <f t="shared" si="14"/>
        <v>373081661.57416177</v>
      </c>
      <c r="W57" s="184">
        <f t="shared" si="11"/>
        <v>80066877.318563119</v>
      </c>
      <c r="X57" s="184"/>
      <c r="Y57" s="184">
        <f t="shared" si="17"/>
        <v>900000000</v>
      </c>
      <c r="Z57" s="187"/>
    </row>
    <row r="58" spans="1:26" x14ac:dyDescent="0.15">
      <c r="A58" s="99">
        <f t="shared" si="15"/>
        <v>2057</v>
      </c>
      <c r="B58" s="99">
        <v>40</v>
      </c>
      <c r="C58" s="99">
        <f t="shared" si="16"/>
        <v>39</v>
      </c>
      <c r="D58" s="183">
        <f t="shared" si="1"/>
        <v>2.0446500724613927</v>
      </c>
      <c r="E58" s="184">
        <f t="shared" si="2"/>
        <v>249485924.35461742</v>
      </c>
      <c r="F58" s="184"/>
      <c r="G58" s="185" cm="1">
        <f t="array" ref="G58">IF(A58&lt;startup_year,-equity_financing*depr_cap_infl*D58,0)</f>
        <v>0</v>
      </c>
      <c r="H58" s="184">
        <f t="shared" si="13"/>
        <v>-2998065.859233635</v>
      </c>
      <c r="I58" s="185">
        <f>IF(C58=anal_period,-SUM($I$19:I57),IF(AND(C58&gt;=1,C58&lt;anal_period),working_cap_perct*(SUM(M58:N58)-SUM(M57:N57)),0))</f>
        <v>-435492.81135764119</v>
      </c>
      <c r="J58" s="185">
        <f t="shared" si="3"/>
        <v>0</v>
      </c>
      <c r="K58" s="185">
        <f t="shared" si="4"/>
        <v>0</v>
      </c>
      <c r="L58" s="185" cm="1">
        <f t="array" ref="L58">IF(C58=plant_life,-decom_prct*depr_cap_infl*D58,0)</f>
        <v>0</v>
      </c>
      <c r="M58" s="184">
        <f>IF(OR(A58&lt;startup_year,C58&gt;anal_period),0,IF(A58=startup_year,-Main!$B$84*Main!$E$121*D58,-Main!$E$121*D58))</f>
        <v>-37969769.828273199</v>
      </c>
      <c r="N58" s="184">
        <f>IF(OR(A58&lt;startup_year,C58&gt;anal_period),0,IF(A58=startup_year,-Main!$B$86*Main!$E$134*D58,-Main!$E$134*D58))</f>
        <v>-117738010.79398368</v>
      </c>
      <c r="O58" s="184">
        <f t="shared" si="5"/>
        <v>-8593166.9029964898</v>
      </c>
      <c r="P58" s="184">
        <f t="shared" si="6"/>
        <v>85184976.829364061</v>
      </c>
      <c r="Q58" s="184">
        <f>IF(C58=anal_period,-SUM(X112:$X$134),IF(C58&gt;anal_period,0,-X112))</f>
        <v>-43639359.961583667</v>
      </c>
      <c r="R58" s="184">
        <f t="shared" si="7"/>
        <v>41545616.867780395</v>
      </c>
      <c r="S58" s="184">
        <f t="shared" si="8"/>
        <v>-10693841.781766672</v>
      </c>
      <c r="T58" s="184">
        <f t="shared" si="9"/>
        <v>0</v>
      </c>
      <c r="U58" s="184">
        <f t="shared" si="10"/>
        <v>71057576.377006114</v>
      </c>
      <c r="V58" s="184">
        <f t="shared" si="14"/>
        <v>444139237.95116788</v>
      </c>
      <c r="W58" s="184">
        <f t="shared" si="11"/>
        <v>81751418.158772781</v>
      </c>
      <c r="X58" s="184"/>
      <c r="Y58" s="184">
        <f t="shared" si="17"/>
        <v>900000000</v>
      </c>
      <c r="Z58" s="187"/>
    </row>
    <row r="59" spans="1:26" x14ac:dyDescent="0.15">
      <c r="A59" s="99">
        <f t="shared" si="15"/>
        <v>2058</v>
      </c>
      <c r="B59" s="99">
        <v>41</v>
      </c>
      <c r="C59" s="99">
        <f t="shared" si="16"/>
        <v>40</v>
      </c>
      <c r="D59" s="183">
        <f t="shared" si="1"/>
        <v>2.0834984238381593</v>
      </c>
      <c r="E59" s="184">
        <f t="shared" si="2"/>
        <v>254226156.91735515</v>
      </c>
      <c r="F59" s="184"/>
      <c r="G59" s="185" cm="1">
        <f t="array" ref="G59">IF(A59&lt;startup_year,-equity_financing*depr_cap_infl*D59,0)</f>
        <v>0</v>
      </c>
      <c r="H59" s="184">
        <f t="shared" si="13"/>
        <v>-3055029.1105590742</v>
      </c>
      <c r="I59" s="185">
        <f>IF(C59=anal_period,-SUM($I$19:I58),IF(AND(C59&gt;=1,C59&lt;anal_period),working_cap_perct*(SUM(M59:N59)-SUM(M58:N58)),0))</f>
        <v>23356167.093338534</v>
      </c>
      <c r="J59" s="185">
        <f t="shared" si="3"/>
        <v>0</v>
      </c>
      <c r="K59" s="185">
        <f>IF(C59=anal_period,salvage*total_capital*D59,"")</f>
        <v>82180283.074039087</v>
      </c>
      <c r="L59" s="185" cm="1">
        <f t="array" ref="L59">IF(C59=plant_life,-decom_prct*depr_cap_infl*D59,0)</f>
        <v>-82180283.074039087</v>
      </c>
      <c r="M59" s="184">
        <f>IF(OR(A59&lt;startup_year,C59&gt;anal_period),0,IF(A59=startup_year,-Main!$B$84*Main!$E$121*D59,-Main!$E$121*D59))</f>
        <v>-38691195.455010392</v>
      </c>
      <c r="N59" s="184">
        <f>IF(OR(A59&lt;startup_year,C59&gt;anal_period),0,IF(A59=startup_year,-Main!$B$86*Main!$E$134*D59,-Main!$E$134*D59))</f>
        <v>-119975032.99906938</v>
      </c>
      <c r="O59" s="184">
        <f t="shared" si="5"/>
        <v>-8593166.9029964898</v>
      </c>
      <c r="P59" s="184">
        <f t="shared" si="6"/>
        <v>86966761.560278893</v>
      </c>
      <c r="Q59" s="184">
        <f>IF(C59=anal_period,-SUM(X113:$X$134),IF(C59&gt;anal_period,0,-X113))</f>
        <v>-714458223.91669703</v>
      </c>
      <c r="R59" s="184">
        <f t="shared" si="7"/>
        <v>-627491462.35641813</v>
      </c>
      <c r="S59" s="184">
        <f t="shared" si="8"/>
        <v>161516302.41054201</v>
      </c>
      <c r="T59" s="184">
        <f>IF(C59&lt;&gt;anal_period,0,$F$19)</f>
        <v>-232247754.13504025</v>
      </c>
      <c r="U59" s="184">
        <f t="shared" si="10"/>
        <v>36536447.818560094</v>
      </c>
      <c r="V59" s="184">
        <f t="shared" si="14"/>
        <v>480675685.76972795</v>
      </c>
      <c r="W59" s="184">
        <f t="shared" si="11"/>
        <v>-124979854.5919819</v>
      </c>
      <c r="X59" s="99"/>
      <c r="Y59" s="186">
        <f t="shared" si="17"/>
        <v>900000000</v>
      </c>
      <c r="Z59" s="187"/>
    </row>
    <row r="60" spans="1:26" x14ac:dyDescent="0.15">
      <c r="A60" s="99"/>
      <c r="B60" s="99"/>
      <c r="C60" s="99"/>
      <c r="D60" s="183"/>
      <c r="E60" s="184"/>
      <c r="F60" s="184"/>
      <c r="G60" s="185"/>
      <c r="H60" s="184"/>
      <c r="I60" s="185"/>
      <c r="J60" s="185"/>
      <c r="K60" s="185"/>
      <c r="L60" s="185"/>
      <c r="M60" s="184"/>
      <c r="N60" s="184"/>
      <c r="O60" s="184"/>
      <c r="P60" s="184"/>
      <c r="Q60" s="184"/>
      <c r="R60" s="184"/>
      <c r="S60" s="184"/>
      <c r="T60" s="184"/>
      <c r="U60" s="184"/>
      <c r="V60" s="184"/>
      <c r="W60" s="184"/>
      <c r="X60" s="99"/>
      <c r="Y60" s="186"/>
      <c r="Z60" s="187"/>
    </row>
    <row r="61" spans="1:26" s="160" customFormat="1" x14ac:dyDescent="0.15">
      <c r="A61" s="181"/>
      <c r="B61" s="181"/>
      <c r="C61" s="181"/>
      <c r="D61" s="186" t="s">
        <v>88</v>
      </c>
      <c r="E61" s="387">
        <f t="shared" ref="E61:W61" si="18">NPV(nominal_irr,E19:E59)</f>
        <v>1615732386.3341694</v>
      </c>
      <c r="F61" s="186">
        <f t="shared" si="18"/>
        <v>-215016344.30262768</v>
      </c>
      <c r="G61" s="186">
        <f>NPV(nominal_irr,G19:G59)</f>
        <v>-143344229.53508514</v>
      </c>
      <c r="H61" s="186">
        <f t="shared" si="18"/>
        <v>-289532892.55114454</v>
      </c>
      <c r="I61" s="186">
        <f t="shared" si="18"/>
        <v>-11329364.036503328</v>
      </c>
      <c r="J61" s="186">
        <f t="shared" si="18"/>
        <v>0</v>
      </c>
      <c r="K61" s="186">
        <f t="shared" si="18"/>
        <v>3484059.8976978054</v>
      </c>
      <c r="L61" s="186">
        <f t="shared" si="18"/>
        <v>-3484059.8976978054</v>
      </c>
      <c r="M61" s="186">
        <f t="shared" si="18"/>
        <v>-249880823.87393895</v>
      </c>
      <c r="N61" s="186">
        <f t="shared" si="18"/>
        <v>-774839333.27855432</v>
      </c>
      <c r="O61" s="186">
        <f t="shared" si="18"/>
        <v>-102681018.09513344</v>
      </c>
      <c r="P61" s="186">
        <f t="shared" si="18"/>
        <v>488331211.08654267</v>
      </c>
      <c r="Q61" s="186">
        <f t="shared" si="18"/>
        <v>-355159083.27953482</v>
      </c>
      <c r="R61" s="186">
        <f t="shared" si="18"/>
        <v>133172127.80700789</v>
      </c>
      <c r="S61" s="186">
        <f t="shared" si="18"/>
        <v>-34278505.697523817</v>
      </c>
      <c r="T61" s="186">
        <f t="shared" si="18"/>
        <v>-9846219.266283961</v>
      </c>
      <c r="U61" s="186">
        <f t="shared" si="18"/>
        <v>1.8294236605351083E-6</v>
      </c>
      <c r="V61" s="186">
        <f t="shared" si="18"/>
        <v>-254285031.61446264</v>
      </c>
      <c r="W61" s="186">
        <f t="shared" si="18"/>
        <v>34278505.697525665</v>
      </c>
      <c r="X61" s="181"/>
      <c r="Y61" s="186"/>
    </row>
    <row r="62" spans="1:26" s="160" customFormat="1" x14ac:dyDescent="0.15">
      <c r="A62" s="181"/>
      <c r="B62" s="181"/>
      <c r="C62" s="181"/>
      <c r="D62" s="186" t="s">
        <v>79</v>
      </c>
      <c r="E62" s="387">
        <f>NPV(nominal_irr,E20:E60)</f>
        <v>1745217179.7749896</v>
      </c>
      <c r="F62" s="186">
        <f t="shared" ref="F62:W62" si="19">F19+NPV(nominal_irr,F20:F59)</f>
        <v>-232247754.13504025</v>
      </c>
      <c r="G62" s="186">
        <f>G19+NPV(nominal_irr,G20:G59)</f>
        <v>-154831836.09002686</v>
      </c>
      <c r="H62" s="186">
        <f t="shared" si="19"/>
        <v>-312736058.56019342</v>
      </c>
      <c r="I62" s="186">
        <f t="shared" si="19"/>
        <v>-12237299.270388704</v>
      </c>
      <c r="J62" s="186">
        <f t="shared" si="19"/>
        <v>0</v>
      </c>
      <c r="K62" s="186">
        <f t="shared" si="19"/>
        <v>3763272.4578993074</v>
      </c>
      <c r="L62" s="186">
        <f t="shared" si="19"/>
        <v>-3763272.4578993074</v>
      </c>
      <c r="M62" s="186">
        <f t="shared" si="19"/>
        <v>-269906273.09919643</v>
      </c>
      <c r="N62" s="186">
        <f t="shared" si="19"/>
        <v>-836934957.44749725</v>
      </c>
      <c r="O62" s="186">
        <f t="shared" si="19"/>
        <v>-110909874.88527744</v>
      </c>
      <c r="P62" s="186">
        <f t="shared" si="19"/>
        <v>527466074.34301823</v>
      </c>
      <c r="Q62" s="186">
        <f t="shared" si="19"/>
        <v>-383621532.21355689</v>
      </c>
      <c r="R62" s="186">
        <f t="shared" si="19"/>
        <v>143844542.1294615</v>
      </c>
      <c r="S62" s="186">
        <f t="shared" si="19"/>
        <v>-37025585.144123383</v>
      </c>
      <c r="T62" s="186">
        <f t="shared" si="19"/>
        <v>-10635295.278283959</v>
      </c>
      <c r="U62" s="186">
        <f>U19+NPV(nominal_irr,U20:U59)</f>
        <v>1.9669532775878906E-6</v>
      </c>
      <c r="V62" s="186">
        <f t="shared" si="19"/>
        <v>-274663434.04804575</v>
      </c>
      <c r="W62" s="186">
        <f t="shared" si="19"/>
        <v>37025585.144125342</v>
      </c>
      <c r="X62" s="181"/>
      <c r="Y62" s="186">
        <f>Y19+NPV(real_irr,Y20:Y59)</f>
        <v>13117138882.485611</v>
      </c>
    </row>
    <row r="63" spans="1:26" s="188" customFormat="1" x14ac:dyDescent="0.15">
      <c r="A63" s="93"/>
      <c r="B63" s="93"/>
      <c r="C63" s="93"/>
      <c r="D63" s="93"/>
      <c r="E63" s="430"/>
      <c r="F63" s="93"/>
      <c r="G63" s="93"/>
      <c r="H63" s="93"/>
      <c r="I63" s="93"/>
      <c r="J63" s="93"/>
      <c r="K63" s="93"/>
      <c r="L63" s="93"/>
      <c r="M63" s="93"/>
      <c r="N63" s="93"/>
      <c r="O63" s="93"/>
      <c r="P63" s="93"/>
      <c r="Q63" s="93"/>
      <c r="R63" s="93"/>
      <c r="S63" s="93"/>
      <c r="T63" s="93"/>
      <c r="U63" s="93"/>
      <c r="V63" s="93"/>
      <c r="W63" s="93"/>
      <c r="X63" s="93"/>
    </row>
    <row r="64" spans="1:26" x14ac:dyDescent="0.15">
      <c r="A64" s="157"/>
      <c r="B64" s="157"/>
      <c r="C64" s="157"/>
      <c r="D64" s="157"/>
      <c r="E64" s="157"/>
      <c r="F64" s="157"/>
      <c r="G64" s="157"/>
      <c r="H64" s="157"/>
      <c r="I64" s="157"/>
      <c r="J64" s="157"/>
      <c r="K64" s="157"/>
      <c r="L64" s="157"/>
      <c r="M64" s="157"/>
      <c r="N64" s="157"/>
      <c r="O64" s="157"/>
      <c r="P64" s="157"/>
      <c r="Q64" s="157"/>
      <c r="R64" s="157"/>
      <c r="S64" s="157"/>
      <c r="T64" s="157"/>
      <c r="U64" s="157"/>
      <c r="V64" s="157"/>
      <c r="W64" s="157"/>
      <c r="X64" s="157"/>
    </row>
    <row r="65" spans="1:24" ht="16" x14ac:dyDescent="0.15">
      <c r="A65" s="189" t="s">
        <v>83</v>
      </c>
      <c r="B65" s="190"/>
      <c r="C65" s="157"/>
      <c r="D65" s="157"/>
      <c r="E65" s="157"/>
      <c r="F65" s="157"/>
      <c r="G65" s="157"/>
      <c r="H65" s="157"/>
      <c r="I65" s="157"/>
      <c r="J65" s="157"/>
      <c r="K65" s="157"/>
      <c r="L65" s="157"/>
      <c r="M65" s="157"/>
      <c r="N65" s="157"/>
      <c r="O65" s="157"/>
      <c r="P65" s="157"/>
      <c r="Q65" s="157"/>
      <c r="R65" s="157"/>
      <c r="S65" s="157"/>
      <c r="T65" s="157"/>
      <c r="U65" s="157"/>
      <c r="V65" s="157"/>
      <c r="W65" s="157"/>
      <c r="X65" s="157"/>
    </row>
    <row r="66" spans="1:24" x14ac:dyDescent="0.15">
      <c r="A66" s="103" t="s">
        <v>83</v>
      </c>
      <c r="B66" s="103" t="str">
        <f>Main!B79</f>
        <v>MACRS</v>
      </c>
      <c r="E66" s="157"/>
      <c r="F66" s="157"/>
      <c r="G66" s="157"/>
      <c r="H66" s="157"/>
      <c r="I66" s="157"/>
      <c r="J66" s="157"/>
      <c r="K66" s="157"/>
      <c r="L66" s="157"/>
      <c r="M66" s="157"/>
      <c r="N66" s="157"/>
      <c r="O66" s="157"/>
      <c r="P66" s="157"/>
      <c r="Q66" s="157"/>
      <c r="R66" s="157"/>
      <c r="S66" s="157"/>
      <c r="T66" s="157"/>
      <c r="U66" s="157"/>
      <c r="V66" s="157"/>
      <c r="W66" s="157"/>
      <c r="X66" s="157"/>
    </row>
    <row r="67" spans="1:24" x14ac:dyDescent="0.15">
      <c r="A67" s="103" t="s">
        <v>84</v>
      </c>
      <c r="B67" s="103">
        <f>plant_life/2</f>
        <v>20</v>
      </c>
      <c r="E67" s="157"/>
      <c r="F67" s="157"/>
      <c r="G67" s="157"/>
      <c r="H67" s="157"/>
      <c r="I67" s="157"/>
      <c r="J67" s="157"/>
      <c r="K67" s="157"/>
      <c r="L67" s="157"/>
      <c r="M67" s="157"/>
      <c r="N67" s="157"/>
      <c r="O67" s="157"/>
      <c r="P67" s="157"/>
      <c r="Q67" s="157"/>
      <c r="R67" s="157"/>
      <c r="S67" s="157"/>
      <c r="T67" s="157"/>
      <c r="U67" s="157"/>
      <c r="V67" s="157"/>
      <c r="W67" s="157"/>
      <c r="X67" s="157"/>
    </row>
    <row r="68" spans="1:24" x14ac:dyDescent="0.15">
      <c r="A68" s="103" t="s">
        <v>85</v>
      </c>
      <c r="B68" s="191">
        <f>-(F19+SUM(G19:G59))</f>
        <v>387079590.22506714</v>
      </c>
      <c r="E68" s="157"/>
      <c r="F68" s="157"/>
      <c r="G68" s="157"/>
      <c r="H68" s="157"/>
      <c r="I68" s="157"/>
      <c r="J68" s="157"/>
      <c r="K68" s="157"/>
      <c r="L68" s="157"/>
      <c r="M68" s="157"/>
      <c r="N68" s="157"/>
      <c r="O68" s="157"/>
      <c r="P68" s="157"/>
      <c r="Q68" s="157"/>
      <c r="R68" s="157"/>
      <c r="S68" s="157"/>
      <c r="T68" s="157"/>
      <c r="U68" s="157"/>
      <c r="V68" s="157"/>
      <c r="W68" s="157"/>
      <c r="X68" s="157"/>
    </row>
    <row r="69" spans="1:24" x14ac:dyDescent="0.15">
      <c r="A69" s="157"/>
      <c r="B69" s="157"/>
      <c r="C69" s="157"/>
      <c r="D69" s="157"/>
      <c r="E69" s="157"/>
      <c r="F69" s="157"/>
      <c r="G69" s="157"/>
      <c r="H69" s="157"/>
      <c r="I69" s="157"/>
      <c r="J69" s="157"/>
      <c r="K69" s="157"/>
      <c r="L69" s="157"/>
      <c r="M69" s="157"/>
      <c r="N69" s="157"/>
      <c r="O69" s="157"/>
      <c r="P69" s="157"/>
      <c r="Q69" s="157"/>
      <c r="R69" s="157"/>
      <c r="S69" s="157"/>
      <c r="T69" s="157"/>
      <c r="U69" s="157"/>
      <c r="V69" s="157"/>
      <c r="W69" s="157"/>
      <c r="X69" s="157"/>
    </row>
    <row r="70" spans="1:24" x14ac:dyDescent="0.15">
      <c r="A70" s="158"/>
      <c r="B70" s="158"/>
    </row>
    <row r="71" spans="1:24" ht="16" x14ac:dyDescent="0.15">
      <c r="A71" s="38" t="s">
        <v>81</v>
      </c>
      <c r="B71" s="38"/>
      <c r="C71" s="38"/>
      <c r="D71" s="115"/>
      <c r="E71" s="115"/>
      <c r="F71" s="115"/>
      <c r="G71" s="115"/>
      <c r="H71" s="115"/>
      <c r="I71" s="115"/>
      <c r="J71" s="115"/>
      <c r="K71" s="115"/>
      <c r="L71" s="115"/>
      <c r="M71" s="115"/>
      <c r="N71" s="115"/>
      <c r="O71" s="115"/>
      <c r="P71" s="115"/>
      <c r="Q71" s="115"/>
      <c r="R71" s="115"/>
      <c r="S71" s="115"/>
      <c r="T71" s="115"/>
      <c r="U71" s="115"/>
      <c r="V71" s="115"/>
      <c r="W71" s="115"/>
      <c r="X71" s="192"/>
    </row>
    <row r="72" spans="1:24" s="160" customFormat="1" x14ac:dyDescent="0.15">
      <c r="A72" s="116" t="s">
        <v>5</v>
      </c>
      <c r="B72" s="116" t="s">
        <v>82</v>
      </c>
      <c r="C72" s="116">
        <v>1</v>
      </c>
      <c r="D72" s="116">
        <v>2</v>
      </c>
      <c r="E72" s="116">
        <v>3</v>
      </c>
      <c r="F72" s="116">
        <v>4</v>
      </c>
      <c r="G72" s="116">
        <v>5</v>
      </c>
      <c r="H72" s="116">
        <v>6</v>
      </c>
      <c r="I72" s="116">
        <v>7</v>
      </c>
      <c r="J72" s="116">
        <v>8</v>
      </c>
      <c r="K72" s="116">
        <v>9</v>
      </c>
      <c r="L72" s="116">
        <v>10</v>
      </c>
      <c r="M72" s="116">
        <v>11</v>
      </c>
      <c r="N72" s="116">
        <v>12</v>
      </c>
      <c r="O72" s="116">
        <v>13</v>
      </c>
      <c r="P72" s="116">
        <v>14</v>
      </c>
      <c r="Q72" s="116">
        <v>15</v>
      </c>
      <c r="R72" s="116">
        <v>16</v>
      </c>
      <c r="S72" s="116">
        <v>17</v>
      </c>
      <c r="T72" s="116">
        <v>18</v>
      </c>
      <c r="U72" s="116">
        <v>19</v>
      </c>
      <c r="V72" s="116">
        <v>20</v>
      </c>
      <c r="W72" s="116">
        <v>21</v>
      </c>
      <c r="X72" s="193" t="s">
        <v>86</v>
      </c>
    </row>
    <row r="73" spans="1:24" x14ac:dyDescent="0.15">
      <c r="A73" s="115">
        <v>-1</v>
      </c>
      <c r="B73" s="194">
        <f t="shared" ref="B73:B113" si="20">IF(A73&lt;1,0,IF(A73=1,$B$68-H19,-H19))</f>
        <v>0</v>
      </c>
      <c r="C73" s="195">
        <f>IF(AND(Main!$B$79="Straight Line",C$72&lt;=depr_length),$B73/depr_length,IF(AND(Main!$B$79="MACRS",C$72&lt;=depr_length+1),$B73*INDEX(MACRS_table,MATCH(C$72,recovery_year,0),MATCH(depr_length,recovery_period,0)),""))</f>
        <v>0</v>
      </c>
      <c r="D73" s="195">
        <f>IF(AND(Main!$B$79="Straight Line",D$72&lt;=depr_length),$B73/depr_length,IF(AND(Main!$B$79="MACRS",D$72&lt;=depr_length+1),$B73*INDEX(MACRS_table,MATCH(D$72,recovery_year,0),MATCH(depr_length,recovery_period,0)),""))</f>
        <v>0</v>
      </c>
      <c r="E73" s="195">
        <f>IF(AND(Main!$B$79="Straight Line",E$72&lt;=depr_length),$B73/depr_length,IF(AND(Main!$B$79="MACRS",E$72&lt;=depr_length+1),$B73*INDEX(MACRS_table,MATCH(E$72,recovery_year,0),MATCH(depr_length,recovery_period,0)),""))</f>
        <v>0</v>
      </c>
      <c r="F73" s="195">
        <f>IF(AND(Main!$B$79="Straight Line",F$72&lt;=depr_length),$B73/depr_length,IF(AND(Main!$B$79="MACRS",F$72&lt;=depr_length+1),$B73*INDEX(MACRS_table,MATCH(F$72,recovery_year,0),MATCH(depr_length,recovery_period,0)),""))</f>
        <v>0</v>
      </c>
      <c r="G73" s="195">
        <f>IF(AND(Main!$B$79="Straight Line",G$72&lt;=depr_length),$B73/depr_length,IF(AND(Main!$B$79="MACRS",G$72&lt;=depr_length+1),$B73*INDEX(MACRS_table,MATCH(G$72,recovery_year,0),MATCH(depr_length,recovery_period,0)),""))</f>
        <v>0</v>
      </c>
      <c r="H73" s="195">
        <f>IF(AND(Main!$B$79="Straight Line",H$72&lt;=depr_length),$B73/depr_length,IF(AND(Main!$B$79="MACRS",H$72&lt;=depr_length+1),$B73*INDEX(MACRS_table,MATCH(H$72,recovery_year,0),MATCH(depr_length,recovery_period,0)),""))</f>
        <v>0</v>
      </c>
      <c r="I73" s="195">
        <f>IF(AND(Main!$B$79="Straight Line",I$72&lt;=depr_length),$B73/depr_length,IF(AND(Main!$B$79="MACRS",I$72&lt;=depr_length+1),$B73*INDEX(MACRS_table,MATCH(I$72,recovery_year,0),MATCH(depr_length,recovery_period,0)),""))</f>
        <v>0</v>
      </c>
      <c r="J73" s="195">
        <f>IF(AND(Main!$B$79="Straight Line",J$72&lt;=depr_length),$B73/depr_length,IF(AND(Main!$B$79="MACRS",J$72&lt;=depr_length+1),$B73*INDEX(MACRS_table,MATCH(J$72,recovery_year,0),MATCH(depr_length,recovery_period,0)),""))</f>
        <v>0</v>
      </c>
      <c r="K73" s="195">
        <f>IF(AND(Main!$B$79="Straight Line",K$72&lt;=depr_length),$B73/depr_length,IF(AND(Main!$B$79="MACRS",K$72&lt;=depr_length+1),$B73*INDEX(MACRS_table,MATCH(K$72,recovery_year,0),MATCH(depr_length,recovery_period,0)),""))</f>
        <v>0</v>
      </c>
      <c r="L73" s="195">
        <f>IF(AND(Main!$B$79="Straight Line",L$72&lt;=depr_length),$B73/depr_length,IF(AND(Main!$B$79="MACRS",L$72&lt;=depr_length+1),$B73*INDEX(MACRS_table,MATCH(L$72,recovery_year,0),MATCH(depr_length,recovery_period,0)),""))</f>
        <v>0</v>
      </c>
      <c r="M73" s="195">
        <f>IF(AND(Main!$B$79="Straight Line",M$72&lt;=depr_length),$B73/depr_length,IF(AND(Main!$B$79="MACRS",M$72&lt;=depr_length+1),$B73*INDEX(MACRS_table,MATCH(M$72,recovery_year,0),MATCH(depr_length,recovery_period,0)),""))</f>
        <v>0</v>
      </c>
      <c r="N73" s="195">
        <f>IF(AND(Main!$B$79="Straight Line",N$72&lt;=depr_length),$B73/depr_length,IF(AND(Main!$B$79="MACRS",N$72&lt;=depr_length+1),$B73*INDEX(MACRS_table,MATCH(N$72,recovery_year,0),MATCH(depr_length,recovery_period,0)),""))</f>
        <v>0</v>
      </c>
      <c r="O73" s="195">
        <f>IF(AND(Main!$B$79="Straight Line",O$72&lt;=depr_length),$B73/depr_length,IF(AND(Main!$B$79="MACRS",O$72&lt;=depr_length+1),$B73*INDEX(MACRS_table,MATCH(O$72,recovery_year,0),MATCH(depr_length,recovery_period,0)),""))</f>
        <v>0</v>
      </c>
      <c r="P73" s="195">
        <f>IF(AND(Main!$B$79="Straight Line",P$72&lt;=depr_length),$B73/depr_length,IF(AND(Main!$B$79="MACRS",P$72&lt;=depr_length+1),$B73*INDEX(MACRS_table,MATCH(P$72,recovery_year,0),MATCH(depr_length,recovery_period,0)),""))</f>
        <v>0</v>
      </c>
      <c r="Q73" s="195">
        <f>IF(AND(Main!$B$79="Straight Line",Q$72&lt;=depr_length),$B73/depr_length,IF(AND(Main!$B$79="MACRS",Q$72&lt;=depr_length+1),$B73*INDEX(MACRS_table,MATCH(Q$72,recovery_year,0),MATCH(depr_length,recovery_period,0)),""))</f>
        <v>0</v>
      </c>
      <c r="R73" s="195">
        <f>IF(AND(Main!$B$79="Straight Line",R$72&lt;=depr_length),$B73/depr_length,IF(AND(Main!$B$79="MACRS",R$72&lt;=depr_length+1),$B73*INDEX(MACRS_table,MATCH(R$72,recovery_year,0),MATCH(depr_length,recovery_period,0)),""))</f>
        <v>0</v>
      </c>
      <c r="S73" s="195">
        <f>IF(AND(Main!$B$79="Straight Line",S$72&lt;=depr_length),$B73/depr_length,IF(AND(Main!$B$79="MACRS",S$72&lt;=depr_length+1),$B73*INDEX(MACRS_table,MATCH(S$72,recovery_year,0),MATCH(depr_length,recovery_period,0)),""))</f>
        <v>0</v>
      </c>
      <c r="T73" s="195">
        <f>IF(AND(Main!$B$79="Straight Line",T$72&lt;=depr_length),$B73/depr_length,IF(AND(Main!$B$79="MACRS",T$72&lt;=depr_length+1),$B73*INDEX(MACRS_table,MATCH(T$72,recovery_year,0),MATCH(depr_length,recovery_period,0)),""))</f>
        <v>0</v>
      </c>
      <c r="U73" s="195">
        <f>IF(AND(Main!$B$79="Straight Line",U$72&lt;=depr_length),$B73/depr_length,IF(AND(Main!$B$79="MACRS",U$72&lt;=depr_length+1),$B73*INDEX(MACRS_table,MATCH(U$72,recovery_year,0),MATCH(depr_length,recovery_period,0)),""))</f>
        <v>0</v>
      </c>
      <c r="V73" s="195">
        <f>IF(AND(Main!$B$79="Straight Line",V$72&lt;=depr_length),$B73/depr_length,IF(AND(Main!$B$79="MACRS",V$72&lt;=depr_length+1),$B73*INDEX(MACRS_table,MATCH(V$72,recovery_year,0),MATCH(depr_length,recovery_period,0)),""))</f>
        <v>0</v>
      </c>
      <c r="W73" s="195">
        <f>IF(AND(Main!$B$79="Straight Line",W$72&lt;=depr_length),$B73/depr_length,IF(AND(Main!$B$79="MACRS",W$72&lt;=depr_length+1),$B73*INDEX(MACRS_table,MATCH(W$72,recovery_year,0),MATCH(depr_length,recovery_period,0)),""))</f>
        <v>0</v>
      </c>
      <c r="X73" s="196" cm="1">
        <f t="array" ref="X73">SUMPRODUCT((ROW($C$73:$W$113)-MIN(ROW(C73:W113))=MIN(COLUMN(C73:W113))-COLUMN($C$73:$W$113))*($C$73:$W$113))</f>
        <v>0</v>
      </c>
    </row>
    <row r="74" spans="1:24" x14ac:dyDescent="0.15">
      <c r="A74" s="115">
        <v>1</v>
      </c>
      <c r="B74" s="194">
        <f t="shared" si="20"/>
        <v>388545888.00365204</v>
      </c>
      <c r="C74" s="195">
        <f>IF(AND(Main!$B$79="Straight Line",C$72&lt;=depr_length),$B74/depr_length,IF(AND(Main!$B$79="MACRS",C$72&lt;=depr_length+1),$B74*INDEX(MACRS_table,MATCH(C$72,recovery_year,0),MATCH(depr_length,recovery_period,0)),""))</f>
        <v>14570470.800136952</v>
      </c>
      <c r="D74" s="195">
        <f>IF(AND(Main!$B$79="Straight Line",D$72&lt;=depr_length),$B74/depr_length,IF(AND(Main!$B$79="MACRS",D$72&lt;=depr_length+1),$B74*INDEX(MACRS_table,MATCH(D$72,recovery_year,0),MATCH(depr_length,recovery_period,0)),""))</f>
        <v>28049127.654983643</v>
      </c>
      <c r="E74" s="195">
        <f>IF(AND(Main!$B$79="Straight Line",E$72&lt;=depr_length),$B74/depr_length,IF(AND(Main!$B$79="MACRS",E$72&lt;=depr_length+1),$B74*INDEX(MACRS_table,MATCH(E$72,recovery_year,0),MATCH(depr_length,recovery_period,0)),""))</f>
        <v>25943208.942003846</v>
      </c>
      <c r="F74" s="195">
        <f>IF(AND(Main!$B$79="Straight Line",F$72&lt;=depr_length),$B74/depr_length,IF(AND(Main!$B$79="MACRS",F$72&lt;=depr_length+1),$B74*INDEX(MACRS_table,MATCH(F$72,recovery_year,0),MATCH(depr_length,recovery_period,0)),""))</f>
        <v>24000479.501985587</v>
      </c>
      <c r="G74" s="195">
        <f>IF(AND(Main!$B$79="Straight Line",G$72&lt;=depr_length),$B74/depr_length,IF(AND(Main!$B$79="MACRS",G$72&lt;=depr_length+1),$B74*INDEX(MACRS_table,MATCH(G$72,recovery_year,0),MATCH(depr_length,recovery_period,0)),""))</f>
        <v>22197626.58164864</v>
      </c>
      <c r="H74" s="195">
        <f>IF(AND(Main!$B$79="Straight Line",H$72&lt;=depr_length),$B74/depr_length,IF(AND(Main!$B$79="MACRS",H$72&lt;=depr_length+1),$B74*INDEX(MACRS_table,MATCH(H$72,recovery_year,0),MATCH(depr_length,recovery_period,0)),""))</f>
        <v>20534650.180993009</v>
      </c>
      <c r="I74" s="195">
        <f>IF(AND(Main!$B$79="Straight Line",I$72&lt;=depr_length),$B74/depr_length,IF(AND(Main!$B$79="MACRS",I$72&lt;=depr_length+1),$B74*INDEX(MACRS_table,MATCH(I$72,recovery_year,0),MATCH(depr_length,recovery_period,0)),""))</f>
        <v>18992123.005618513</v>
      </c>
      <c r="J74" s="195">
        <f>IF(AND(Main!$B$79="Straight Line",J$72&lt;=depr_length),$B74/depr_length,IF(AND(Main!$B$79="MACRS",J$72&lt;=depr_length+1),$B74*INDEX(MACRS_table,MATCH(J$72,recovery_year,0),MATCH(depr_length,recovery_period,0)),""))</f>
        <v>17570045.055525146</v>
      </c>
      <c r="K74" s="195">
        <f>IF(AND(Main!$B$79="Straight Line",K$72&lt;=depr_length),$B74/depr_length,IF(AND(Main!$B$79="MACRS",K$72&lt;=depr_length+1),$B74*INDEX(MACRS_table,MATCH(K$72,recovery_year,0),MATCH(depr_length,recovery_period,0)),""))</f>
        <v>17336917.522722952</v>
      </c>
      <c r="L74" s="195">
        <f>IF(AND(Main!$B$79="Straight Line",L$72&lt;=depr_length),$B74/depr_length,IF(AND(Main!$B$79="MACRS",L$72&lt;=depr_length+1),$B74*INDEX(MACRS_table,MATCH(L$72,recovery_year,0),MATCH(depr_length,recovery_period,0)),""))</f>
        <v>17333032.063842915</v>
      </c>
      <c r="M74" s="195">
        <f>IF(AND(Main!$B$79="Straight Line",M$72&lt;=depr_length),$B74/depr_length,IF(AND(Main!$B$79="MACRS",M$72&lt;=depr_length+1),$B74*INDEX(MACRS_table,MATCH(M$72,recovery_year,0),MATCH(depr_length,recovery_period,0)),""))</f>
        <v>17336917.522722952</v>
      </c>
      <c r="N74" s="195">
        <f>IF(AND(Main!$B$79="Straight Line",N$72&lt;=depr_length),$B74/depr_length,IF(AND(Main!$B$79="MACRS",N$72&lt;=depr_length+1),$B74*INDEX(MACRS_table,MATCH(N$72,recovery_year,0),MATCH(depr_length,recovery_period,0)),""))</f>
        <v>17333032.063842915</v>
      </c>
      <c r="O74" s="195">
        <f>IF(AND(Main!$B$79="Straight Line",O$72&lt;=depr_length),$B74/depr_length,IF(AND(Main!$B$79="MACRS",O$72&lt;=depr_length+1),$B74*INDEX(MACRS_table,MATCH(O$72,recovery_year,0),MATCH(depr_length,recovery_period,0)),""))</f>
        <v>17336917.522722952</v>
      </c>
      <c r="P74" s="195">
        <f>IF(AND(Main!$B$79="Straight Line",P$72&lt;=depr_length),$B74/depr_length,IF(AND(Main!$B$79="MACRS",P$72&lt;=depr_length+1),$B74*INDEX(MACRS_table,MATCH(P$72,recovery_year,0),MATCH(depr_length,recovery_period,0)),""))</f>
        <v>17333032.063842915</v>
      </c>
      <c r="Q74" s="195">
        <f>IF(AND(Main!$B$79="Straight Line",Q$72&lt;=depr_length),$B74/depr_length,IF(AND(Main!$B$79="MACRS",Q$72&lt;=depr_length+1),$B74*INDEX(MACRS_table,MATCH(Q$72,recovery_year,0),MATCH(depr_length,recovery_period,0)),""))</f>
        <v>17336917.522722952</v>
      </c>
      <c r="R74" s="195">
        <f>IF(AND(Main!$B$79="Straight Line",R$72&lt;=depr_length),$B74/depr_length,IF(AND(Main!$B$79="MACRS",R$72&lt;=depr_length+1),$B74*INDEX(MACRS_table,MATCH(R$72,recovery_year,0),MATCH(depr_length,recovery_period,0)),""))</f>
        <v>17333032.063842915</v>
      </c>
      <c r="S74" s="195">
        <f>IF(AND(Main!$B$79="Straight Line",S$72&lt;=depr_length),$B74/depr_length,IF(AND(Main!$B$79="MACRS",S$72&lt;=depr_length+1),$B74*INDEX(MACRS_table,MATCH(S$72,recovery_year,0),MATCH(depr_length,recovery_period,0)),""))</f>
        <v>17336917.522722952</v>
      </c>
      <c r="T74" s="195">
        <f>IF(AND(Main!$B$79="Straight Line",T$72&lt;=depr_length),$B74/depr_length,IF(AND(Main!$B$79="MACRS",T$72&lt;=depr_length+1),$B74*INDEX(MACRS_table,MATCH(T$72,recovery_year,0),MATCH(depr_length,recovery_period,0)),""))</f>
        <v>17333032.063842915</v>
      </c>
      <c r="U74" s="195">
        <f>IF(AND(Main!$B$79="Straight Line",U$72&lt;=depr_length),$B74/depr_length,IF(AND(Main!$B$79="MACRS",U$72&lt;=depr_length+1),$B74*INDEX(MACRS_table,MATCH(U$72,recovery_year,0),MATCH(depr_length,recovery_period,0)),""))</f>
        <v>17336917.522722952</v>
      </c>
      <c r="V74" s="195">
        <f>IF(AND(Main!$B$79="Straight Line",V$72&lt;=depr_length),$B74/depr_length,IF(AND(Main!$B$79="MACRS",V$72&lt;=depr_length+1),$B74*INDEX(MACRS_table,MATCH(V$72,recovery_year,0),MATCH(depr_length,recovery_period,0)),""))</f>
        <v>17333032.063842915</v>
      </c>
      <c r="W74" s="195">
        <f>IF(AND(Main!$B$79="Straight Line",W$72&lt;=depr_length),$B74/depr_length,IF(AND(Main!$B$79="MACRS",W$72&lt;=depr_length+1),$B74*INDEX(MACRS_table,MATCH(W$72,recovery_year,0),MATCH(depr_length,recovery_period,0)),""))</f>
        <v>8668458.761361476</v>
      </c>
      <c r="X74" s="196" cm="1">
        <f t="array" ref="X74">SUMPRODUCT((ROW($C$73:$W$113)-MIN(ROW(C74:W114))=MIN(COLUMN(C74:W114))-COLUMN($C$73:$W$113))*($C$73:$W$113))</f>
        <v>14570470.800136952</v>
      </c>
    </row>
    <row r="75" spans="1:24" x14ac:dyDescent="0.15">
      <c r="A75" s="115">
        <v>2</v>
      </c>
      <c r="B75" s="194">
        <f t="shared" si="20"/>
        <v>1494157.4363780329</v>
      </c>
      <c r="C75" s="195">
        <f>IF(AND(Main!$B$79="Straight Line",C$72&lt;=depr_length),$B75/depr_length,IF(AND(Main!$B$79="MACRS",C$72&lt;=depr_length+1),$B75*INDEX(MACRS_table,MATCH(C$72,recovery_year,0),MATCH(depr_length,recovery_period,0)),""))</f>
        <v>56030.903864176231</v>
      </c>
      <c r="D75" s="195">
        <f>IF(AND(Main!$B$79="Straight Line",D$72&lt;=depr_length),$B75/depr_length,IF(AND(Main!$B$79="MACRS",D$72&lt;=depr_length+1),$B75*INDEX(MACRS_table,MATCH(D$72,recovery_year,0),MATCH(depr_length,recovery_period,0)),""))</f>
        <v>107863.2253321302</v>
      </c>
      <c r="E75" s="195">
        <f>IF(AND(Main!$B$79="Straight Line",E$72&lt;=depr_length),$B75/depr_length,IF(AND(Main!$B$79="MACRS",E$72&lt;=depr_length+1),$B75*INDEX(MACRS_table,MATCH(E$72,recovery_year,0),MATCH(depr_length,recovery_period,0)),""))</f>
        <v>99764.892026961257</v>
      </c>
      <c r="F75" s="195">
        <f>IF(AND(Main!$B$79="Straight Line",F$72&lt;=depr_length),$B75/depr_length,IF(AND(Main!$B$79="MACRS",F$72&lt;=depr_length+1),$B75*INDEX(MACRS_table,MATCH(F$72,recovery_year,0),MATCH(depr_length,recovery_period,0)),""))</f>
        <v>92294.104845071095</v>
      </c>
      <c r="G75" s="195">
        <f>IF(AND(Main!$B$79="Straight Line",G$72&lt;=depr_length),$B75/depr_length,IF(AND(Main!$B$79="MACRS",G$72&lt;=depr_length+1),$B75*INDEX(MACRS_table,MATCH(G$72,recovery_year,0),MATCH(depr_length,recovery_period,0)),""))</f>
        <v>85361.214340277016</v>
      </c>
      <c r="H75" s="195">
        <f>IF(AND(Main!$B$79="Straight Line",H$72&lt;=depr_length),$B75/depr_length,IF(AND(Main!$B$79="MACRS",H$72&lt;=depr_length+1),$B75*INDEX(MACRS_table,MATCH(H$72,recovery_year,0),MATCH(depr_length,recovery_period,0)),""))</f>
        <v>78966.220512579035</v>
      </c>
      <c r="I75" s="195">
        <f>IF(AND(Main!$B$79="Straight Line",I$72&lt;=depr_length),$B75/depr_length,IF(AND(Main!$B$79="MACRS",I$72&lt;=depr_length+1),$B75*INDEX(MACRS_table,MATCH(I$72,recovery_year,0),MATCH(depr_length,recovery_period,0)),""))</f>
        <v>73034.415490158251</v>
      </c>
      <c r="J75" s="195">
        <f>IF(AND(Main!$B$79="Straight Line",J$72&lt;=depr_length),$B75/depr_length,IF(AND(Main!$B$79="MACRS",J$72&lt;=depr_length+1),$B75*INDEX(MACRS_table,MATCH(J$72,recovery_year,0),MATCH(depr_length,recovery_period,0)),""))</f>
        <v>67565.799273014651</v>
      </c>
      <c r="K75" s="195">
        <f>IF(AND(Main!$B$79="Straight Line",K$72&lt;=depr_length),$B75/depr_length,IF(AND(Main!$B$79="MACRS",K$72&lt;=depr_length+1),$B75*INDEX(MACRS_table,MATCH(K$72,recovery_year,0),MATCH(depr_length,recovery_period,0)),""))</f>
        <v>66669.304811187831</v>
      </c>
      <c r="L75" s="195">
        <f>IF(AND(Main!$B$79="Straight Line",L$72&lt;=depr_length),$B75/depr_length,IF(AND(Main!$B$79="MACRS",L$72&lt;=depr_length+1),$B75*INDEX(MACRS_table,MATCH(L$72,recovery_year,0),MATCH(depr_length,recovery_period,0)),""))</f>
        <v>66654.363236824036</v>
      </c>
      <c r="M75" s="195">
        <f>IF(AND(Main!$B$79="Straight Line",M$72&lt;=depr_length),$B75/depr_length,IF(AND(Main!$B$79="MACRS",M$72&lt;=depr_length+1),$B75*INDEX(MACRS_table,MATCH(M$72,recovery_year,0),MATCH(depr_length,recovery_period,0)),""))</f>
        <v>66669.304811187831</v>
      </c>
      <c r="N75" s="195">
        <f>IF(AND(Main!$B$79="Straight Line",N$72&lt;=depr_length),$B75/depr_length,IF(AND(Main!$B$79="MACRS",N$72&lt;=depr_length+1),$B75*INDEX(MACRS_table,MATCH(N$72,recovery_year,0),MATCH(depr_length,recovery_period,0)),""))</f>
        <v>66654.363236824036</v>
      </c>
      <c r="O75" s="195">
        <f>IF(AND(Main!$B$79="Straight Line",O$72&lt;=depr_length),$B75/depr_length,IF(AND(Main!$B$79="MACRS",O$72&lt;=depr_length+1),$B75*INDEX(MACRS_table,MATCH(O$72,recovery_year,0),MATCH(depr_length,recovery_period,0)),""))</f>
        <v>66669.304811187831</v>
      </c>
      <c r="P75" s="195">
        <f>IF(AND(Main!$B$79="Straight Line",P$72&lt;=depr_length),$B75/depr_length,IF(AND(Main!$B$79="MACRS",P$72&lt;=depr_length+1),$B75*INDEX(MACRS_table,MATCH(P$72,recovery_year,0),MATCH(depr_length,recovery_period,0)),""))</f>
        <v>66654.363236824036</v>
      </c>
      <c r="Q75" s="195">
        <f>IF(AND(Main!$B$79="Straight Line",Q$72&lt;=depr_length),$B75/depr_length,IF(AND(Main!$B$79="MACRS",Q$72&lt;=depr_length+1),$B75*INDEX(MACRS_table,MATCH(Q$72,recovery_year,0),MATCH(depr_length,recovery_period,0)),""))</f>
        <v>66669.304811187831</v>
      </c>
      <c r="R75" s="195">
        <f>IF(AND(Main!$B$79="Straight Line",R$72&lt;=depr_length),$B75/depr_length,IF(AND(Main!$B$79="MACRS",R$72&lt;=depr_length+1),$B75*INDEX(MACRS_table,MATCH(R$72,recovery_year,0),MATCH(depr_length,recovery_period,0)),""))</f>
        <v>66654.363236824036</v>
      </c>
      <c r="S75" s="195">
        <f>IF(AND(Main!$B$79="Straight Line",S$72&lt;=depr_length),$B75/depr_length,IF(AND(Main!$B$79="MACRS",S$72&lt;=depr_length+1),$B75*INDEX(MACRS_table,MATCH(S$72,recovery_year,0),MATCH(depr_length,recovery_period,0)),""))</f>
        <v>66669.304811187831</v>
      </c>
      <c r="T75" s="195">
        <f>IF(AND(Main!$B$79="Straight Line",T$72&lt;=depr_length),$B75/depr_length,IF(AND(Main!$B$79="MACRS",T$72&lt;=depr_length+1),$B75*INDEX(MACRS_table,MATCH(T$72,recovery_year,0),MATCH(depr_length,recovery_period,0)),""))</f>
        <v>66654.363236824036</v>
      </c>
      <c r="U75" s="195">
        <f>IF(AND(Main!$B$79="Straight Line",U$72&lt;=depr_length),$B75/depr_length,IF(AND(Main!$B$79="MACRS",U$72&lt;=depr_length+1),$B75*INDEX(MACRS_table,MATCH(U$72,recovery_year,0),MATCH(depr_length,recovery_period,0)),""))</f>
        <v>66669.304811187831</v>
      </c>
      <c r="V75" s="195">
        <f>IF(AND(Main!$B$79="Straight Line",V$72&lt;=depr_length),$B75/depr_length,IF(AND(Main!$B$79="MACRS",V$72&lt;=depr_length+1),$B75*INDEX(MACRS_table,MATCH(V$72,recovery_year,0),MATCH(depr_length,recovery_period,0)),""))</f>
        <v>66654.363236824036</v>
      </c>
      <c r="W75" s="195">
        <f>IF(AND(Main!$B$79="Straight Line",W$72&lt;=depr_length),$B75/depr_length,IF(AND(Main!$B$79="MACRS",W$72&lt;=depr_length+1),$B75*INDEX(MACRS_table,MATCH(W$72,recovery_year,0),MATCH(depr_length,recovery_period,0)),""))</f>
        <v>33334.652405593915</v>
      </c>
      <c r="X75" s="196" cm="1">
        <f t="array" ref="X75">SUMPRODUCT((ROW($C$73:$W$113)-MIN(ROW(C75:W115))=MIN(COLUMN(C75:W115))-COLUMN($C$73:$W$113))*($C$73:$W$113))</f>
        <v>28105158.558847819</v>
      </c>
    </row>
    <row r="76" spans="1:24" x14ac:dyDescent="0.15">
      <c r="A76" s="115">
        <v>3</v>
      </c>
      <c r="B76" s="194">
        <f t="shared" si="20"/>
        <v>1522546.4276692155</v>
      </c>
      <c r="C76" s="195">
        <f>IF(AND(Main!$B$79="Straight Line",C$72&lt;=depr_length),$B76/depr_length,IF(AND(Main!$B$79="MACRS",C$72&lt;=depr_length+1),$B76*INDEX(MACRS_table,MATCH(C$72,recovery_year,0),MATCH(depr_length,recovery_period,0)),""))</f>
        <v>57095.491037595581</v>
      </c>
      <c r="D76" s="195">
        <f>IF(AND(Main!$B$79="Straight Line",D$72&lt;=depr_length),$B76/depr_length,IF(AND(Main!$B$79="MACRS",D$72&lt;=depr_length+1),$B76*INDEX(MACRS_table,MATCH(D$72,recovery_year,0),MATCH(depr_length,recovery_period,0)),""))</f>
        <v>109912.62661344068</v>
      </c>
      <c r="E76" s="195">
        <f>IF(AND(Main!$B$79="Straight Line",E$72&lt;=depr_length),$B76/depr_length,IF(AND(Main!$B$79="MACRS",E$72&lt;=depr_length+1),$B76*INDEX(MACRS_table,MATCH(E$72,recovery_year,0),MATCH(depr_length,recovery_period,0)),""))</f>
        <v>101660.42497547351</v>
      </c>
      <c r="F76" s="195">
        <f>IF(AND(Main!$B$79="Straight Line",F$72&lt;=depr_length),$B76/depr_length,IF(AND(Main!$B$79="MACRS",F$72&lt;=depr_length+1),$B76*INDEX(MACRS_table,MATCH(F$72,recovery_year,0),MATCH(depr_length,recovery_period,0)),""))</f>
        <v>94047.692837127441</v>
      </c>
      <c r="G76" s="195">
        <f>IF(AND(Main!$B$79="Straight Line",G$72&lt;=depr_length),$B76/depr_length,IF(AND(Main!$B$79="MACRS",G$72&lt;=depr_length+1),$B76*INDEX(MACRS_table,MATCH(G$72,recovery_year,0),MATCH(depr_length,recovery_period,0)),""))</f>
        <v>86983.077412742277</v>
      </c>
      <c r="H76" s="195">
        <f>IF(AND(Main!$B$79="Straight Line",H$72&lt;=depr_length),$B76/depr_length,IF(AND(Main!$B$79="MACRS",H$72&lt;=depr_length+1),$B76*INDEX(MACRS_table,MATCH(H$72,recovery_year,0),MATCH(depr_length,recovery_period,0)),""))</f>
        <v>80466.578702318046</v>
      </c>
      <c r="I76" s="195">
        <f>IF(AND(Main!$B$79="Straight Line",I$72&lt;=depr_length),$B76/depr_length,IF(AND(Main!$B$79="MACRS",I$72&lt;=depr_length+1),$B76*INDEX(MACRS_table,MATCH(I$72,recovery_year,0),MATCH(depr_length,recovery_period,0)),""))</f>
        <v>74422.069384471251</v>
      </c>
      <c r="J76" s="195">
        <f>IF(AND(Main!$B$79="Straight Line",J$72&lt;=depr_length),$B76/depr_length,IF(AND(Main!$B$79="MACRS",J$72&lt;=depr_length+1),$B76*INDEX(MACRS_table,MATCH(J$72,recovery_year,0),MATCH(depr_length,recovery_period,0)),""))</f>
        <v>68849.549459201924</v>
      </c>
      <c r="K76" s="195">
        <f>IF(AND(Main!$B$79="Straight Line",K$72&lt;=depr_length),$B76/depr_length,IF(AND(Main!$B$79="MACRS",K$72&lt;=depr_length+1),$B76*INDEX(MACRS_table,MATCH(K$72,recovery_year,0),MATCH(depr_length,recovery_period,0)),""))</f>
        <v>67936.021602600391</v>
      </c>
      <c r="L76" s="195">
        <f>IF(AND(Main!$B$79="Straight Line",L$72&lt;=depr_length),$B76/depr_length,IF(AND(Main!$B$79="MACRS",L$72&lt;=depr_length+1),$B76*INDEX(MACRS_table,MATCH(L$72,recovery_year,0),MATCH(depr_length,recovery_period,0)),""))</f>
        <v>67920.796138323698</v>
      </c>
      <c r="M76" s="195">
        <f>IF(AND(Main!$B$79="Straight Line",M$72&lt;=depr_length),$B76/depr_length,IF(AND(Main!$B$79="MACRS",M$72&lt;=depr_length+1),$B76*INDEX(MACRS_table,MATCH(M$72,recovery_year,0),MATCH(depr_length,recovery_period,0)),""))</f>
        <v>67936.021602600391</v>
      </c>
      <c r="N76" s="195">
        <f>IF(AND(Main!$B$79="Straight Line",N$72&lt;=depr_length),$B76/depr_length,IF(AND(Main!$B$79="MACRS",N$72&lt;=depr_length+1),$B76*INDEX(MACRS_table,MATCH(N$72,recovery_year,0),MATCH(depr_length,recovery_period,0)),""))</f>
        <v>67920.796138323698</v>
      </c>
      <c r="O76" s="195">
        <f>IF(AND(Main!$B$79="Straight Line",O$72&lt;=depr_length),$B76/depr_length,IF(AND(Main!$B$79="MACRS",O$72&lt;=depr_length+1),$B76*INDEX(MACRS_table,MATCH(O$72,recovery_year,0),MATCH(depr_length,recovery_period,0)),""))</f>
        <v>67936.021602600391</v>
      </c>
      <c r="P76" s="195">
        <f>IF(AND(Main!$B$79="Straight Line",P$72&lt;=depr_length),$B76/depr_length,IF(AND(Main!$B$79="MACRS",P$72&lt;=depr_length+1),$B76*INDEX(MACRS_table,MATCH(P$72,recovery_year,0),MATCH(depr_length,recovery_period,0)),""))</f>
        <v>67920.796138323698</v>
      </c>
      <c r="Q76" s="195">
        <f>IF(AND(Main!$B$79="Straight Line",Q$72&lt;=depr_length),$B76/depr_length,IF(AND(Main!$B$79="MACRS",Q$72&lt;=depr_length+1),$B76*INDEX(MACRS_table,MATCH(Q$72,recovery_year,0),MATCH(depr_length,recovery_period,0)),""))</f>
        <v>67936.021602600391</v>
      </c>
      <c r="R76" s="195">
        <f>IF(AND(Main!$B$79="Straight Line",R$72&lt;=depr_length),$B76/depr_length,IF(AND(Main!$B$79="MACRS",R$72&lt;=depr_length+1),$B76*INDEX(MACRS_table,MATCH(R$72,recovery_year,0),MATCH(depr_length,recovery_period,0)),""))</f>
        <v>67920.796138323698</v>
      </c>
      <c r="S76" s="195">
        <f>IF(AND(Main!$B$79="Straight Line",S$72&lt;=depr_length),$B76/depr_length,IF(AND(Main!$B$79="MACRS",S$72&lt;=depr_length+1),$B76*INDEX(MACRS_table,MATCH(S$72,recovery_year,0),MATCH(depr_length,recovery_period,0)),""))</f>
        <v>67936.021602600391</v>
      </c>
      <c r="T76" s="195">
        <f>IF(AND(Main!$B$79="Straight Line",T$72&lt;=depr_length),$B76/depr_length,IF(AND(Main!$B$79="MACRS",T$72&lt;=depr_length+1),$B76*INDEX(MACRS_table,MATCH(T$72,recovery_year,0),MATCH(depr_length,recovery_period,0)),""))</f>
        <v>67920.796138323698</v>
      </c>
      <c r="U76" s="195">
        <f>IF(AND(Main!$B$79="Straight Line",U$72&lt;=depr_length),$B76/depr_length,IF(AND(Main!$B$79="MACRS",U$72&lt;=depr_length+1),$B76*INDEX(MACRS_table,MATCH(U$72,recovery_year,0),MATCH(depr_length,recovery_period,0)),""))</f>
        <v>67936.021602600391</v>
      </c>
      <c r="V76" s="195">
        <f>IF(AND(Main!$B$79="Straight Line",V$72&lt;=depr_length),$B76/depr_length,IF(AND(Main!$B$79="MACRS",V$72&lt;=depr_length+1),$B76*INDEX(MACRS_table,MATCH(V$72,recovery_year,0),MATCH(depr_length,recovery_period,0)),""))</f>
        <v>67920.796138323698</v>
      </c>
      <c r="W76" s="195">
        <f>IF(AND(Main!$B$79="Straight Line",W$72&lt;=depr_length),$B76/depr_length,IF(AND(Main!$B$79="MACRS",W$72&lt;=depr_length+1),$B76*INDEX(MACRS_table,MATCH(W$72,recovery_year,0),MATCH(depr_length,recovery_period,0)),""))</f>
        <v>33968.010801300195</v>
      </c>
      <c r="X76" s="196" cm="1">
        <f t="array" ref="X76">SUMPRODUCT((ROW($C$73:$W$113)-MIN(ROW(C76:W116))=MIN(COLUMN(C76:W116))-COLUMN($C$73:$W$113))*($C$73:$W$113))</f>
        <v>26108167.658373572</v>
      </c>
    </row>
    <row r="77" spans="1:24" x14ac:dyDescent="0.15">
      <c r="A77" s="115">
        <v>4</v>
      </c>
      <c r="B77" s="194">
        <f t="shared" si="20"/>
        <v>1551474.8097949307</v>
      </c>
      <c r="C77" s="195">
        <f>IF(AND(Main!$B$79="Straight Line",C$72&lt;=depr_length),$B77/depr_length,IF(AND(Main!$B$79="MACRS",C$72&lt;=depr_length+1),$B77*INDEX(MACRS_table,MATCH(C$72,recovery_year,0),MATCH(depr_length,recovery_period,0)),""))</f>
        <v>58180.305367309898</v>
      </c>
      <c r="D77" s="195">
        <f>IF(AND(Main!$B$79="Straight Line",D$72&lt;=depr_length),$B77/depr_length,IF(AND(Main!$B$79="MACRS",D$72&lt;=depr_length+1),$B77*INDEX(MACRS_table,MATCH(D$72,recovery_year,0),MATCH(depr_length,recovery_period,0)),""))</f>
        <v>112000.96651909605</v>
      </c>
      <c r="E77" s="195">
        <f>IF(AND(Main!$B$79="Straight Line",E$72&lt;=depr_length),$B77/depr_length,IF(AND(Main!$B$79="MACRS",E$72&lt;=depr_length+1),$B77*INDEX(MACRS_table,MATCH(E$72,recovery_year,0),MATCH(depr_length,recovery_period,0)),""))</f>
        <v>103591.97305000752</v>
      </c>
      <c r="F77" s="195">
        <f>IF(AND(Main!$B$79="Straight Line",F$72&lt;=depr_length),$B77/depr_length,IF(AND(Main!$B$79="MACRS",F$72&lt;=depr_length+1),$B77*INDEX(MACRS_table,MATCH(F$72,recovery_year,0),MATCH(depr_length,recovery_period,0)),""))</f>
        <v>95834.599001032868</v>
      </c>
      <c r="G77" s="195">
        <f>IF(AND(Main!$B$79="Straight Line",G$72&lt;=depr_length),$B77/depr_length,IF(AND(Main!$B$79="MACRS",G$72&lt;=depr_length+1),$B77*INDEX(MACRS_table,MATCH(G$72,recovery_year,0),MATCH(depr_length,recovery_period,0)),""))</f>
        <v>88635.755883584396</v>
      </c>
      <c r="H77" s="195">
        <f>IF(AND(Main!$B$79="Straight Line",H$72&lt;=depr_length),$B77/depr_length,IF(AND(Main!$B$79="MACRS",H$72&lt;=depr_length+1),$B77*INDEX(MACRS_table,MATCH(H$72,recovery_year,0),MATCH(depr_length,recovery_period,0)),""))</f>
        <v>81995.443697662093</v>
      </c>
      <c r="I77" s="195">
        <f>IF(AND(Main!$B$79="Straight Line",I$72&lt;=depr_length),$B77/depr_length,IF(AND(Main!$B$79="MACRS",I$72&lt;=depr_length+1),$B77*INDEX(MACRS_table,MATCH(I$72,recovery_year,0),MATCH(depr_length,recovery_period,0)),""))</f>
        <v>75836.088702776207</v>
      </c>
      <c r="J77" s="195">
        <f>IF(AND(Main!$B$79="Straight Line",J$72&lt;=depr_length),$B77/depr_length,IF(AND(Main!$B$79="MACRS",J$72&lt;=depr_length+1),$B77*INDEX(MACRS_table,MATCH(J$72,recovery_year,0),MATCH(depr_length,recovery_period,0)),""))</f>
        <v>70157.690898926769</v>
      </c>
      <c r="K77" s="195">
        <f>IF(AND(Main!$B$79="Straight Line",K$72&lt;=depr_length),$B77/depr_length,IF(AND(Main!$B$79="MACRS",K$72&lt;=depr_length+1),$B77*INDEX(MACRS_table,MATCH(K$72,recovery_year,0),MATCH(depr_length,recovery_period,0)),""))</f>
        <v>69226.806013049805</v>
      </c>
      <c r="L77" s="195">
        <f>IF(AND(Main!$B$79="Straight Line",L$72&lt;=depr_length),$B77/depr_length,IF(AND(Main!$B$79="MACRS",L$72&lt;=depr_length+1),$B77*INDEX(MACRS_table,MATCH(L$72,recovery_year,0),MATCH(depr_length,recovery_period,0)),""))</f>
        <v>69211.291264951855</v>
      </c>
      <c r="M77" s="195">
        <f>IF(AND(Main!$B$79="Straight Line",M$72&lt;=depr_length),$B77/depr_length,IF(AND(Main!$B$79="MACRS",M$72&lt;=depr_length+1),$B77*INDEX(MACRS_table,MATCH(M$72,recovery_year,0),MATCH(depr_length,recovery_period,0)),""))</f>
        <v>69226.806013049805</v>
      </c>
      <c r="N77" s="195">
        <f>IF(AND(Main!$B$79="Straight Line",N$72&lt;=depr_length),$B77/depr_length,IF(AND(Main!$B$79="MACRS",N$72&lt;=depr_length+1),$B77*INDEX(MACRS_table,MATCH(N$72,recovery_year,0),MATCH(depr_length,recovery_period,0)),""))</f>
        <v>69211.291264951855</v>
      </c>
      <c r="O77" s="195">
        <f>IF(AND(Main!$B$79="Straight Line",O$72&lt;=depr_length),$B77/depr_length,IF(AND(Main!$B$79="MACRS",O$72&lt;=depr_length+1),$B77*INDEX(MACRS_table,MATCH(O$72,recovery_year,0),MATCH(depr_length,recovery_period,0)),""))</f>
        <v>69226.806013049805</v>
      </c>
      <c r="P77" s="195">
        <f>IF(AND(Main!$B$79="Straight Line",P$72&lt;=depr_length),$B77/depr_length,IF(AND(Main!$B$79="MACRS",P$72&lt;=depr_length+1),$B77*INDEX(MACRS_table,MATCH(P$72,recovery_year,0),MATCH(depr_length,recovery_period,0)),""))</f>
        <v>69211.291264951855</v>
      </c>
      <c r="Q77" s="195">
        <f>IF(AND(Main!$B$79="Straight Line",Q$72&lt;=depr_length),$B77/depr_length,IF(AND(Main!$B$79="MACRS",Q$72&lt;=depr_length+1),$B77*INDEX(MACRS_table,MATCH(Q$72,recovery_year,0),MATCH(depr_length,recovery_period,0)),""))</f>
        <v>69226.806013049805</v>
      </c>
      <c r="R77" s="195">
        <f>IF(AND(Main!$B$79="Straight Line",R$72&lt;=depr_length),$B77/depr_length,IF(AND(Main!$B$79="MACRS",R$72&lt;=depr_length+1),$B77*INDEX(MACRS_table,MATCH(R$72,recovery_year,0),MATCH(depr_length,recovery_period,0)),""))</f>
        <v>69211.291264951855</v>
      </c>
      <c r="S77" s="195">
        <f>IF(AND(Main!$B$79="Straight Line",S$72&lt;=depr_length),$B77/depr_length,IF(AND(Main!$B$79="MACRS",S$72&lt;=depr_length+1),$B77*INDEX(MACRS_table,MATCH(S$72,recovery_year,0),MATCH(depr_length,recovery_period,0)),""))</f>
        <v>69226.806013049805</v>
      </c>
      <c r="T77" s="195">
        <f>IF(AND(Main!$B$79="Straight Line",T$72&lt;=depr_length),$B77/depr_length,IF(AND(Main!$B$79="MACRS",T$72&lt;=depr_length+1),$B77*INDEX(MACRS_table,MATCH(T$72,recovery_year,0),MATCH(depr_length,recovery_period,0)),""))</f>
        <v>69211.291264951855</v>
      </c>
      <c r="U77" s="195">
        <f>IF(AND(Main!$B$79="Straight Line",U$72&lt;=depr_length),$B77/depr_length,IF(AND(Main!$B$79="MACRS",U$72&lt;=depr_length+1),$B77*INDEX(MACRS_table,MATCH(U$72,recovery_year,0),MATCH(depr_length,recovery_period,0)),""))</f>
        <v>69226.806013049805</v>
      </c>
      <c r="V77" s="195">
        <f>IF(AND(Main!$B$79="Straight Line",V$72&lt;=depr_length),$B77/depr_length,IF(AND(Main!$B$79="MACRS",V$72&lt;=depr_length+1),$B77*INDEX(MACRS_table,MATCH(V$72,recovery_year,0),MATCH(depr_length,recovery_period,0)),""))</f>
        <v>69211.291264951855</v>
      </c>
      <c r="W77" s="195">
        <f>IF(AND(Main!$B$79="Straight Line",W$72&lt;=depr_length),$B77/depr_length,IF(AND(Main!$B$79="MACRS",W$72&lt;=depr_length+1),$B77*INDEX(MACRS_table,MATCH(W$72,recovery_year,0),MATCH(depr_length,recovery_period,0)),""))</f>
        <v>34613.403006524903</v>
      </c>
      <c r="X77" s="196" cm="1">
        <f t="array" ref="X77">SUMPRODUCT((ROW($C$73:$W$113)-MIN(ROW(C77:W117))=MIN(COLUMN(C77:W117))-COLUMN($C$73:$W$113))*($C$73:$W$113))</f>
        <v>24268337.325993299</v>
      </c>
    </row>
    <row r="78" spans="1:24" x14ac:dyDescent="0.15">
      <c r="A78" s="115">
        <v>5</v>
      </c>
      <c r="B78" s="194">
        <f t="shared" si="20"/>
        <v>1580952.8311810342</v>
      </c>
      <c r="C78" s="195">
        <f>IF(AND(Main!$B$79="Straight Line",C$72&lt;=depr_length),$B78/depr_length,IF(AND(Main!$B$79="MACRS",C$72&lt;=depr_length+1),$B78*INDEX(MACRS_table,MATCH(C$72,recovery_year,0),MATCH(depr_length,recovery_period,0)),""))</f>
        <v>59285.731169288782</v>
      </c>
      <c r="D78" s="195">
        <f>IF(AND(Main!$B$79="Straight Line",D$72&lt;=depr_length),$B78/depr_length,IF(AND(Main!$B$79="MACRS",D$72&lt;=depr_length+1),$B78*INDEX(MACRS_table,MATCH(D$72,recovery_year,0),MATCH(depr_length,recovery_period,0)),""))</f>
        <v>114128.98488295887</v>
      </c>
      <c r="E78" s="195">
        <f>IF(AND(Main!$B$79="Straight Line",E$72&lt;=depr_length),$B78/depr_length,IF(AND(Main!$B$79="MACRS",E$72&lt;=depr_length+1),$B78*INDEX(MACRS_table,MATCH(E$72,recovery_year,0),MATCH(depr_length,recovery_period,0)),""))</f>
        <v>105560.22053795765</v>
      </c>
      <c r="F78" s="195">
        <f>IF(AND(Main!$B$79="Straight Line",F$72&lt;=depr_length),$B78/depr_length,IF(AND(Main!$B$79="MACRS",F$72&lt;=depr_length+1),$B78*INDEX(MACRS_table,MATCH(F$72,recovery_year,0),MATCH(depr_length,recovery_period,0)),""))</f>
        <v>97655.456382052478</v>
      </c>
      <c r="G78" s="195">
        <f>IF(AND(Main!$B$79="Straight Line",G$72&lt;=depr_length),$B78/depr_length,IF(AND(Main!$B$79="MACRS",G$72&lt;=depr_length+1),$B78*INDEX(MACRS_table,MATCH(G$72,recovery_year,0),MATCH(depr_length,recovery_period,0)),""))</f>
        <v>90319.83524537248</v>
      </c>
      <c r="H78" s="195">
        <f>IF(AND(Main!$B$79="Straight Line",H$72&lt;=depr_length),$B78/depr_length,IF(AND(Main!$B$79="MACRS",H$72&lt;=depr_length+1),$B78*INDEX(MACRS_table,MATCH(H$72,recovery_year,0),MATCH(depr_length,recovery_period,0)),""))</f>
        <v>83553.357127917654</v>
      </c>
      <c r="I78" s="195">
        <f>IF(AND(Main!$B$79="Straight Line",I$72&lt;=depr_length),$B78/depr_length,IF(AND(Main!$B$79="MACRS",I$72&lt;=depr_length+1),$B78*INDEX(MACRS_table,MATCH(I$72,recovery_year,0),MATCH(depr_length,recovery_period,0)),""))</f>
        <v>77276.974388128947</v>
      </c>
      <c r="J78" s="195">
        <f>IF(AND(Main!$B$79="Straight Line",J$72&lt;=depr_length),$B78/depr_length,IF(AND(Main!$B$79="MACRS",J$72&lt;=depr_length+1),$B78*INDEX(MACRS_table,MATCH(J$72,recovery_year,0),MATCH(depr_length,recovery_period,0)),""))</f>
        <v>71490.687026006373</v>
      </c>
      <c r="K78" s="195">
        <f>IF(AND(Main!$B$79="Straight Line",K$72&lt;=depr_length),$B78/depr_length,IF(AND(Main!$B$79="MACRS",K$72&lt;=depr_length+1),$B78*INDEX(MACRS_table,MATCH(K$72,recovery_year,0),MATCH(depr_length,recovery_period,0)),""))</f>
        <v>70542.115327297754</v>
      </c>
      <c r="L78" s="195">
        <f>IF(AND(Main!$B$79="Straight Line",L$72&lt;=depr_length),$B78/depr_length,IF(AND(Main!$B$79="MACRS",L$72&lt;=depr_length+1),$B78*INDEX(MACRS_table,MATCH(L$72,recovery_year,0),MATCH(depr_length,recovery_period,0)),""))</f>
        <v>70526.305798985937</v>
      </c>
      <c r="M78" s="195">
        <f>IF(AND(Main!$B$79="Straight Line",M$72&lt;=depr_length),$B78/depr_length,IF(AND(Main!$B$79="MACRS",M$72&lt;=depr_length+1),$B78*INDEX(MACRS_table,MATCH(M$72,recovery_year,0),MATCH(depr_length,recovery_period,0)),""))</f>
        <v>70542.115327297754</v>
      </c>
      <c r="N78" s="195">
        <f>IF(AND(Main!$B$79="Straight Line",N$72&lt;=depr_length),$B78/depr_length,IF(AND(Main!$B$79="MACRS",N$72&lt;=depr_length+1),$B78*INDEX(MACRS_table,MATCH(N$72,recovery_year,0),MATCH(depr_length,recovery_period,0)),""))</f>
        <v>70526.305798985937</v>
      </c>
      <c r="O78" s="195">
        <f>IF(AND(Main!$B$79="Straight Line",O$72&lt;=depr_length),$B78/depr_length,IF(AND(Main!$B$79="MACRS",O$72&lt;=depr_length+1),$B78*INDEX(MACRS_table,MATCH(O$72,recovery_year,0),MATCH(depr_length,recovery_period,0)),""))</f>
        <v>70542.115327297754</v>
      </c>
      <c r="P78" s="195">
        <f>IF(AND(Main!$B$79="Straight Line",P$72&lt;=depr_length),$B78/depr_length,IF(AND(Main!$B$79="MACRS",P$72&lt;=depr_length+1),$B78*INDEX(MACRS_table,MATCH(P$72,recovery_year,0),MATCH(depr_length,recovery_period,0)),""))</f>
        <v>70526.305798985937</v>
      </c>
      <c r="Q78" s="195">
        <f>IF(AND(Main!$B$79="Straight Line",Q$72&lt;=depr_length),$B78/depr_length,IF(AND(Main!$B$79="MACRS",Q$72&lt;=depr_length+1),$B78*INDEX(MACRS_table,MATCH(Q$72,recovery_year,0),MATCH(depr_length,recovery_period,0)),""))</f>
        <v>70542.115327297754</v>
      </c>
      <c r="R78" s="195">
        <f>IF(AND(Main!$B$79="Straight Line",R$72&lt;=depr_length),$B78/depr_length,IF(AND(Main!$B$79="MACRS",R$72&lt;=depr_length+1),$B78*INDEX(MACRS_table,MATCH(R$72,recovery_year,0),MATCH(depr_length,recovery_period,0)),""))</f>
        <v>70526.305798985937</v>
      </c>
      <c r="S78" s="195">
        <f>IF(AND(Main!$B$79="Straight Line",S$72&lt;=depr_length),$B78/depr_length,IF(AND(Main!$B$79="MACRS",S$72&lt;=depr_length+1),$B78*INDEX(MACRS_table,MATCH(S$72,recovery_year,0),MATCH(depr_length,recovery_period,0)),""))</f>
        <v>70542.115327297754</v>
      </c>
      <c r="T78" s="195">
        <f>IF(AND(Main!$B$79="Straight Line",T$72&lt;=depr_length),$B78/depr_length,IF(AND(Main!$B$79="MACRS",T$72&lt;=depr_length+1),$B78*INDEX(MACRS_table,MATCH(T$72,recovery_year,0),MATCH(depr_length,recovery_period,0)),""))</f>
        <v>70526.305798985937</v>
      </c>
      <c r="U78" s="195">
        <f>IF(AND(Main!$B$79="Straight Line",U$72&lt;=depr_length),$B78/depr_length,IF(AND(Main!$B$79="MACRS",U$72&lt;=depr_length+1),$B78*INDEX(MACRS_table,MATCH(U$72,recovery_year,0),MATCH(depr_length,recovery_period,0)),""))</f>
        <v>70542.115327297754</v>
      </c>
      <c r="V78" s="195">
        <f>IF(AND(Main!$B$79="Straight Line",V$72&lt;=depr_length),$B78/depr_length,IF(AND(Main!$B$79="MACRS",V$72&lt;=depr_length+1),$B78*INDEX(MACRS_table,MATCH(V$72,recovery_year,0),MATCH(depr_length,recovery_period,0)),""))</f>
        <v>70526.305798985937</v>
      </c>
      <c r="W78" s="195">
        <f>IF(AND(Main!$B$79="Straight Line",W$72&lt;=depr_length),$B78/depr_length,IF(AND(Main!$B$79="MACRS",W$72&lt;=depr_length+1),$B78*INDEX(MACRS_table,MATCH(W$72,recovery_year,0),MATCH(depr_length,recovery_period,0)),""))</f>
        <v>35271.057663648877</v>
      </c>
      <c r="X78" s="196" cm="1">
        <f t="array" ref="X78">SUMPRODUCT((ROW($C$73:$W$113)-MIN(ROW(C78:W118))=MIN(COLUMN(C78:W118))-COLUMN($C$73:$W$113))*($C$73:$W$113))</f>
        <v>22562867.809157565</v>
      </c>
    </row>
    <row r="79" spans="1:24" x14ac:dyDescent="0.15">
      <c r="A79" s="115">
        <v>6</v>
      </c>
      <c r="B79" s="194">
        <f t="shared" si="20"/>
        <v>78261604.918378294</v>
      </c>
      <c r="C79" s="195">
        <f>IF(AND(Main!$B$79="Straight Line",C$72&lt;=depr_length),$B79/depr_length,IF(AND(Main!$B$79="MACRS",C$72&lt;=depr_length+1),$B79*INDEX(MACRS_table,MATCH(C$72,recovery_year,0),MATCH(depr_length,recovery_period,0)),""))</f>
        <v>2934810.184439186</v>
      </c>
      <c r="D79" s="195">
        <f>IF(AND(Main!$B$79="Straight Line",D$72&lt;=depr_length),$B79/depr_length,IF(AND(Main!$B$79="MACRS",D$72&lt;=depr_length+1),$B79*INDEX(MACRS_table,MATCH(D$72,recovery_year,0),MATCH(depr_length,recovery_period,0)),""))</f>
        <v>5649705.2590577295</v>
      </c>
      <c r="E79" s="195">
        <f>IF(AND(Main!$B$79="Straight Line",E$72&lt;=depr_length),$B79/depr_length,IF(AND(Main!$B$79="MACRS",E$72&lt;=depr_length+1),$B79*INDEX(MACRS_table,MATCH(E$72,recovery_year,0),MATCH(depr_length,recovery_period,0)),""))</f>
        <v>5225527.3604001179</v>
      </c>
      <c r="F79" s="195">
        <f>IF(AND(Main!$B$79="Straight Line",F$72&lt;=depr_length),$B79/depr_length,IF(AND(Main!$B$79="MACRS",F$72&lt;=depr_length+1),$B79*INDEX(MACRS_table,MATCH(F$72,recovery_year,0),MATCH(depr_length,recovery_period,0)),""))</f>
        <v>4834219.3358082268</v>
      </c>
      <c r="G79" s="195">
        <f>IF(AND(Main!$B$79="Straight Line",G$72&lt;=depr_length),$B79/depr_length,IF(AND(Main!$B$79="MACRS",G$72&lt;=depr_length+1),$B79*INDEX(MACRS_table,MATCH(G$72,recovery_year,0),MATCH(depr_length,recovery_period,0)),""))</f>
        <v>4471085.4889869522</v>
      </c>
      <c r="H79" s="195">
        <f>IF(AND(Main!$B$79="Straight Line",H$72&lt;=depr_length),$B79/depr_length,IF(AND(Main!$B$79="MACRS",H$72&lt;=depr_length+1),$B79*INDEX(MACRS_table,MATCH(H$72,recovery_year,0),MATCH(depr_length,recovery_period,0)),""))</f>
        <v>4136125.8199362927</v>
      </c>
      <c r="I79" s="195">
        <f>IF(AND(Main!$B$79="Straight Line",I$72&lt;=depr_length),$B79/depr_length,IF(AND(Main!$B$79="MACRS",I$72&lt;=depr_length+1),$B79*INDEX(MACRS_table,MATCH(I$72,recovery_year,0),MATCH(depr_length,recovery_period,0)),""))</f>
        <v>3825427.2484103311</v>
      </c>
      <c r="J79" s="195">
        <f>IF(AND(Main!$B$79="Straight Line",J$72&lt;=depr_length),$B79/depr_length,IF(AND(Main!$B$79="MACRS",J$72&lt;=depr_length+1),$B79*INDEX(MACRS_table,MATCH(J$72,recovery_year,0),MATCH(depr_length,recovery_period,0)),""))</f>
        <v>3538989.7744090669</v>
      </c>
      <c r="K79" s="195">
        <f>IF(AND(Main!$B$79="Straight Line",K$72&lt;=depr_length),$B79/depr_length,IF(AND(Main!$B$79="MACRS",K$72&lt;=depr_length+1),$B79*INDEX(MACRS_table,MATCH(K$72,recovery_year,0),MATCH(depr_length,recovery_period,0)),""))</f>
        <v>3492032.8114580396</v>
      </c>
      <c r="L79" s="195">
        <f>IF(AND(Main!$B$79="Straight Line",L$72&lt;=depr_length),$B79/depr_length,IF(AND(Main!$B$79="MACRS",L$72&lt;=depr_length+1),$B79*INDEX(MACRS_table,MATCH(L$72,recovery_year,0),MATCH(depr_length,recovery_period,0)),""))</f>
        <v>3491250.1954088556</v>
      </c>
      <c r="M79" s="195">
        <f>IF(AND(Main!$B$79="Straight Line",M$72&lt;=depr_length),$B79/depr_length,IF(AND(Main!$B$79="MACRS",M$72&lt;=depr_length+1),$B79*INDEX(MACRS_table,MATCH(M$72,recovery_year,0),MATCH(depr_length,recovery_period,0)),""))</f>
        <v>3492032.8114580396</v>
      </c>
      <c r="N79" s="195">
        <f>IF(AND(Main!$B$79="Straight Line",N$72&lt;=depr_length),$B79/depr_length,IF(AND(Main!$B$79="MACRS",N$72&lt;=depr_length+1),$B79*INDEX(MACRS_table,MATCH(N$72,recovery_year,0),MATCH(depr_length,recovery_period,0)),""))</f>
        <v>3491250.1954088556</v>
      </c>
      <c r="O79" s="195">
        <f>IF(AND(Main!$B$79="Straight Line",O$72&lt;=depr_length),$B79/depr_length,IF(AND(Main!$B$79="MACRS",O$72&lt;=depr_length+1),$B79*INDEX(MACRS_table,MATCH(O$72,recovery_year,0),MATCH(depr_length,recovery_period,0)),""))</f>
        <v>3492032.8114580396</v>
      </c>
      <c r="P79" s="195">
        <f>IF(AND(Main!$B$79="Straight Line",P$72&lt;=depr_length),$B79/depr_length,IF(AND(Main!$B$79="MACRS",P$72&lt;=depr_length+1),$B79*INDEX(MACRS_table,MATCH(P$72,recovery_year,0),MATCH(depr_length,recovery_period,0)),""))</f>
        <v>3491250.1954088556</v>
      </c>
      <c r="Q79" s="195">
        <f>IF(AND(Main!$B$79="Straight Line",Q$72&lt;=depr_length),$B79/depr_length,IF(AND(Main!$B$79="MACRS",Q$72&lt;=depr_length+1),$B79*INDEX(MACRS_table,MATCH(Q$72,recovery_year,0),MATCH(depr_length,recovery_period,0)),""))</f>
        <v>3492032.8114580396</v>
      </c>
      <c r="R79" s="195">
        <f>IF(AND(Main!$B$79="Straight Line",R$72&lt;=depr_length),$B79/depr_length,IF(AND(Main!$B$79="MACRS",R$72&lt;=depr_length+1),$B79*INDEX(MACRS_table,MATCH(R$72,recovery_year,0),MATCH(depr_length,recovery_period,0)),""))</f>
        <v>3491250.1954088556</v>
      </c>
      <c r="S79" s="195">
        <f>IF(AND(Main!$B$79="Straight Line",S$72&lt;=depr_length),$B79/depr_length,IF(AND(Main!$B$79="MACRS",S$72&lt;=depr_length+1),$B79*INDEX(MACRS_table,MATCH(S$72,recovery_year,0),MATCH(depr_length,recovery_period,0)),""))</f>
        <v>3492032.8114580396</v>
      </c>
      <c r="T79" s="195">
        <f>IF(AND(Main!$B$79="Straight Line",T$72&lt;=depr_length),$B79/depr_length,IF(AND(Main!$B$79="MACRS",T$72&lt;=depr_length+1),$B79*INDEX(MACRS_table,MATCH(T$72,recovery_year,0),MATCH(depr_length,recovery_period,0)),""))</f>
        <v>3491250.1954088556</v>
      </c>
      <c r="U79" s="195">
        <f>IF(AND(Main!$B$79="Straight Line",U$72&lt;=depr_length),$B79/depr_length,IF(AND(Main!$B$79="MACRS",U$72&lt;=depr_length+1),$B79*INDEX(MACRS_table,MATCH(U$72,recovery_year,0),MATCH(depr_length,recovery_period,0)),""))</f>
        <v>3492032.8114580396</v>
      </c>
      <c r="V79" s="195">
        <f>IF(AND(Main!$B$79="Straight Line",V$72&lt;=depr_length),$B79/depr_length,IF(AND(Main!$B$79="MACRS",V$72&lt;=depr_length+1),$B79*INDEX(MACRS_table,MATCH(V$72,recovery_year,0),MATCH(depr_length,recovery_period,0)),""))</f>
        <v>3491250.1954088556</v>
      </c>
      <c r="W79" s="195">
        <f>IF(AND(Main!$B$79="Straight Line",W$72&lt;=depr_length),$B79/depr_length,IF(AND(Main!$B$79="MACRS",W$72&lt;=depr_length+1),$B79*INDEX(MACRS_table,MATCH(W$72,recovery_year,0),MATCH(depr_length,recovery_period,0)),""))</f>
        <v>1746016.4057290198</v>
      </c>
      <c r="X79" s="196" cm="1">
        <f t="array" ref="X79">SUMPRODUCT((ROW($C$73:$W$113)-MIN(ROW(C79:W119))=MIN(COLUMN(C79:W119))-COLUMN($C$73:$W$113))*($C$73:$W$113))</f>
        <v>23866590.230542563</v>
      </c>
    </row>
    <row r="80" spans="1:24" x14ac:dyDescent="0.15">
      <c r="A80" s="115">
        <v>7</v>
      </c>
      <c r="B80" s="194">
        <f t="shared" si="20"/>
        <v>1641599.7627379699</v>
      </c>
      <c r="C80" s="195">
        <f>IF(AND(Main!$B$79="Straight Line",C$72&lt;=depr_length),$B80/depr_length,IF(AND(Main!$B$79="MACRS",C$72&lt;=depr_length+1),$B80*INDEX(MACRS_table,MATCH(C$72,recovery_year,0),MATCH(depr_length,recovery_period,0)),""))</f>
        <v>61559.99110267387</v>
      </c>
      <c r="D80" s="195">
        <f>IF(AND(Main!$B$79="Straight Line",D$72&lt;=depr_length),$B80/depr_length,IF(AND(Main!$B$79="MACRS",D$72&lt;=depr_length+1),$B80*INDEX(MACRS_table,MATCH(D$72,recovery_year,0),MATCH(depr_length,recovery_period,0)),""))</f>
        <v>118507.08687205405</v>
      </c>
      <c r="E80" s="195">
        <f>IF(AND(Main!$B$79="Straight Line",E$72&lt;=depr_length),$B80/depr_length,IF(AND(Main!$B$79="MACRS",E$72&lt;=depr_length+1),$B80*INDEX(MACRS_table,MATCH(E$72,recovery_year,0),MATCH(depr_length,recovery_period,0)),""))</f>
        <v>109609.61615801424</v>
      </c>
      <c r="F80" s="195">
        <f>IF(AND(Main!$B$79="Straight Line",F$72&lt;=depr_length),$B80/depr_length,IF(AND(Main!$B$79="MACRS",F$72&lt;=depr_length+1),$B80*INDEX(MACRS_table,MATCH(F$72,recovery_year,0),MATCH(depr_length,recovery_period,0)),""))</f>
        <v>101401.61734432439</v>
      </c>
      <c r="G80" s="195">
        <f>IF(AND(Main!$B$79="Straight Line",G$72&lt;=depr_length),$B80/depr_length,IF(AND(Main!$B$79="MACRS",G$72&lt;=depr_length+1),$B80*INDEX(MACRS_table,MATCH(G$72,recovery_year,0),MATCH(depr_length,recovery_period,0)),""))</f>
        <v>93784.594445220224</v>
      </c>
      <c r="H80" s="195">
        <f>IF(AND(Main!$B$79="Straight Line",H$72&lt;=depr_length),$B80/depr_length,IF(AND(Main!$B$79="MACRS",H$72&lt;=depr_length+1),$B80*INDEX(MACRS_table,MATCH(H$72,recovery_year,0),MATCH(depr_length,recovery_period,0)),""))</f>
        <v>86758.547460701709</v>
      </c>
      <c r="I80" s="195">
        <f>IF(AND(Main!$B$79="Straight Line",I$72&lt;=depr_length),$B80/depr_length,IF(AND(Main!$B$79="MACRS",I$72&lt;=depr_length+1),$B80*INDEX(MACRS_table,MATCH(I$72,recovery_year,0),MATCH(depr_length,recovery_period,0)),""))</f>
        <v>80241.396402631974</v>
      </c>
      <c r="J80" s="195">
        <f>IF(AND(Main!$B$79="Straight Line",J$72&lt;=depr_length),$B80/depr_length,IF(AND(Main!$B$79="MACRS",J$72&lt;=depr_length+1),$B80*INDEX(MACRS_table,MATCH(J$72,recovery_year,0),MATCH(depr_length,recovery_period,0)),""))</f>
        <v>74233.141271011002</v>
      </c>
      <c r="K80" s="195">
        <f>IF(AND(Main!$B$79="Straight Line",K$72&lt;=depr_length),$B80/depr_length,IF(AND(Main!$B$79="MACRS",K$72&lt;=depr_length+1),$B80*INDEX(MACRS_table,MATCH(K$72,recovery_year,0),MATCH(depr_length,recovery_period,0)),""))</f>
        <v>73248.18141336822</v>
      </c>
      <c r="L80" s="195">
        <f>IF(AND(Main!$B$79="Straight Line",L$72&lt;=depr_length),$B80/depr_length,IF(AND(Main!$B$79="MACRS",L$72&lt;=depr_length+1),$B80*INDEX(MACRS_table,MATCH(L$72,recovery_year,0),MATCH(depr_length,recovery_period,0)),""))</f>
        <v>73231.765415740825</v>
      </c>
      <c r="M80" s="195">
        <f>IF(AND(Main!$B$79="Straight Line",M$72&lt;=depr_length),$B80/depr_length,IF(AND(Main!$B$79="MACRS",M$72&lt;=depr_length+1),$B80*INDEX(MACRS_table,MATCH(M$72,recovery_year,0),MATCH(depr_length,recovery_period,0)),""))</f>
        <v>73248.18141336822</v>
      </c>
      <c r="N80" s="195">
        <f>IF(AND(Main!$B$79="Straight Line",N$72&lt;=depr_length),$B80/depr_length,IF(AND(Main!$B$79="MACRS",N$72&lt;=depr_length+1),$B80*INDEX(MACRS_table,MATCH(N$72,recovery_year,0),MATCH(depr_length,recovery_period,0)),""))</f>
        <v>73231.765415740825</v>
      </c>
      <c r="O80" s="195">
        <f>IF(AND(Main!$B$79="Straight Line",O$72&lt;=depr_length),$B80/depr_length,IF(AND(Main!$B$79="MACRS",O$72&lt;=depr_length+1),$B80*INDEX(MACRS_table,MATCH(O$72,recovery_year,0),MATCH(depr_length,recovery_period,0)),""))</f>
        <v>73248.18141336822</v>
      </c>
      <c r="P80" s="195">
        <f>IF(AND(Main!$B$79="Straight Line",P$72&lt;=depr_length),$B80/depr_length,IF(AND(Main!$B$79="MACRS",P$72&lt;=depr_length+1),$B80*INDEX(MACRS_table,MATCH(P$72,recovery_year,0),MATCH(depr_length,recovery_period,0)),""))</f>
        <v>73231.765415740825</v>
      </c>
      <c r="Q80" s="195">
        <f>IF(AND(Main!$B$79="Straight Line",Q$72&lt;=depr_length),$B80/depr_length,IF(AND(Main!$B$79="MACRS",Q$72&lt;=depr_length+1),$B80*INDEX(MACRS_table,MATCH(Q$72,recovery_year,0),MATCH(depr_length,recovery_period,0)),""))</f>
        <v>73248.18141336822</v>
      </c>
      <c r="R80" s="195">
        <f>IF(AND(Main!$B$79="Straight Line",R$72&lt;=depr_length),$B80/depr_length,IF(AND(Main!$B$79="MACRS",R$72&lt;=depr_length+1),$B80*INDEX(MACRS_table,MATCH(R$72,recovery_year,0),MATCH(depr_length,recovery_period,0)),""))</f>
        <v>73231.765415740825</v>
      </c>
      <c r="S80" s="195">
        <f>IF(AND(Main!$B$79="Straight Line",S$72&lt;=depr_length),$B80/depr_length,IF(AND(Main!$B$79="MACRS",S$72&lt;=depr_length+1),$B80*INDEX(MACRS_table,MATCH(S$72,recovery_year,0),MATCH(depr_length,recovery_period,0)),""))</f>
        <v>73248.18141336822</v>
      </c>
      <c r="T80" s="195">
        <f>IF(AND(Main!$B$79="Straight Line",T$72&lt;=depr_length),$B80/depr_length,IF(AND(Main!$B$79="MACRS",T$72&lt;=depr_length+1),$B80*INDEX(MACRS_table,MATCH(T$72,recovery_year,0),MATCH(depr_length,recovery_period,0)),""))</f>
        <v>73231.765415740825</v>
      </c>
      <c r="U80" s="195">
        <f>IF(AND(Main!$B$79="Straight Line",U$72&lt;=depr_length),$B80/depr_length,IF(AND(Main!$B$79="MACRS",U$72&lt;=depr_length+1),$B80*INDEX(MACRS_table,MATCH(U$72,recovery_year,0),MATCH(depr_length,recovery_period,0)),""))</f>
        <v>73248.18141336822</v>
      </c>
      <c r="V80" s="195">
        <f>IF(AND(Main!$B$79="Straight Line",V$72&lt;=depr_length),$B80/depr_length,IF(AND(Main!$B$79="MACRS",V$72&lt;=depr_length+1),$B80*INDEX(MACRS_table,MATCH(V$72,recovery_year,0),MATCH(depr_length,recovery_period,0)),""))</f>
        <v>73231.765415740825</v>
      </c>
      <c r="W80" s="195">
        <f>IF(AND(Main!$B$79="Straight Line",W$72&lt;=depr_length),$B80/depr_length,IF(AND(Main!$B$79="MACRS",W$72&lt;=depr_length+1),$B80*INDEX(MACRS_table,MATCH(W$72,recovery_year,0),MATCH(depr_length,recovery_period,0)),""))</f>
        <v>36624.09070668411</v>
      </c>
      <c r="X80" s="196" cm="1">
        <f t="array" ref="X80">SUMPRODUCT((ROW($C$73:$W$113)-MIN(ROW(C80:W120))=MIN(COLUMN(C80:W120))-COLUMN($C$73:$W$113))*($C$73:$W$113))</f>
        <v>25070732.373243228</v>
      </c>
    </row>
    <row r="81" spans="1:24" x14ac:dyDescent="0.15">
      <c r="A81" s="115">
        <v>8</v>
      </c>
      <c r="B81" s="194">
        <f t="shared" si="20"/>
        <v>1672790.1582299911</v>
      </c>
      <c r="C81" s="195">
        <f>IF(AND(Main!$B$79="Straight Line",C$72&lt;=depr_length),$B81/depr_length,IF(AND(Main!$B$79="MACRS",C$72&lt;=depr_length+1),$B81*INDEX(MACRS_table,MATCH(C$72,recovery_year,0),MATCH(depr_length,recovery_period,0)),""))</f>
        <v>62729.630933624663</v>
      </c>
      <c r="D81" s="195">
        <f>IF(AND(Main!$B$79="Straight Line",D$72&lt;=depr_length),$B81/depr_length,IF(AND(Main!$B$79="MACRS",D$72&lt;=depr_length+1),$B81*INDEX(MACRS_table,MATCH(D$72,recovery_year,0),MATCH(depr_length,recovery_period,0)),""))</f>
        <v>120758.72152262306</v>
      </c>
      <c r="E81" s="195">
        <f>IF(AND(Main!$B$79="Straight Line",E$72&lt;=depr_length),$B81/depr_length,IF(AND(Main!$B$79="MACRS",E$72&lt;=depr_length+1),$B81*INDEX(MACRS_table,MATCH(E$72,recovery_year,0),MATCH(depr_length,recovery_period,0)),""))</f>
        <v>111692.1988650165</v>
      </c>
      <c r="F81" s="195">
        <f>IF(AND(Main!$B$79="Straight Line",F$72&lt;=depr_length),$B81/depr_length,IF(AND(Main!$B$79="MACRS",F$72&lt;=depr_length+1),$B81*INDEX(MACRS_table,MATCH(F$72,recovery_year,0),MATCH(depr_length,recovery_period,0)),""))</f>
        <v>103328.24807386655</v>
      </c>
      <c r="G81" s="195">
        <f>IF(AND(Main!$B$79="Straight Line",G$72&lt;=depr_length),$B81/depr_length,IF(AND(Main!$B$79="MACRS",G$72&lt;=depr_length+1),$B81*INDEX(MACRS_table,MATCH(G$72,recovery_year,0),MATCH(depr_length,recovery_period,0)),""))</f>
        <v>95566.501739679385</v>
      </c>
      <c r="H81" s="195">
        <f>IF(AND(Main!$B$79="Straight Line",H$72&lt;=depr_length),$B81/depr_length,IF(AND(Main!$B$79="MACRS",H$72&lt;=depr_length+1),$B81*INDEX(MACRS_table,MATCH(H$72,recovery_year,0),MATCH(depr_length,recovery_period,0)),""))</f>
        <v>88406.959862455027</v>
      </c>
      <c r="I81" s="195">
        <f>IF(AND(Main!$B$79="Straight Line",I$72&lt;=depr_length),$B81/depr_length,IF(AND(Main!$B$79="MACRS",I$72&lt;=depr_length+1),$B81*INDEX(MACRS_table,MATCH(I$72,recovery_year,0),MATCH(depr_length,recovery_period,0)),""))</f>
        <v>81765.982934281958</v>
      </c>
      <c r="J81" s="195">
        <f>IF(AND(Main!$B$79="Straight Line",J$72&lt;=depr_length),$B81/depr_length,IF(AND(Main!$B$79="MACRS",J$72&lt;=depr_length+1),$B81*INDEX(MACRS_table,MATCH(J$72,recovery_year,0),MATCH(depr_length,recovery_period,0)),""))</f>
        <v>75643.570955160205</v>
      </c>
      <c r="K81" s="195">
        <f>IF(AND(Main!$B$79="Straight Line",K$72&lt;=depr_length),$B81/depr_length,IF(AND(Main!$B$79="MACRS",K$72&lt;=depr_length+1),$B81*INDEX(MACRS_table,MATCH(K$72,recovery_year,0),MATCH(depr_length,recovery_period,0)),""))</f>
        <v>74639.896860222201</v>
      </c>
      <c r="L81" s="195">
        <f>IF(AND(Main!$B$79="Straight Line",L$72&lt;=depr_length),$B81/depr_length,IF(AND(Main!$B$79="MACRS",L$72&lt;=depr_length+1),$B81*INDEX(MACRS_table,MATCH(L$72,recovery_year,0),MATCH(depr_length,recovery_period,0)),""))</f>
        <v>74623.168958639901</v>
      </c>
      <c r="M81" s="195">
        <f>IF(AND(Main!$B$79="Straight Line",M$72&lt;=depr_length),$B81/depr_length,IF(AND(Main!$B$79="MACRS",M$72&lt;=depr_length+1),$B81*INDEX(MACRS_table,MATCH(M$72,recovery_year,0),MATCH(depr_length,recovery_period,0)),""))</f>
        <v>74639.896860222201</v>
      </c>
      <c r="N81" s="195">
        <f>IF(AND(Main!$B$79="Straight Line",N$72&lt;=depr_length),$B81/depr_length,IF(AND(Main!$B$79="MACRS",N$72&lt;=depr_length+1),$B81*INDEX(MACRS_table,MATCH(N$72,recovery_year,0),MATCH(depr_length,recovery_period,0)),""))</f>
        <v>74623.168958639901</v>
      </c>
      <c r="O81" s="195">
        <f>IF(AND(Main!$B$79="Straight Line",O$72&lt;=depr_length),$B81/depr_length,IF(AND(Main!$B$79="MACRS",O$72&lt;=depr_length+1),$B81*INDEX(MACRS_table,MATCH(O$72,recovery_year,0),MATCH(depr_length,recovery_period,0)),""))</f>
        <v>74639.896860222201</v>
      </c>
      <c r="P81" s="195">
        <f>IF(AND(Main!$B$79="Straight Line",P$72&lt;=depr_length),$B81/depr_length,IF(AND(Main!$B$79="MACRS",P$72&lt;=depr_length+1),$B81*INDEX(MACRS_table,MATCH(P$72,recovery_year,0),MATCH(depr_length,recovery_period,0)),""))</f>
        <v>74623.168958639901</v>
      </c>
      <c r="Q81" s="195">
        <f>IF(AND(Main!$B$79="Straight Line",Q$72&lt;=depr_length),$B81/depr_length,IF(AND(Main!$B$79="MACRS",Q$72&lt;=depr_length+1),$B81*INDEX(MACRS_table,MATCH(Q$72,recovery_year,0),MATCH(depr_length,recovery_period,0)),""))</f>
        <v>74639.896860222201</v>
      </c>
      <c r="R81" s="195">
        <f>IF(AND(Main!$B$79="Straight Line",R$72&lt;=depr_length),$B81/depr_length,IF(AND(Main!$B$79="MACRS",R$72&lt;=depr_length+1),$B81*INDEX(MACRS_table,MATCH(R$72,recovery_year,0),MATCH(depr_length,recovery_period,0)),""))</f>
        <v>74623.168958639901</v>
      </c>
      <c r="S81" s="195">
        <f>IF(AND(Main!$B$79="Straight Line",S$72&lt;=depr_length),$B81/depr_length,IF(AND(Main!$B$79="MACRS",S$72&lt;=depr_length+1),$B81*INDEX(MACRS_table,MATCH(S$72,recovery_year,0),MATCH(depr_length,recovery_period,0)),""))</f>
        <v>74639.896860222201</v>
      </c>
      <c r="T81" s="195">
        <f>IF(AND(Main!$B$79="Straight Line",T$72&lt;=depr_length),$B81/depr_length,IF(AND(Main!$B$79="MACRS",T$72&lt;=depr_length+1),$B81*INDEX(MACRS_table,MATCH(T$72,recovery_year,0),MATCH(depr_length,recovery_period,0)),""))</f>
        <v>74623.168958639901</v>
      </c>
      <c r="U81" s="195">
        <f>IF(AND(Main!$B$79="Straight Line",U$72&lt;=depr_length),$B81/depr_length,IF(AND(Main!$B$79="MACRS",U$72&lt;=depr_length+1),$B81*INDEX(MACRS_table,MATCH(U$72,recovery_year,0),MATCH(depr_length,recovery_period,0)),""))</f>
        <v>74639.896860222201</v>
      </c>
      <c r="V81" s="195">
        <f>IF(AND(Main!$B$79="Straight Line",V$72&lt;=depr_length),$B81/depr_length,IF(AND(Main!$B$79="MACRS",V$72&lt;=depr_length+1),$B81*INDEX(MACRS_table,MATCH(V$72,recovery_year,0),MATCH(depr_length,recovery_period,0)),""))</f>
        <v>74623.168958639901</v>
      </c>
      <c r="W81" s="195">
        <f>IF(AND(Main!$B$79="Straight Line",W$72&lt;=depr_length),$B81/depr_length,IF(AND(Main!$B$79="MACRS",W$72&lt;=depr_length+1),$B81*INDEX(MACRS_table,MATCH(W$72,recovery_year,0),MATCH(depr_length,recovery_period,0)),""))</f>
        <v>37319.948430111101</v>
      </c>
      <c r="X81" s="196" cm="1">
        <f t="array" ref="X81">SUMPRODUCT((ROW($C$73:$W$113)-MIN(ROW(C81:W121))=MIN(COLUMN(C81:W121))-COLUMN($C$73:$W$113))*($C$73:$W$113))</f>
        <v>23316601.340189055</v>
      </c>
    </row>
    <row r="82" spans="1:24" x14ac:dyDescent="0.15">
      <c r="A82" s="115">
        <v>9</v>
      </c>
      <c r="B82" s="194">
        <f t="shared" si="20"/>
        <v>1704573.1712363609</v>
      </c>
      <c r="C82" s="195">
        <f>IF(AND(Main!$B$79="Straight Line",C$72&lt;=depr_length),$B82/depr_length,IF(AND(Main!$B$79="MACRS",C$72&lt;=depr_length+1),$B82*INDEX(MACRS_table,MATCH(C$72,recovery_year,0),MATCH(depr_length,recovery_period,0)),""))</f>
        <v>63921.49392136353</v>
      </c>
      <c r="D82" s="195">
        <f>IF(AND(Main!$B$79="Straight Line",D$72&lt;=depr_length),$B82/depr_length,IF(AND(Main!$B$79="MACRS",D$72&lt;=depr_length+1),$B82*INDEX(MACRS_table,MATCH(D$72,recovery_year,0),MATCH(depr_length,recovery_period,0)),""))</f>
        <v>123053.1372315529</v>
      </c>
      <c r="E82" s="195">
        <f>IF(AND(Main!$B$79="Straight Line",E$72&lt;=depr_length),$B82/depr_length,IF(AND(Main!$B$79="MACRS",E$72&lt;=depr_length+1),$B82*INDEX(MACRS_table,MATCH(E$72,recovery_year,0),MATCH(depr_length,recovery_period,0)),""))</f>
        <v>113814.35064345181</v>
      </c>
      <c r="F82" s="195">
        <f>IF(AND(Main!$B$79="Straight Line",F$72&lt;=depr_length),$B82/depr_length,IF(AND(Main!$B$79="MACRS",F$72&lt;=depr_length+1),$B82*INDEX(MACRS_table,MATCH(F$72,recovery_year,0),MATCH(depr_length,recovery_period,0)),""))</f>
        <v>105291.48478727</v>
      </c>
      <c r="G82" s="195">
        <f>IF(AND(Main!$B$79="Straight Line",G$72&lt;=depr_length),$B82/depr_length,IF(AND(Main!$B$79="MACRS",G$72&lt;=depr_length+1),$B82*INDEX(MACRS_table,MATCH(G$72,recovery_year,0),MATCH(depr_length,recovery_period,0)),""))</f>
        <v>97382.265272733304</v>
      </c>
      <c r="H82" s="195">
        <f>IF(AND(Main!$B$79="Straight Line",H$72&lt;=depr_length),$B82/depr_length,IF(AND(Main!$B$79="MACRS",H$72&lt;=depr_length+1),$B82*INDEX(MACRS_table,MATCH(H$72,recovery_year,0),MATCH(depr_length,recovery_period,0)),""))</f>
        <v>90086.692099841675</v>
      </c>
      <c r="I82" s="195">
        <f>IF(AND(Main!$B$79="Straight Line",I$72&lt;=depr_length),$B82/depr_length,IF(AND(Main!$B$79="MACRS",I$72&lt;=depr_length+1),$B82*INDEX(MACRS_table,MATCH(I$72,recovery_year,0),MATCH(depr_length,recovery_period,0)),""))</f>
        <v>83319.536610033319</v>
      </c>
      <c r="J82" s="195">
        <f>IF(AND(Main!$B$79="Straight Line",J$72&lt;=depr_length),$B82/depr_length,IF(AND(Main!$B$79="MACRS",J$72&lt;=depr_length+1),$B82*INDEX(MACRS_table,MATCH(J$72,recovery_year,0),MATCH(depr_length,recovery_period,0)),""))</f>
        <v>77080.798803308251</v>
      </c>
      <c r="K82" s="195">
        <f>IF(AND(Main!$B$79="Straight Line",K$72&lt;=depr_length),$B82/depr_length,IF(AND(Main!$B$79="MACRS",K$72&lt;=depr_length+1),$B82*INDEX(MACRS_table,MATCH(K$72,recovery_year,0),MATCH(depr_length,recovery_period,0)),""))</f>
        <v>76058.054900566422</v>
      </c>
      <c r="L82" s="195">
        <f>IF(AND(Main!$B$79="Straight Line",L$72&lt;=depr_length),$B82/depr_length,IF(AND(Main!$B$79="MACRS",L$72&lt;=depr_length+1),$B82*INDEX(MACRS_table,MATCH(L$72,recovery_year,0),MATCH(depr_length,recovery_period,0)),""))</f>
        <v>76041.009168854056</v>
      </c>
      <c r="M82" s="195">
        <f>IF(AND(Main!$B$79="Straight Line",M$72&lt;=depr_length),$B82/depr_length,IF(AND(Main!$B$79="MACRS",M$72&lt;=depr_length+1),$B82*INDEX(MACRS_table,MATCH(M$72,recovery_year,0),MATCH(depr_length,recovery_period,0)),""))</f>
        <v>76058.054900566422</v>
      </c>
      <c r="N82" s="195">
        <f>IF(AND(Main!$B$79="Straight Line",N$72&lt;=depr_length),$B82/depr_length,IF(AND(Main!$B$79="MACRS",N$72&lt;=depr_length+1),$B82*INDEX(MACRS_table,MATCH(N$72,recovery_year,0),MATCH(depr_length,recovery_period,0)),""))</f>
        <v>76041.009168854056</v>
      </c>
      <c r="O82" s="195">
        <f>IF(AND(Main!$B$79="Straight Line",O$72&lt;=depr_length),$B82/depr_length,IF(AND(Main!$B$79="MACRS",O$72&lt;=depr_length+1),$B82*INDEX(MACRS_table,MATCH(O$72,recovery_year,0),MATCH(depr_length,recovery_period,0)),""))</f>
        <v>76058.054900566422</v>
      </c>
      <c r="P82" s="195">
        <f>IF(AND(Main!$B$79="Straight Line",P$72&lt;=depr_length),$B82/depr_length,IF(AND(Main!$B$79="MACRS",P$72&lt;=depr_length+1),$B82*INDEX(MACRS_table,MATCH(P$72,recovery_year,0),MATCH(depr_length,recovery_period,0)),""))</f>
        <v>76041.009168854056</v>
      </c>
      <c r="Q82" s="195">
        <f>IF(AND(Main!$B$79="Straight Line",Q$72&lt;=depr_length),$B82/depr_length,IF(AND(Main!$B$79="MACRS",Q$72&lt;=depr_length+1),$B82*INDEX(MACRS_table,MATCH(Q$72,recovery_year,0),MATCH(depr_length,recovery_period,0)),""))</f>
        <v>76058.054900566422</v>
      </c>
      <c r="R82" s="195">
        <f>IF(AND(Main!$B$79="Straight Line",R$72&lt;=depr_length),$B82/depr_length,IF(AND(Main!$B$79="MACRS",R$72&lt;=depr_length+1),$B82*INDEX(MACRS_table,MATCH(R$72,recovery_year,0),MATCH(depr_length,recovery_period,0)),""))</f>
        <v>76041.009168854056</v>
      </c>
      <c r="S82" s="195">
        <f>IF(AND(Main!$B$79="Straight Line",S$72&lt;=depr_length),$B82/depr_length,IF(AND(Main!$B$79="MACRS",S$72&lt;=depr_length+1),$B82*INDEX(MACRS_table,MATCH(S$72,recovery_year,0),MATCH(depr_length,recovery_period,0)),""))</f>
        <v>76058.054900566422</v>
      </c>
      <c r="T82" s="195">
        <f>IF(AND(Main!$B$79="Straight Line",T$72&lt;=depr_length),$B82/depr_length,IF(AND(Main!$B$79="MACRS",T$72&lt;=depr_length+1),$B82*INDEX(MACRS_table,MATCH(T$72,recovery_year,0),MATCH(depr_length,recovery_period,0)),""))</f>
        <v>76041.009168854056</v>
      </c>
      <c r="U82" s="195">
        <f>IF(AND(Main!$B$79="Straight Line",U$72&lt;=depr_length),$B82/depr_length,IF(AND(Main!$B$79="MACRS",U$72&lt;=depr_length+1),$B82*INDEX(MACRS_table,MATCH(U$72,recovery_year,0),MATCH(depr_length,recovery_period,0)),""))</f>
        <v>76058.054900566422</v>
      </c>
      <c r="V82" s="195">
        <f>IF(AND(Main!$B$79="Straight Line",V$72&lt;=depr_length),$B82/depr_length,IF(AND(Main!$B$79="MACRS",V$72&lt;=depr_length+1),$B82*INDEX(MACRS_table,MATCH(V$72,recovery_year,0),MATCH(depr_length,recovery_period,0)),""))</f>
        <v>76041.009168854056</v>
      </c>
      <c r="W82" s="195">
        <f>IF(AND(Main!$B$79="Straight Line",W$72&lt;=depr_length),$B82/depr_length,IF(AND(Main!$B$79="MACRS",W$72&lt;=depr_length+1),$B82*INDEX(MACRS_table,MATCH(W$72,recovery_year,0),MATCH(depr_length,recovery_period,0)),""))</f>
        <v>38029.027450283211</v>
      </c>
      <c r="X82" s="196" cm="1">
        <f t="array" ref="X82">SUMPRODUCT((ROW($C$73:$W$113)-MIN(ROW(C82:W122))=MIN(COLUMN(C82:W122))-COLUMN($C$73:$W$113))*($C$73:$W$113))</f>
        <v>22779729.837733693</v>
      </c>
    </row>
    <row r="83" spans="1:24" x14ac:dyDescent="0.15">
      <c r="A83" s="115">
        <v>10</v>
      </c>
      <c r="B83" s="194">
        <f t="shared" si="20"/>
        <v>1736960.0614898517</v>
      </c>
      <c r="C83" s="195">
        <f>IF(AND(Main!$B$79="Straight Line",C$72&lt;=depr_length),$B83/depr_length,IF(AND(Main!$B$79="MACRS",C$72&lt;=depr_length+1),$B83*INDEX(MACRS_table,MATCH(C$72,recovery_year,0),MATCH(depr_length,recovery_period,0)),""))</f>
        <v>65136.002305869435</v>
      </c>
      <c r="D83" s="195">
        <f>IF(AND(Main!$B$79="Straight Line",D$72&lt;=depr_length),$B83/depr_length,IF(AND(Main!$B$79="MACRS",D$72&lt;=depr_length+1),$B83*INDEX(MACRS_table,MATCH(D$72,recovery_year,0),MATCH(depr_length,recovery_period,0)),""))</f>
        <v>125391.14683895239</v>
      </c>
      <c r="E83" s="195">
        <f>IF(AND(Main!$B$79="Straight Line",E$72&lt;=depr_length),$B83/depr_length,IF(AND(Main!$B$79="MACRS",E$72&lt;=depr_length+1),$B83*INDEX(MACRS_table,MATCH(E$72,recovery_year,0),MATCH(depr_length,recovery_period,0)),""))</f>
        <v>115976.82330567739</v>
      </c>
      <c r="F83" s="195">
        <f>IF(AND(Main!$B$79="Straight Line",F$72&lt;=depr_length),$B83/depr_length,IF(AND(Main!$B$79="MACRS",F$72&lt;=depr_length+1),$B83*INDEX(MACRS_table,MATCH(F$72,recovery_year,0),MATCH(depr_length,recovery_period,0)),""))</f>
        <v>107292.02299822813</v>
      </c>
      <c r="G83" s="195">
        <f>IF(AND(Main!$B$79="Straight Line",G$72&lt;=depr_length),$B83/depr_length,IF(AND(Main!$B$79="MACRS",G$72&lt;=depr_length+1),$B83*INDEX(MACRS_table,MATCH(G$72,recovery_year,0),MATCH(depr_length,recovery_period,0)),""))</f>
        <v>99232.528312915223</v>
      </c>
      <c r="H83" s="195">
        <f>IF(AND(Main!$B$79="Straight Line",H$72&lt;=depr_length),$B83/depr_length,IF(AND(Main!$B$79="MACRS",H$72&lt;=depr_length+1),$B83*INDEX(MACRS_table,MATCH(H$72,recovery_year,0),MATCH(depr_length,recovery_period,0)),""))</f>
        <v>91798.339249738667</v>
      </c>
      <c r="I83" s="195">
        <f>IF(AND(Main!$B$79="Straight Line",I$72&lt;=depr_length),$B83/depr_length,IF(AND(Main!$B$79="MACRS",I$72&lt;=depr_length+1),$B83*INDEX(MACRS_table,MATCH(I$72,recovery_year,0),MATCH(depr_length,recovery_period,0)),""))</f>
        <v>84902.607805623949</v>
      </c>
      <c r="J83" s="195">
        <f>IF(AND(Main!$B$79="Straight Line",J$72&lt;=depr_length),$B83/depr_length,IF(AND(Main!$B$79="MACRS",J$72&lt;=depr_length+1),$B83*INDEX(MACRS_table,MATCH(J$72,recovery_year,0),MATCH(depr_length,recovery_period,0)),""))</f>
        <v>78545.3339805711</v>
      </c>
      <c r="K83" s="195">
        <f>IF(AND(Main!$B$79="Straight Line",K$72&lt;=depr_length),$B83/depr_length,IF(AND(Main!$B$79="MACRS",K$72&lt;=depr_length+1),$B83*INDEX(MACRS_table,MATCH(K$72,recovery_year,0),MATCH(depr_length,recovery_period,0)),""))</f>
        <v>77503.157943677186</v>
      </c>
      <c r="L83" s="195">
        <f>IF(AND(Main!$B$79="Straight Line",L$72&lt;=depr_length),$B83/depr_length,IF(AND(Main!$B$79="MACRS",L$72&lt;=depr_length+1),$B83*INDEX(MACRS_table,MATCH(L$72,recovery_year,0),MATCH(depr_length,recovery_period,0)),""))</f>
        <v>77485.788343062275</v>
      </c>
      <c r="M83" s="195">
        <f>IF(AND(Main!$B$79="Straight Line",M$72&lt;=depr_length),$B83/depr_length,IF(AND(Main!$B$79="MACRS",M$72&lt;=depr_length+1),$B83*INDEX(MACRS_table,MATCH(M$72,recovery_year,0),MATCH(depr_length,recovery_period,0)),""))</f>
        <v>77503.157943677186</v>
      </c>
      <c r="N83" s="195">
        <f>IF(AND(Main!$B$79="Straight Line",N$72&lt;=depr_length),$B83/depr_length,IF(AND(Main!$B$79="MACRS",N$72&lt;=depr_length+1),$B83*INDEX(MACRS_table,MATCH(N$72,recovery_year,0),MATCH(depr_length,recovery_period,0)),""))</f>
        <v>77485.788343062275</v>
      </c>
      <c r="O83" s="195">
        <f>IF(AND(Main!$B$79="Straight Line",O$72&lt;=depr_length),$B83/depr_length,IF(AND(Main!$B$79="MACRS",O$72&lt;=depr_length+1),$B83*INDEX(MACRS_table,MATCH(O$72,recovery_year,0),MATCH(depr_length,recovery_period,0)),""))</f>
        <v>77503.157943677186</v>
      </c>
      <c r="P83" s="195">
        <f>IF(AND(Main!$B$79="Straight Line",P$72&lt;=depr_length),$B83/depr_length,IF(AND(Main!$B$79="MACRS",P$72&lt;=depr_length+1),$B83*INDEX(MACRS_table,MATCH(P$72,recovery_year,0),MATCH(depr_length,recovery_period,0)),""))</f>
        <v>77485.788343062275</v>
      </c>
      <c r="Q83" s="195">
        <f>IF(AND(Main!$B$79="Straight Line",Q$72&lt;=depr_length),$B83/depr_length,IF(AND(Main!$B$79="MACRS",Q$72&lt;=depr_length+1),$B83*INDEX(MACRS_table,MATCH(Q$72,recovery_year,0),MATCH(depr_length,recovery_period,0)),""))</f>
        <v>77503.157943677186</v>
      </c>
      <c r="R83" s="195">
        <f>IF(AND(Main!$B$79="Straight Line",R$72&lt;=depr_length),$B83/depr_length,IF(AND(Main!$B$79="MACRS",R$72&lt;=depr_length+1),$B83*INDEX(MACRS_table,MATCH(R$72,recovery_year,0),MATCH(depr_length,recovery_period,0)),""))</f>
        <v>77485.788343062275</v>
      </c>
      <c r="S83" s="195">
        <f>IF(AND(Main!$B$79="Straight Line",S$72&lt;=depr_length),$B83/depr_length,IF(AND(Main!$B$79="MACRS",S$72&lt;=depr_length+1),$B83*INDEX(MACRS_table,MATCH(S$72,recovery_year,0),MATCH(depr_length,recovery_period,0)),""))</f>
        <v>77503.157943677186</v>
      </c>
      <c r="T83" s="195">
        <f>IF(AND(Main!$B$79="Straight Line",T$72&lt;=depr_length),$B83/depr_length,IF(AND(Main!$B$79="MACRS",T$72&lt;=depr_length+1),$B83*INDEX(MACRS_table,MATCH(T$72,recovery_year,0),MATCH(depr_length,recovery_period,0)),""))</f>
        <v>77485.788343062275</v>
      </c>
      <c r="U83" s="195">
        <f>IF(AND(Main!$B$79="Straight Line",U$72&lt;=depr_length),$B83/depr_length,IF(AND(Main!$B$79="MACRS",U$72&lt;=depr_length+1),$B83*INDEX(MACRS_table,MATCH(U$72,recovery_year,0),MATCH(depr_length,recovery_period,0)),""))</f>
        <v>77503.157943677186</v>
      </c>
      <c r="V83" s="195">
        <f>IF(AND(Main!$B$79="Straight Line",V$72&lt;=depr_length),$B83/depr_length,IF(AND(Main!$B$79="MACRS",V$72&lt;=depr_length+1),$B83*INDEX(MACRS_table,MATCH(V$72,recovery_year,0),MATCH(depr_length,recovery_period,0)),""))</f>
        <v>77485.788343062275</v>
      </c>
      <c r="W83" s="195">
        <f>IF(AND(Main!$B$79="Straight Line",W$72&lt;=depr_length),$B83/depr_length,IF(AND(Main!$B$79="MACRS",W$72&lt;=depr_length+1),$B83*INDEX(MACRS_table,MATCH(W$72,recovery_year,0),MATCH(depr_length,recovery_period,0)),""))</f>
        <v>38751.578971838593</v>
      </c>
      <c r="X83" s="196" cm="1">
        <f t="array" ref="X83">SUMPRODUCT((ROW($C$73:$W$113)-MIN(ROW(C83:W123))=MIN(COLUMN(C83:W123))-COLUMN($C$73:$W$113))*($C$73:$W$113))</f>
        <v>22500308.808677707</v>
      </c>
    </row>
    <row r="84" spans="1:24" x14ac:dyDescent="0.15">
      <c r="A84" s="115">
        <v>11</v>
      </c>
      <c r="B84" s="194">
        <f t="shared" si="20"/>
        <v>242003311.04323351</v>
      </c>
      <c r="C84" s="195">
        <f>IF(AND(Main!$B$79="Straight Line",C$72&lt;=depr_length),$B84/depr_length,IF(AND(Main!$B$79="MACRS",C$72&lt;=depr_length+1),$B84*INDEX(MACRS_table,MATCH(C$72,recovery_year,0),MATCH(depr_length,recovery_period,0)),""))</f>
        <v>9075124.1641212571</v>
      </c>
      <c r="D84" s="195">
        <f>IF(AND(Main!$B$79="Straight Line",D$72&lt;=depr_length),$B84/depr_length,IF(AND(Main!$B$79="MACRS",D$72&lt;=depr_length+1),$B84*INDEX(MACRS_table,MATCH(D$72,recovery_year,0),MATCH(depr_length,recovery_period,0)),""))</f>
        <v>17470219.024211027</v>
      </c>
      <c r="E84" s="195">
        <f>IF(AND(Main!$B$79="Straight Line",E$72&lt;=depr_length),$B84/depr_length,IF(AND(Main!$B$79="MACRS",E$72&lt;=depr_length+1),$B84*INDEX(MACRS_table,MATCH(E$72,recovery_year,0),MATCH(depr_length,recovery_period,0)),""))</f>
        <v>16158561.0783567</v>
      </c>
      <c r="F84" s="195">
        <f>IF(AND(Main!$B$79="Straight Line",F$72&lt;=depr_length),$B84/depr_length,IF(AND(Main!$B$79="MACRS",F$72&lt;=depr_length+1),$B84*INDEX(MACRS_table,MATCH(F$72,recovery_year,0),MATCH(depr_length,recovery_period,0)),""))</f>
        <v>14948544.523140533</v>
      </c>
      <c r="G84" s="195">
        <f>IF(AND(Main!$B$79="Straight Line",G$72&lt;=depr_length),$B84/depr_length,IF(AND(Main!$B$79="MACRS",G$72&lt;=depr_length+1),$B84*INDEX(MACRS_table,MATCH(G$72,recovery_year,0),MATCH(depr_length,recovery_period,0)),""))</f>
        <v>13825649.159899931</v>
      </c>
      <c r="H84" s="195">
        <f>IF(AND(Main!$B$79="Straight Line",H$72&lt;=depr_length),$B84/depr_length,IF(AND(Main!$B$79="MACRS",H$72&lt;=depr_length+1),$B84*INDEX(MACRS_table,MATCH(H$72,recovery_year,0),MATCH(depr_length,recovery_period,0)),""))</f>
        <v>12789874.988634892</v>
      </c>
      <c r="I84" s="195">
        <f>IF(AND(Main!$B$79="Straight Line",I$72&lt;=depr_length),$B84/depr_length,IF(AND(Main!$B$79="MACRS",I$72&lt;=depr_length+1),$B84*INDEX(MACRS_table,MATCH(I$72,recovery_year,0),MATCH(depr_length,recovery_period,0)),""))</f>
        <v>11829121.843793254</v>
      </c>
      <c r="J84" s="195">
        <f>IF(AND(Main!$B$79="Straight Line",J$72&lt;=depr_length),$B84/depr_length,IF(AND(Main!$B$79="MACRS",J$72&lt;=depr_length+1),$B84*INDEX(MACRS_table,MATCH(J$72,recovery_year,0),MATCH(depr_length,recovery_period,0)),""))</f>
        <v>10943389.725375021</v>
      </c>
      <c r="K84" s="195">
        <f>IF(AND(Main!$B$79="Straight Line",K$72&lt;=depr_length),$B84/depr_length,IF(AND(Main!$B$79="MACRS",K$72&lt;=depr_length+1),$B84*INDEX(MACRS_table,MATCH(K$72,recovery_year,0),MATCH(depr_length,recovery_period,0)),""))</f>
        <v>10798187.738749079</v>
      </c>
      <c r="L84" s="195">
        <f>IF(AND(Main!$B$79="Straight Line",L$72&lt;=depr_length),$B84/depr_length,IF(AND(Main!$B$79="MACRS",L$72&lt;=depr_length+1),$B84*INDEX(MACRS_table,MATCH(L$72,recovery_year,0),MATCH(depr_length,recovery_period,0)),""))</f>
        <v>10795767.705638647</v>
      </c>
      <c r="M84" s="195">
        <f>IF(AND(Main!$B$79="Straight Line",M$72&lt;=depr_length),$B84/depr_length,IF(AND(Main!$B$79="MACRS",M$72&lt;=depr_length+1),$B84*INDEX(MACRS_table,MATCH(M$72,recovery_year,0),MATCH(depr_length,recovery_period,0)),""))</f>
        <v>10798187.738749079</v>
      </c>
      <c r="N84" s="195">
        <f>IF(AND(Main!$B$79="Straight Line",N$72&lt;=depr_length),$B84/depr_length,IF(AND(Main!$B$79="MACRS",N$72&lt;=depr_length+1),$B84*INDEX(MACRS_table,MATCH(N$72,recovery_year,0),MATCH(depr_length,recovery_period,0)),""))</f>
        <v>10795767.705638647</v>
      </c>
      <c r="O84" s="195">
        <f>IF(AND(Main!$B$79="Straight Line",O$72&lt;=depr_length),$B84/depr_length,IF(AND(Main!$B$79="MACRS",O$72&lt;=depr_length+1),$B84*INDEX(MACRS_table,MATCH(O$72,recovery_year,0),MATCH(depr_length,recovery_period,0)),""))</f>
        <v>10798187.738749079</v>
      </c>
      <c r="P84" s="195">
        <f>IF(AND(Main!$B$79="Straight Line",P$72&lt;=depr_length),$B84/depr_length,IF(AND(Main!$B$79="MACRS",P$72&lt;=depr_length+1),$B84*INDEX(MACRS_table,MATCH(P$72,recovery_year,0),MATCH(depr_length,recovery_period,0)),""))</f>
        <v>10795767.705638647</v>
      </c>
      <c r="Q84" s="195">
        <f>IF(AND(Main!$B$79="Straight Line",Q$72&lt;=depr_length),$B84/depr_length,IF(AND(Main!$B$79="MACRS",Q$72&lt;=depr_length+1),$B84*INDEX(MACRS_table,MATCH(Q$72,recovery_year,0),MATCH(depr_length,recovery_period,0)),""))</f>
        <v>10798187.738749079</v>
      </c>
      <c r="R84" s="195">
        <f>IF(AND(Main!$B$79="Straight Line",R$72&lt;=depr_length),$B84/depr_length,IF(AND(Main!$B$79="MACRS",R$72&lt;=depr_length+1),$B84*INDEX(MACRS_table,MATCH(R$72,recovery_year,0),MATCH(depr_length,recovery_period,0)),""))</f>
        <v>10795767.705638647</v>
      </c>
      <c r="S84" s="195">
        <f>IF(AND(Main!$B$79="Straight Line",S$72&lt;=depr_length),$B84/depr_length,IF(AND(Main!$B$79="MACRS",S$72&lt;=depr_length+1),$B84*INDEX(MACRS_table,MATCH(S$72,recovery_year,0),MATCH(depr_length,recovery_period,0)),""))</f>
        <v>10798187.738749079</v>
      </c>
      <c r="T84" s="195">
        <f>IF(AND(Main!$B$79="Straight Line",T$72&lt;=depr_length),$B84/depr_length,IF(AND(Main!$B$79="MACRS",T$72&lt;=depr_length+1),$B84*INDEX(MACRS_table,MATCH(T$72,recovery_year,0),MATCH(depr_length,recovery_period,0)),""))</f>
        <v>10795767.705638647</v>
      </c>
      <c r="U84" s="195">
        <f>IF(AND(Main!$B$79="Straight Line",U$72&lt;=depr_length),$B84/depr_length,IF(AND(Main!$B$79="MACRS",U$72&lt;=depr_length+1),$B84*INDEX(MACRS_table,MATCH(U$72,recovery_year,0),MATCH(depr_length,recovery_period,0)),""))</f>
        <v>10798187.738749079</v>
      </c>
      <c r="V84" s="195">
        <f>IF(AND(Main!$B$79="Straight Line",V$72&lt;=depr_length),$B84/depr_length,IF(AND(Main!$B$79="MACRS",V$72&lt;=depr_length+1),$B84*INDEX(MACRS_table,MATCH(V$72,recovery_year,0),MATCH(depr_length,recovery_period,0)),""))</f>
        <v>10795767.705638647</v>
      </c>
      <c r="W84" s="195">
        <f>IF(AND(Main!$B$79="Straight Line",W$72&lt;=depr_length),$B84/depr_length,IF(AND(Main!$B$79="MACRS",W$72&lt;=depr_length+1),$B84*INDEX(MACRS_table,MATCH(W$72,recovery_year,0),MATCH(depr_length,recovery_period,0)),""))</f>
        <v>5399093.8693745397</v>
      </c>
      <c r="X84" s="196" cm="1">
        <f t="array" ref="X84">SUMPRODUCT((ROW($C$73:$W$113)-MIN(ROW(C84:W124))=MIN(COLUMN(C84:W124))-COLUMN($C$73:$W$113))*($C$73:$W$113))</f>
        <v>31266510.896908469</v>
      </c>
    </row>
    <row r="85" spans="1:24" x14ac:dyDescent="0.15">
      <c r="A85" s="115">
        <v>12</v>
      </c>
      <c r="B85" s="194">
        <f t="shared" si="20"/>
        <v>1803591.5864086638</v>
      </c>
      <c r="C85" s="195">
        <f>IF(AND(Main!$B$79="Straight Line",C$72&lt;=depr_length),$B85/depr_length,IF(AND(Main!$B$79="MACRS",C$72&lt;=depr_length+1),$B85*INDEX(MACRS_table,MATCH(C$72,recovery_year,0),MATCH(depr_length,recovery_period,0)),""))</f>
        <v>67634.684490324886</v>
      </c>
      <c r="D85" s="195">
        <f>IF(AND(Main!$B$79="Straight Line",D$72&lt;=depr_length),$B85/depr_length,IF(AND(Main!$B$79="MACRS",D$72&lt;=depr_length+1),$B85*INDEX(MACRS_table,MATCH(D$72,recovery_year,0),MATCH(depr_length,recovery_period,0)),""))</f>
        <v>130201.27662284144</v>
      </c>
      <c r="E85" s="195">
        <f>IF(AND(Main!$B$79="Straight Line",E$72&lt;=depr_length),$B85/depr_length,IF(AND(Main!$B$79="MACRS",E$72&lt;=depr_length+1),$B85*INDEX(MACRS_table,MATCH(E$72,recovery_year,0),MATCH(depr_length,recovery_period,0)),""))</f>
        <v>120425.81022450648</v>
      </c>
      <c r="F85" s="195">
        <f>IF(AND(Main!$B$79="Straight Line",F$72&lt;=depr_length),$B85/depr_length,IF(AND(Main!$B$79="MACRS",F$72&lt;=depr_length+1),$B85*INDEX(MACRS_table,MATCH(F$72,recovery_year,0),MATCH(depr_length,recovery_period,0)),""))</f>
        <v>111407.85229246315</v>
      </c>
      <c r="G85" s="195">
        <f>IF(AND(Main!$B$79="Straight Line",G$72&lt;=depr_length),$B85/depr_length,IF(AND(Main!$B$79="MACRS",G$72&lt;=depr_length+1),$B85*INDEX(MACRS_table,MATCH(G$72,recovery_year,0),MATCH(depr_length,recovery_period,0)),""))</f>
        <v>103039.18733152696</v>
      </c>
      <c r="H85" s="195">
        <f>IF(AND(Main!$B$79="Straight Line",H$72&lt;=depr_length),$B85/depr_length,IF(AND(Main!$B$79="MACRS",H$72&lt;=depr_length+1),$B85*INDEX(MACRS_table,MATCH(H$72,recovery_year,0),MATCH(depr_length,recovery_period,0)),""))</f>
        <v>95319.815341697889</v>
      </c>
      <c r="I85" s="195">
        <f>IF(AND(Main!$B$79="Straight Line",I$72&lt;=depr_length),$B85/depr_length,IF(AND(Main!$B$79="MACRS",I$72&lt;=depr_length+1),$B85*INDEX(MACRS_table,MATCH(I$72,recovery_year,0),MATCH(depr_length,recovery_period,0)),""))</f>
        <v>88159.556743655485</v>
      </c>
      <c r="J85" s="195">
        <f>IF(AND(Main!$B$79="Straight Line",J$72&lt;=depr_length),$B85/depr_length,IF(AND(Main!$B$79="MACRS",J$72&lt;=depr_length+1),$B85*INDEX(MACRS_table,MATCH(J$72,recovery_year,0),MATCH(depr_length,recovery_period,0)),""))</f>
        <v>81558.411537399777</v>
      </c>
      <c r="K85" s="195">
        <f>IF(AND(Main!$B$79="Straight Line",K$72&lt;=depr_length),$B85/depr_length,IF(AND(Main!$B$79="MACRS",K$72&lt;=depr_length+1),$B85*INDEX(MACRS_table,MATCH(K$72,recovery_year,0),MATCH(depr_length,recovery_period,0)),""))</f>
        <v>80476.256585554584</v>
      </c>
      <c r="L85" s="195">
        <f>IF(AND(Main!$B$79="Straight Line",L$72&lt;=depr_length),$B85/depr_length,IF(AND(Main!$B$79="MACRS",L$72&lt;=depr_length+1),$B85*INDEX(MACRS_table,MATCH(L$72,recovery_year,0),MATCH(depr_length,recovery_period,0)),""))</f>
        <v>80458.22066969049</v>
      </c>
      <c r="M85" s="195">
        <f>IF(AND(Main!$B$79="Straight Line",M$72&lt;=depr_length),$B85/depr_length,IF(AND(Main!$B$79="MACRS",M$72&lt;=depr_length+1),$B85*INDEX(MACRS_table,MATCH(M$72,recovery_year,0),MATCH(depr_length,recovery_period,0)),""))</f>
        <v>80476.256585554584</v>
      </c>
      <c r="N85" s="195">
        <f>IF(AND(Main!$B$79="Straight Line",N$72&lt;=depr_length),$B85/depr_length,IF(AND(Main!$B$79="MACRS",N$72&lt;=depr_length+1),$B85*INDEX(MACRS_table,MATCH(N$72,recovery_year,0),MATCH(depr_length,recovery_period,0)),""))</f>
        <v>80458.22066969049</v>
      </c>
      <c r="O85" s="195">
        <f>IF(AND(Main!$B$79="Straight Line",O$72&lt;=depr_length),$B85/depr_length,IF(AND(Main!$B$79="MACRS",O$72&lt;=depr_length+1),$B85*INDEX(MACRS_table,MATCH(O$72,recovery_year,0),MATCH(depr_length,recovery_period,0)),""))</f>
        <v>80476.256585554584</v>
      </c>
      <c r="P85" s="195">
        <f>IF(AND(Main!$B$79="Straight Line",P$72&lt;=depr_length),$B85/depr_length,IF(AND(Main!$B$79="MACRS",P$72&lt;=depr_length+1),$B85*INDEX(MACRS_table,MATCH(P$72,recovery_year,0),MATCH(depr_length,recovery_period,0)),""))</f>
        <v>80458.22066969049</v>
      </c>
      <c r="Q85" s="195">
        <f>IF(AND(Main!$B$79="Straight Line",Q$72&lt;=depr_length),$B85/depr_length,IF(AND(Main!$B$79="MACRS",Q$72&lt;=depr_length+1),$B85*INDEX(MACRS_table,MATCH(Q$72,recovery_year,0),MATCH(depr_length,recovery_period,0)),""))</f>
        <v>80476.256585554584</v>
      </c>
      <c r="R85" s="195">
        <f>IF(AND(Main!$B$79="Straight Line",R$72&lt;=depr_length),$B85/depr_length,IF(AND(Main!$B$79="MACRS",R$72&lt;=depr_length+1),$B85*INDEX(MACRS_table,MATCH(R$72,recovery_year,0),MATCH(depr_length,recovery_period,0)),""))</f>
        <v>80458.22066969049</v>
      </c>
      <c r="S85" s="195">
        <f>IF(AND(Main!$B$79="Straight Line",S$72&lt;=depr_length),$B85/depr_length,IF(AND(Main!$B$79="MACRS",S$72&lt;=depr_length+1),$B85*INDEX(MACRS_table,MATCH(S$72,recovery_year,0),MATCH(depr_length,recovery_period,0)),""))</f>
        <v>80476.256585554584</v>
      </c>
      <c r="T85" s="195">
        <f>IF(AND(Main!$B$79="Straight Line",T$72&lt;=depr_length),$B85/depr_length,IF(AND(Main!$B$79="MACRS",T$72&lt;=depr_length+1),$B85*INDEX(MACRS_table,MATCH(T$72,recovery_year,0),MATCH(depr_length,recovery_period,0)),""))</f>
        <v>80458.22066969049</v>
      </c>
      <c r="U85" s="195">
        <f>IF(AND(Main!$B$79="Straight Line",U$72&lt;=depr_length),$B85/depr_length,IF(AND(Main!$B$79="MACRS",U$72&lt;=depr_length+1),$B85*INDEX(MACRS_table,MATCH(U$72,recovery_year,0),MATCH(depr_length,recovery_period,0)),""))</f>
        <v>80476.256585554584</v>
      </c>
      <c r="V85" s="195">
        <f>IF(AND(Main!$B$79="Straight Line",V$72&lt;=depr_length),$B85/depr_length,IF(AND(Main!$B$79="MACRS",V$72&lt;=depr_length+1),$B85*INDEX(MACRS_table,MATCH(V$72,recovery_year,0),MATCH(depr_length,recovery_period,0)),""))</f>
        <v>80458.22066969049</v>
      </c>
      <c r="W85" s="195">
        <f>IF(AND(Main!$B$79="Straight Line",W$72&lt;=depr_length),$B85/depr_length,IF(AND(Main!$B$79="MACRS",W$72&lt;=depr_length+1),$B85*INDEX(MACRS_table,MATCH(W$72,recovery_year,0),MATCH(depr_length,recovery_period,0)),""))</f>
        <v>40238.128292777292</v>
      </c>
      <c r="X85" s="196" cm="1">
        <f t="array" ref="X85">SUMPRODUCT((ROW($C$73:$W$113)-MIN(ROW(C85:W125))=MIN(COLUMN(C85:W125))-COLUMN($C$73:$W$113))*($C$73:$W$113))</f>
        <v>39375213.972236492</v>
      </c>
    </row>
    <row r="86" spans="1:24" x14ac:dyDescent="0.15">
      <c r="A86" s="115">
        <v>13</v>
      </c>
      <c r="B86" s="194">
        <f t="shared" si="20"/>
        <v>1837859.8265504281</v>
      </c>
      <c r="C86" s="195">
        <f>IF(AND(Main!$B$79="Straight Line",C$72&lt;=depr_length),$B86/depr_length,IF(AND(Main!$B$79="MACRS",C$72&lt;=depr_length+1),$B86*INDEX(MACRS_table,MATCH(C$72,recovery_year,0),MATCH(depr_length,recovery_period,0)),""))</f>
        <v>68919.743495641043</v>
      </c>
      <c r="D86" s="195">
        <f>IF(AND(Main!$B$79="Straight Line",D$72&lt;=depr_length),$B86/depr_length,IF(AND(Main!$B$79="MACRS",D$72&lt;=depr_length+1),$B86*INDEX(MACRS_table,MATCH(D$72,recovery_year,0),MATCH(depr_length,recovery_period,0)),""))</f>
        <v>132675.10087867541</v>
      </c>
      <c r="E86" s="195">
        <f>IF(AND(Main!$B$79="Straight Line",E$72&lt;=depr_length),$B86/depr_length,IF(AND(Main!$B$79="MACRS",E$72&lt;=depr_length+1),$B86*INDEX(MACRS_table,MATCH(E$72,recovery_year,0),MATCH(depr_length,recovery_period,0)),""))</f>
        <v>122713.90061877208</v>
      </c>
      <c r="F86" s="195">
        <f>IF(AND(Main!$B$79="Straight Line",F$72&lt;=depr_length),$B86/depr_length,IF(AND(Main!$B$79="MACRS",F$72&lt;=depr_length+1),$B86*INDEX(MACRS_table,MATCH(F$72,recovery_year,0),MATCH(depr_length,recovery_period,0)),""))</f>
        <v>113524.60148601994</v>
      </c>
      <c r="G86" s="195">
        <f>IF(AND(Main!$B$79="Straight Line",G$72&lt;=depr_length),$B86/depr_length,IF(AND(Main!$B$79="MACRS",G$72&lt;=depr_length+1),$B86*INDEX(MACRS_table,MATCH(G$72,recovery_year,0),MATCH(depr_length,recovery_period,0)),""))</f>
        <v>104996.93189082596</v>
      </c>
      <c r="H86" s="195">
        <f>IF(AND(Main!$B$79="Straight Line",H$72&lt;=depr_length),$B86/depr_length,IF(AND(Main!$B$79="MACRS",H$72&lt;=depr_length+1),$B86*INDEX(MACRS_table,MATCH(H$72,recovery_year,0),MATCH(depr_length,recovery_period,0)),""))</f>
        <v>97130.891833190122</v>
      </c>
      <c r="I86" s="195">
        <f>IF(AND(Main!$B$79="Straight Line",I$72&lt;=depr_length),$B86/depr_length,IF(AND(Main!$B$79="MACRS",I$72&lt;=depr_length+1),$B86*INDEX(MACRS_table,MATCH(I$72,recovery_year,0),MATCH(depr_length,recovery_period,0)),""))</f>
        <v>89834.588321784919</v>
      </c>
      <c r="J86" s="195">
        <f>IF(AND(Main!$B$79="Straight Line",J$72&lt;=depr_length),$B86/depr_length,IF(AND(Main!$B$79="MACRS",J$72&lt;=depr_length+1),$B86*INDEX(MACRS_table,MATCH(J$72,recovery_year,0),MATCH(depr_length,recovery_period,0)),""))</f>
        <v>83108.021356610363</v>
      </c>
      <c r="K86" s="195">
        <f>IF(AND(Main!$B$79="Straight Line",K$72&lt;=depr_length),$B86/depr_length,IF(AND(Main!$B$79="MACRS",K$72&lt;=depr_length+1),$B86*INDEX(MACRS_table,MATCH(K$72,recovery_year,0),MATCH(depr_length,recovery_period,0)),""))</f>
        <v>82005.305460680102</v>
      </c>
      <c r="L86" s="195">
        <f>IF(AND(Main!$B$79="Straight Line",L$72&lt;=depr_length),$B86/depr_length,IF(AND(Main!$B$79="MACRS",L$72&lt;=depr_length+1),$B86*INDEX(MACRS_table,MATCH(L$72,recovery_year,0),MATCH(depr_length,recovery_period,0)),""))</f>
        <v>81986.926862414592</v>
      </c>
      <c r="M86" s="195">
        <f>IF(AND(Main!$B$79="Straight Line",M$72&lt;=depr_length),$B86/depr_length,IF(AND(Main!$B$79="MACRS",M$72&lt;=depr_length+1),$B86*INDEX(MACRS_table,MATCH(M$72,recovery_year,0),MATCH(depr_length,recovery_period,0)),""))</f>
        <v>82005.305460680102</v>
      </c>
      <c r="N86" s="195">
        <f>IF(AND(Main!$B$79="Straight Line",N$72&lt;=depr_length),$B86/depr_length,IF(AND(Main!$B$79="MACRS",N$72&lt;=depr_length+1),$B86*INDEX(MACRS_table,MATCH(N$72,recovery_year,0),MATCH(depr_length,recovery_period,0)),""))</f>
        <v>81986.926862414592</v>
      </c>
      <c r="O86" s="195">
        <f>IF(AND(Main!$B$79="Straight Line",O$72&lt;=depr_length),$B86/depr_length,IF(AND(Main!$B$79="MACRS",O$72&lt;=depr_length+1),$B86*INDEX(MACRS_table,MATCH(O$72,recovery_year,0),MATCH(depr_length,recovery_period,0)),""))</f>
        <v>82005.305460680102</v>
      </c>
      <c r="P86" s="195">
        <f>IF(AND(Main!$B$79="Straight Line",P$72&lt;=depr_length),$B86/depr_length,IF(AND(Main!$B$79="MACRS",P$72&lt;=depr_length+1),$B86*INDEX(MACRS_table,MATCH(P$72,recovery_year,0),MATCH(depr_length,recovery_period,0)),""))</f>
        <v>81986.926862414592</v>
      </c>
      <c r="Q86" s="195">
        <f>IF(AND(Main!$B$79="Straight Line",Q$72&lt;=depr_length),$B86/depr_length,IF(AND(Main!$B$79="MACRS",Q$72&lt;=depr_length+1),$B86*INDEX(MACRS_table,MATCH(Q$72,recovery_year,0),MATCH(depr_length,recovery_period,0)),""))</f>
        <v>82005.305460680102</v>
      </c>
      <c r="R86" s="195">
        <f>IF(AND(Main!$B$79="Straight Line",R$72&lt;=depr_length),$B86/depr_length,IF(AND(Main!$B$79="MACRS",R$72&lt;=depr_length+1),$B86*INDEX(MACRS_table,MATCH(R$72,recovery_year,0),MATCH(depr_length,recovery_period,0)),""))</f>
        <v>81986.926862414592</v>
      </c>
      <c r="S86" s="195">
        <f>IF(AND(Main!$B$79="Straight Line",S$72&lt;=depr_length),$B86/depr_length,IF(AND(Main!$B$79="MACRS",S$72&lt;=depr_length+1),$B86*INDEX(MACRS_table,MATCH(S$72,recovery_year,0),MATCH(depr_length,recovery_period,0)),""))</f>
        <v>82005.305460680102</v>
      </c>
      <c r="T86" s="195">
        <f>IF(AND(Main!$B$79="Straight Line",T$72&lt;=depr_length),$B86/depr_length,IF(AND(Main!$B$79="MACRS",T$72&lt;=depr_length+1),$B86*INDEX(MACRS_table,MATCH(T$72,recovery_year,0),MATCH(depr_length,recovery_period,0)),""))</f>
        <v>81986.926862414592</v>
      </c>
      <c r="U86" s="195">
        <f>IF(AND(Main!$B$79="Straight Line",U$72&lt;=depr_length),$B86/depr_length,IF(AND(Main!$B$79="MACRS",U$72&lt;=depr_length+1),$B86*INDEX(MACRS_table,MATCH(U$72,recovery_year,0),MATCH(depr_length,recovery_period,0)),""))</f>
        <v>82005.305460680102</v>
      </c>
      <c r="V86" s="195">
        <f>IF(AND(Main!$B$79="Straight Line",V$72&lt;=depr_length),$B86/depr_length,IF(AND(Main!$B$79="MACRS",V$72&lt;=depr_length+1),$B86*INDEX(MACRS_table,MATCH(V$72,recovery_year,0),MATCH(depr_length,recovery_period,0)),""))</f>
        <v>81986.926862414592</v>
      </c>
      <c r="W86" s="195">
        <f>IF(AND(Main!$B$79="Straight Line",W$72&lt;=depr_length),$B86/depr_length,IF(AND(Main!$B$79="MACRS",W$72&lt;=depr_length+1),$B86*INDEX(MACRS_table,MATCH(W$72,recovery_year,0),MATCH(depr_length,recovery_period,0)),""))</f>
        <v>41002.652730340051</v>
      </c>
      <c r="X86" s="196" cm="1">
        <f t="array" ref="X86">SUMPRODUCT((ROW($C$73:$W$113)-MIN(ROW(C86:W126))=MIN(COLUMN(C86:W126))-COLUMN($C$73:$W$113))*($C$73:$W$113))</f>
        <v>37881255.831574924</v>
      </c>
    </row>
    <row r="87" spans="1:24" x14ac:dyDescent="0.15">
      <c r="A87" s="115">
        <v>14</v>
      </c>
      <c r="B87" s="194">
        <f t="shared" si="20"/>
        <v>1872779.1632548859</v>
      </c>
      <c r="C87" s="195">
        <f>IF(AND(Main!$B$79="Straight Line",C$72&lt;=depr_length),$B87/depr_length,IF(AND(Main!$B$79="MACRS",C$72&lt;=depr_length+1),$B87*INDEX(MACRS_table,MATCH(C$72,recovery_year,0),MATCH(depr_length,recovery_period,0)),""))</f>
        <v>70229.218622058223</v>
      </c>
      <c r="D87" s="195">
        <f>IF(AND(Main!$B$79="Straight Line",D$72&lt;=depr_length),$B87/depr_length,IF(AND(Main!$B$79="MACRS",D$72&lt;=depr_length+1),$B87*INDEX(MACRS_table,MATCH(D$72,recovery_year,0),MATCH(depr_length,recovery_period,0)),""))</f>
        <v>135195.92779537023</v>
      </c>
      <c r="E87" s="195">
        <f>IF(AND(Main!$B$79="Straight Line",E$72&lt;=depr_length),$B87/depr_length,IF(AND(Main!$B$79="MACRS",E$72&lt;=depr_length+1),$B87*INDEX(MACRS_table,MATCH(E$72,recovery_year,0),MATCH(depr_length,recovery_period,0)),""))</f>
        <v>125045.46473052872</v>
      </c>
      <c r="F87" s="195">
        <f>IF(AND(Main!$B$79="Straight Line",F$72&lt;=depr_length),$B87/depr_length,IF(AND(Main!$B$79="MACRS",F$72&lt;=depr_length+1),$B87*INDEX(MACRS_table,MATCH(F$72,recovery_year,0),MATCH(depr_length,recovery_period,0)),""))</f>
        <v>115681.5689142543</v>
      </c>
      <c r="G87" s="195">
        <f>IF(AND(Main!$B$79="Straight Line",G$72&lt;=depr_length),$B87/depr_length,IF(AND(Main!$B$79="MACRS",G$72&lt;=depr_length+1),$B87*INDEX(MACRS_table,MATCH(G$72,recovery_year,0),MATCH(depr_length,recovery_period,0)),""))</f>
        <v>106991.87359675164</v>
      </c>
      <c r="H87" s="195">
        <f>IF(AND(Main!$B$79="Straight Line",H$72&lt;=depr_length),$B87/depr_length,IF(AND(Main!$B$79="MACRS",H$72&lt;=depr_length+1),$B87*INDEX(MACRS_table,MATCH(H$72,recovery_year,0),MATCH(depr_length,recovery_period,0)),""))</f>
        <v>98976.37877802072</v>
      </c>
      <c r="I87" s="195">
        <f>IF(AND(Main!$B$79="Straight Line",I$72&lt;=depr_length),$B87/depr_length,IF(AND(Main!$B$79="MACRS",I$72&lt;=depr_length+1),$B87*INDEX(MACRS_table,MATCH(I$72,recovery_year,0),MATCH(depr_length,recovery_period,0)),""))</f>
        <v>91541.445499898822</v>
      </c>
      <c r="J87" s="195">
        <f>IF(AND(Main!$B$79="Straight Line",J$72&lt;=depr_length),$B87/depr_length,IF(AND(Main!$B$79="MACRS",J$72&lt;=depr_length+1),$B87*INDEX(MACRS_table,MATCH(J$72,recovery_year,0),MATCH(depr_length,recovery_period,0)),""))</f>
        <v>84687.073762385946</v>
      </c>
      <c r="K87" s="195">
        <f>IF(AND(Main!$B$79="Straight Line",K$72&lt;=depr_length),$B87/depr_length,IF(AND(Main!$B$79="MACRS",K$72&lt;=depr_length+1),$B87*INDEX(MACRS_table,MATCH(K$72,recovery_year,0),MATCH(depr_length,recovery_period,0)),""))</f>
        <v>83563.406264433012</v>
      </c>
      <c r="L87" s="195">
        <f>IF(AND(Main!$B$79="Straight Line",L$72&lt;=depr_length),$B87/depr_length,IF(AND(Main!$B$79="MACRS",L$72&lt;=depr_length+1),$B87*INDEX(MACRS_table,MATCH(L$72,recovery_year,0),MATCH(depr_length,recovery_period,0)),""))</f>
        <v>83544.678472800457</v>
      </c>
      <c r="M87" s="195">
        <f>IF(AND(Main!$B$79="Straight Line",M$72&lt;=depr_length),$B87/depr_length,IF(AND(Main!$B$79="MACRS",M$72&lt;=depr_length+1),$B87*INDEX(MACRS_table,MATCH(M$72,recovery_year,0),MATCH(depr_length,recovery_period,0)),""))</f>
        <v>83563.406264433012</v>
      </c>
      <c r="N87" s="195">
        <f>IF(AND(Main!$B$79="Straight Line",N$72&lt;=depr_length),$B87/depr_length,IF(AND(Main!$B$79="MACRS",N$72&lt;=depr_length+1),$B87*INDEX(MACRS_table,MATCH(N$72,recovery_year,0),MATCH(depr_length,recovery_period,0)),""))</f>
        <v>83544.678472800457</v>
      </c>
      <c r="O87" s="195">
        <f>IF(AND(Main!$B$79="Straight Line",O$72&lt;=depr_length),$B87/depr_length,IF(AND(Main!$B$79="MACRS",O$72&lt;=depr_length+1),$B87*INDEX(MACRS_table,MATCH(O$72,recovery_year,0),MATCH(depr_length,recovery_period,0)),""))</f>
        <v>83563.406264433012</v>
      </c>
      <c r="P87" s="195">
        <f>IF(AND(Main!$B$79="Straight Line",P$72&lt;=depr_length),$B87/depr_length,IF(AND(Main!$B$79="MACRS",P$72&lt;=depr_length+1),$B87*INDEX(MACRS_table,MATCH(P$72,recovery_year,0),MATCH(depr_length,recovery_period,0)),""))</f>
        <v>83544.678472800457</v>
      </c>
      <c r="Q87" s="195">
        <f>IF(AND(Main!$B$79="Straight Line",Q$72&lt;=depr_length),$B87/depr_length,IF(AND(Main!$B$79="MACRS",Q$72&lt;=depr_length+1),$B87*INDEX(MACRS_table,MATCH(Q$72,recovery_year,0),MATCH(depr_length,recovery_period,0)),""))</f>
        <v>83563.406264433012</v>
      </c>
      <c r="R87" s="195">
        <f>IF(AND(Main!$B$79="Straight Line",R$72&lt;=depr_length),$B87/depr_length,IF(AND(Main!$B$79="MACRS",R$72&lt;=depr_length+1),$B87*INDEX(MACRS_table,MATCH(R$72,recovery_year,0),MATCH(depr_length,recovery_period,0)),""))</f>
        <v>83544.678472800457</v>
      </c>
      <c r="S87" s="195">
        <f>IF(AND(Main!$B$79="Straight Line",S$72&lt;=depr_length),$B87/depr_length,IF(AND(Main!$B$79="MACRS",S$72&lt;=depr_length+1),$B87*INDEX(MACRS_table,MATCH(S$72,recovery_year,0),MATCH(depr_length,recovery_period,0)),""))</f>
        <v>83563.406264433012</v>
      </c>
      <c r="T87" s="195">
        <f>IF(AND(Main!$B$79="Straight Line",T$72&lt;=depr_length),$B87/depr_length,IF(AND(Main!$B$79="MACRS",T$72&lt;=depr_length+1),$B87*INDEX(MACRS_table,MATCH(T$72,recovery_year,0),MATCH(depr_length,recovery_period,0)),""))</f>
        <v>83544.678472800457</v>
      </c>
      <c r="U87" s="195">
        <f>IF(AND(Main!$B$79="Straight Line",U$72&lt;=depr_length),$B87/depr_length,IF(AND(Main!$B$79="MACRS",U$72&lt;=depr_length+1),$B87*INDEX(MACRS_table,MATCH(U$72,recovery_year,0),MATCH(depr_length,recovery_period,0)),""))</f>
        <v>83563.406264433012</v>
      </c>
      <c r="V87" s="195">
        <f>IF(AND(Main!$B$79="Straight Line",V$72&lt;=depr_length),$B87/depr_length,IF(AND(Main!$B$79="MACRS",V$72&lt;=depr_length+1),$B87*INDEX(MACRS_table,MATCH(V$72,recovery_year,0),MATCH(depr_length,recovery_period,0)),""))</f>
        <v>83544.678472800457</v>
      </c>
      <c r="W87" s="195">
        <f>IF(AND(Main!$B$79="Straight Line",W$72&lt;=depr_length),$B87/depr_length,IF(AND(Main!$B$79="MACRS",W$72&lt;=depr_length+1),$B87*INDEX(MACRS_table,MATCH(W$72,recovery_year,0),MATCH(depr_length,recovery_period,0)),""))</f>
        <v>41781.703132216506</v>
      </c>
      <c r="X87" s="196" cm="1">
        <f t="array" ref="X87">SUMPRODUCT((ROW($C$73:$W$113)-MIN(ROW(C87:W127))=MIN(COLUMN(C87:W127))-COLUMN($C$73:$W$113))*($C$73:$W$113))</f>
        <v>36716601.085546322</v>
      </c>
    </row>
    <row r="88" spans="1:24" x14ac:dyDescent="0.15">
      <c r="A88" s="115">
        <v>15</v>
      </c>
      <c r="B88" s="194">
        <f t="shared" si="20"/>
        <v>1908361.9673567291</v>
      </c>
      <c r="C88" s="195">
        <f>IF(AND(Main!$B$79="Straight Line",C$72&lt;=depr_length),$B88/depr_length,IF(AND(Main!$B$79="MACRS",C$72&lt;=depr_length+1),$B88*INDEX(MACRS_table,MATCH(C$72,recovery_year,0),MATCH(depr_length,recovery_period,0)),""))</f>
        <v>71563.573775877332</v>
      </c>
      <c r="D88" s="195">
        <f>IF(AND(Main!$B$79="Straight Line",D$72&lt;=depr_length),$B88/depr_length,IF(AND(Main!$B$79="MACRS",D$72&lt;=depr_length+1),$B88*INDEX(MACRS_table,MATCH(D$72,recovery_year,0),MATCH(depr_length,recovery_period,0)),""))</f>
        <v>137764.65042348229</v>
      </c>
      <c r="E88" s="195">
        <f>IF(AND(Main!$B$79="Straight Line",E$72&lt;=depr_length),$B88/depr_length,IF(AND(Main!$B$79="MACRS",E$72&lt;=depr_length+1),$B88*INDEX(MACRS_table,MATCH(E$72,recovery_year,0),MATCH(depr_length,recovery_period,0)),""))</f>
        <v>127421.32856040879</v>
      </c>
      <c r="F88" s="195">
        <f>IF(AND(Main!$B$79="Straight Line",F$72&lt;=depr_length),$B88/depr_length,IF(AND(Main!$B$79="MACRS",F$72&lt;=depr_length+1),$B88*INDEX(MACRS_table,MATCH(F$72,recovery_year,0),MATCH(depr_length,recovery_period,0)),""))</f>
        <v>117879.51872362515</v>
      </c>
      <c r="G88" s="195">
        <f>IF(AND(Main!$B$79="Straight Line",G$72&lt;=depr_length),$B88/depr_length,IF(AND(Main!$B$79="MACRS",G$72&lt;=depr_length+1),$B88*INDEX(MACRS_table,MATCH(G$72,recovery_year,0),MATCH(depr_length,recovery_period,0)),""))</f>
        <v>109024.71919508993</v>
      </c>
      <c r="H88" s="195">
        <f>IF(AND(Main!$B$79="Straight Line",H$72&lt;=depr_length),$B88/depr_length,IF(AND(Main!$B$79="MACRS",H$72&lt;=depr_length+1),$B88*INDEX(MACRS_table,MATCH(H$72,recovery_year,0),MATCH(depr_length,recovery_period,0)),""))</f>
        <v>100856.92997480313</v>
      </c>
      <c r="I88" s="195">
        <f>IF(AND(Main!$B$79="Straight Line",I$72&lt;=depr_length),$B88/depr_length,IF(AND(Main!$B$79="MACRS",I$72&lt;=depr_length+1),$B88*INDEX(MACRS_table,MATCH(I$72,recovery_year,0),MATCH(depr_length,recovery_period,0)),""))</f>
        <v>93280.732964396913</v>
      </c>
      <c r="J88" s="195">
        <f>IF(AND(Main!$B$79="Straight Line",J$72&lt;=depr_length),$B88/depr_length,IF(AND(Main!$B$79="MACRS",J$72&lt;=depr_length+1),$B88*INDEX(MACRS_table,MATCH(J$72,recovery_year,0),MATCH(depr_length,recovery_period,0)),""))</f>
        <v>86296.128163871297</v>
      </c>
      <c r="K88" s="195">
        <f>IF(AND(Main!$B$79="Straight Line",K$72&lt;=depr_length),$B88/depr_length,IF(AND(Main!$B$79="MACRS",K$72&lt;=depr_length+1),$B88*INDEX(MACRS_table,MATCH(K$72,recovery_year,0),MATCH(depr_length,recovery_period,0)),""))</f>
        <v>85151.110983457256</v>
      </c>
      <c r="L88" s="195">
        <f>IF(AND(Main!$B$79="Straight Line",L$72&lt;=depr_length),$B88/depr_length,IF(AND(Main!$B$79="MACRS",L$72&lt;=depr_length+1),$B88*INDEX(MACRS_table,MATCH(L$72,recovery_year,0),MATCH(depr_length,recovery_period,0)),""))</f>
        <v>85132.02736378368</v>
      </c>
      <c r="M88" s="195">
        <f>IF(AND(Main!$B$79="Straight Line",M$72&lt;=depr_length),$B88/depr_length,IF(AND(Main!$B$79="MACRS",M$72&lt;=depr_length+1),$B88*INDEX(MACRS_table,MATCH(M$72,recovery_year,0),MATCH(depr_length,recovery_period,0)),""))</f>
        <v>85151.110983457256</v>
      </c>
      <c r="N88" s="195">
        <f>IF(AND(Main!$B$79="Straight Line",N$72&lt;=depr_length),$B88/depr_length,IF(AND(Main!$B$79="MACRS",N$72&lt;=depr_length+1),$B88*INDEX(MACRS_table,MATCH(N$72,recovery_year,0),MATCH(depr_length,recovery_period,0)),""))</f>
        <v>85132.02736378368</v>
      </c>
      <c r="O88" s="195">
        <f>IF(AND(Main!$B$79="Straight Line",O$72&lt;=depr_length),$B88/depr_length,IF(AND(Main!$B$79="MACRS",O$72&lt;=depr_length+1),$B88*INDEX(MACRS_table,MATCH(O$72,recovery_year,0),MATCH(depr_length,recovery_period,0)),""))</f>
        <v>85151.110983457256</v>
      </c>
      <c r="P88" s="195">
        <f>IF(AND(Main!$B$79="Straight Line",P$72&lt;=depr_length),$B88/depr_length,IF(AND(Main!$B$79="MACRS",P$72&lt;=depr_length+1),$B88*INDEX(MACRS_table,MATCH(P$72,recovery_year,0),MATCH(depr_length,recovery_period,0)),""))</f>
        <v>85132.02736378368</v>
      </c>
      <c r="Q88" s="195">
        <f>IF(AND(Main!$B$79="Straight Line",Q$72&lt;=depr_length),$B88/depr_length,IF(AND(Main!$B$79="MACRS",Q$72&lt;=depr_length+1),$B88*INDEX(MACRS_table,MATCH(Q$72,recovery_year,0),MATCH(depr_length,recovery_period,0)),""))</f>
        <v>85151.110983457256</v>
      </c>
      <c r="R88" s="195">
        <f>IF(AND(Main!$B$79="Straight Line",R$72&lt;=depr_length),$B88/depr_length,IF(AND(Main!$B$79="MACRS",R$72&lt;=depr_length+1),$B88*INDEX(MACRS_table,MATCH(R$72,recovery_year,0),MATCH(depr_length,recovery_period,0)),""))</f>
        <v>85132.02736378368</v>
      </c>
      <c r="S88" s="195">
        <f>IF(AND(Main!$B$79="Straight Line",S$72&lt;=depr_length),$B88/depr_length,IF(AND(Main!$B$79="MACRS",S$72&lt;=depr_length+1),$B88*INDEX(MACRS_table,MATCH(S$72,recovery_year,0),MATCH(depr_length,recovery_period,0)),""))</f>
        <v>85151.110983457256</v>
      </c>
      <c r="T88" s="195">
        <f>IF(AND(Main!$B$79="Straight Line",T$72&lt;=depr_length),$B88/depr_length,IF(AND(Main!$B$79="MACRS",T$72&lt;=depr_length+1),$B88*INDEX(MACRS_table,MATCH(T$72,recovery_year,0),MATCH(depr_length,recovery_period,0)),""))</f>
        <v>85132.02736378368</v>
      </c>
      <c r="U88" s="195">
        <f>IF(AND(Main!$B$79="Straight Line",U$72&lt;=depr_length),$B88/depr_length,IF(AND(Main!$B$79="MACRS",U$72&lt;=depr_length+1),$B88*INDEX(MACRS_table,MATCH(U$72,recovery_year,0),MATCH(depr_length,recovery_period,0)),""))</f>
        <v>85151.110983457256</v>
      </c>
      <c r="V88" s="195">
        <f>IF(AND(Main!$B$79="Straight Line",V$72&lt;=depr_length),$B88/depr_length,IF(AND(Main!$B$79="MACRS",V$72&lt;=depr_length+1),$B88*INDEX(MACRS_table,MATCH(V$72,recovery_year,0),MATCH(depr_length,recovery_period,0)),""))</f>
        <v>85132.02736378368</v>
      </c>
      <c r="W88" s="195">
        <f>IF(AND(Main!$B$79="Straight Line",W$72&lt;=depr_length),$B88/depr_length,IF(AND(Main!$B$79="MACRS",W$72&lt;=depr_length+1),$B88*INDEX(MACRS_table,MATCH(W$72,recovery_year,0),MATCH(depr_length,recovery_period,0)),""))</f>
        <v>42575.555491728628</v>
      </c>
      <c r="X88" s="196" cm="1">
        <f t="array" ref="X88">SUMPRODUCT((ROW($C$73:$W$113)-MIN(ROW(C88:W128))=MIN(COLUMN(C88:W128))-COLUMN($C$73:$W$113))*($C$73:$W$113))</f>
        <v>35693051.552174196</v>
      </c>
    </row>
    <row r="89" spans="1:24" x14ac:dyDescent="0.15">
      <c r="A89" s="115">
        <v>16</v>
      </c>
      <c r="B89" s="194">
        <f t="shared" si="20"/>
        <v>94469276.619062722</v>
      </c>
      <c r="C89" s="195">
        <f>IF(AND(Main!$B$79="Straight Line",C$72&lt;=depr_length),$B89/depr_length,IF(AND(Main!$B$79="MACRS",C$72&lt;=depr_length+1),$B89*INDEX(MACRS_table,MATCH(C$72,recovery_year,0),MATCH(depr_length,recovery_period,0)),""))</f>
        <v>3542597.8732148521</v>
      </c>
      <c r="D89" s="195">
        <f>IF(AND(Main!$B$79="Straight Line",D$72&lt;=depr_length),$B89/depr_length,IF(AND(Main!$B$79="MACRS",D$72&lt;=depr_length+1),$B89*INDEX(MACRS_table,MATCH(D$72,recovery_year,0),MATCH(depr_length,recovery_period,0)),""))</f>
        <v>6819737.0791301383</v>
      </c>
      <c r="E89" s="195">
        <f>IF(AND(Main!$B$79="Straight Line",E$72&lt;=depr_length),$B89/depr_length,IF(AND(Main!$B$79="MACRS",E$72&lt;=depr_length+1),$B89*INDEX(MACRS_table,MATCH(E$72,recovery_year,0),MATCH(depr_length,recovery_period,0)),""))</f>
        <v>6307713.5998548176</v>
      </c>
      <c r="F89" s="195">
        <f>IF(AND(Main!$B$79="Straight Line",F$72&lt;=depr_length),$B89/depr_length,IF(AND(Main!$B$79="MACRS",F$72&lt;=depr_length+1),$B89*INDEX(MACRS_table,MATCH(F$72,recovery_year,0),MATCH(depr_length,recovery_period,0)),""))</f>
        <v>5835367.2167595038</v>
      </c>
      <c r="G89" s="195">
        <f>IF(AND(Main!$B$79="Straight Line",G$72&lt;=depr_length),$B89/depr_length,IF(AND(Main!$B$79="MACRS",G$72&lt;=depr_length+1),$B89*INDEX(MACRS_table,MATCH(G$72,recovery_year,0),MATCH(depr_length,recovery_period,0)),""))</f>
        <v>5397029.7732470529</v>
      </c>
      <c r="H89" s="195">
        <f>IF(AND(Main!$B$79="Straight Line",H$72&lt;=depr_length),$B89/depr_length,IF(AND(Main!$B$79="MACRS",H$72&lt;=depr_length+1),$B89*INDEX(MACRS_table,MATCH(H$72,recovery_year,0),MATCH(depr_length,recovery_period,0)),""))</f>
        <v>4992701.2693174649</v>
      </c>
      <c r="I89" s="195">
        <f>IF(AND(Main!$B$79="Straight Line",I$72&lt;=depr_length),$B89/depr_length,IF(AND(Main!$B$79="MACRS",I$72&lt;=depr_length+1),$B89*INDEX(MACRS_table,MATCH(I$72,recovery_year,0),MATCH(depr_length,recovery_period,0)),""))</f>
        <v>4617658.2411397854</v>
      </c>
      <c r="J89" s="195">
        <f>IF(AND(Main!$B$79="Straight Line",J$72&lt;=depr_length),$B89/depr_length,IF(AND(Main!$B$79="MACRS",J$72&lt;=depr_length+1),$B89*INDEX(MACRS_table,MATCH(J$72,recovery_year,0),MATCH(depr_length,recovery_period,0)),""))</f>
        <v>4271900.6887140162</v>
      </c>
      <c r="K89" s="195">
        <f>IF(AND(Main!$B$79="Straight Line",K$72&lt;=depr_length),$B89/depr_length,IF(AND(Main!$B$79="MACRS",K$72&lt;=depr_length+1),$B89*INDEX(MACRS_table,MATCH(K$72,recovery_year,0),MATCH(depr_length,recovery_period,0)),""))</f>
        <v>4215219.1227425784</v>
      </c>
      <c r="L89" s="195">
        <f>IF(AND(Main!$B$79="Straight Line",L$72&lt;=depr_length),$B89/depr_length,IF(AND(Main!$B$79="MACRS",L$72&lt;=depr_length+1),$B89*INDEX(MACRS_table,MATCH(L$72,recovery_year,0),MATCH(depr_length,recovery_period,0)),""))</f>
        <v>4214274.4299763879</v>
      </c>
      <c r="M89" s="195">
        <f>IF(AND(Main!$B$79="Straight Line",M$72&lt;=depr_length),$B89/depr_length,IF(AND(Main!$B$79="MACRS",M$72&lt;=depr_length+1),$B89*INDEX(MACRS_table,MATCH(M$72,recovery_year,0),MATCH(depr_length,recovery_period,0)),""))</f>
        <v>4215219.1227425784</v>
      </c>
      <c r="N89" s="195">
        <f>IF(AND(Main!$B$79="Straight Line",N$72&lt;=depr_length),$B89/depr_length,IF(AND(Main!$B$79="MACRS",N$72&lt;=depr_length+1),$B89*INDEX(MACRS_table,MATCH(N$72,recovery_year,0),MATCH(depr_length,recovery_period,0)),""))</f>
        <v>4214274.4299763879</v>
      </c>
      <c r="O89" s="195">
        <f>IF(AND(Main!$B$79="Straight Line",O$72&lt;=depr_length),$B89/depr_length,IF(AND(Main!$B$79="MACRS",O$72&lt;=depr_length+1),$B89*INDEX(MACRS_table,MATCH(O$72,recovery_year,0),MATCH(depr_length,recovery_period,0)),""))</f>
        <v>4215219.1227425784</v>
      </c>
      <c r="P89" s="195">
        <f>IF(AND(Main!$B$79="Straight Line",P$72&lt;=depr_length),$B89/depr_length,IF(AND(Main!$B$79="MACRS",P$72&lt;=depr_length+1),$B89*INDEX(MACRS_table,MATCH(P$72,recovery_year,0),MATCH(depr_length,recovery_period,0)),""))</f>
        <v>4214274.4299763879</v>
      </c>
      <c r="Q89" s="195">
        <f>IF(AND(Main!$B$79="Straight Line",Q$72&lt;=depr_length),$B89/depr_length,IF(AND(Main!$B$79="MACRS",Q$72&lt;=depr_length+1),$B89*INDEX(MACRS_table,MATCH(Q$72,recovery_year,0),MATCH(depr_length,recovery_period,0)),""))</f>
        <v>4215219.1227425784</v>
      </c>
      <c r="R89" s="195">
        <f>IF(AND(Main!$B$79="Straight Line",R$72&lt;=depr_length),$B89/depr_length,IF(AND(Main!$B$79="MACRS",R$72&lt;=depr_length+1),$B89*INDEX(MACRS_table,MATCH(R$72,recovery_year,0),MATCH(depr_length,recovery_period,0)),""))</f>
        <v>4214274.4299763879</v>
      </c>
      <c r="S89" s="195">
        <f>IF(AND(Main!$B$79="Straight Line",S$72&lt;=depr_length),$B89/depr_length,IF(AND(Main!$B$79="MACRS",S$72&lt;=depr_length+1),$B89*INDEX(MACRS_table,MATCH(S$72,recovery_year,0),MATCH(depr_length,recovery_period,0)),""))</f>
        <v>4215219.1227425784</v>
      </c>
      <c r="T89" s="195">
        <f>IF(AND(Main!$B$79="Straight Line",T$72&lt;=depr_length),$B89/depr_length,IF(AND(Main!$B$79="MACRS",T$72&lt;=depr_length+1),$B89*INDEX(MACRS_table,MATCH(T$72,recovery_year,0),MATCH(depr_length,recovery_period,0)),""))</f>
        <v>4214274.4299763879</v>
      </c>
      <c r="U89" s="195">
        <f>IF(AND(Main!$B$79="Straight Line",U$72&lt;=depr_length),$B89/depr_length,IF(AND(Main!$B$79="MACRS",U$72&lt;=depr_length+1),$B89*INDEX(MACRS_table,MATCH(U$72,recovery_year,0),MATCH(depr_length,recovery_period,0)),""))</f>
        <v>4215219.1227425784</v>
      </c>
      <c r="V89" s="195">
        <f>IF(AND(Main!$B$79="Straight Line",V$72&lt;=depr_length),$B89/depr_length,IF(AND(Main!$B$79="MACRS",V$72&lt;=depr_length+1),$B89*INDEX(MACRS_table,MATCH(V$72,recovery_year,0),MATCH(depr_length,recovery_period,0)),""))</f>
        <v>4214274.4299763879</v>
      </c>
      <c r="W89" s="195">
        <f>IF(AND(Main!$B$79="Straight Line",W$72&lt;=depr_length),$B89/depr_length,IF(AND(Main!$B$79="MACRS",W$72&lt;=depr_length+1),$B89*INDEX(MACRS_table,MATCH(W$72,recovery_year,0),MATCH(depr_length,recovery_period,0)),""))</f>
        <v>2107609.5613712892</v>
      </c>
      <c r="X89" s="196" cm="1">
        <f t="array" ref="X89">SUMPRODUCT((ROW($C$73:$W$113)-MIN(ROW(C89:W129))=MIN(COLUMN(C89:W129))-COLUMN($C$73:$W$113))*($C$73:$W$113))</f>
        <v>38221109.922768697</v>
      </c>
    </row>
    <row r="90" spans="1:24" x14ac:dyDescent="0.15">
      <c r="A90" s="115">
        <v>17</v>
      </c>
      <c r="B90" s="194">
        <f t="shared" si="20"/>
        <v>1981568.6407865004</v>
      </c>
      <c r="C90" s="195">
        <f>IF(AND(Main!$B$79="Straight Line",C$72&lt;=depr_length),$B90/depr_length,IF(AND(Main!$B$79="MACRS",C$72&lt;=depr_length+1),$B90*INDEX(MACRS_table,MATCH(C$72,recovery_year,0),MATCH(depr_length,recovery_period,0)),""))</f>
        <v>74308.824029493757</v>
      </c>
      <c r="D90" s="195">
        <f>IF(AND(Main!$B$79="Straight Line",D$72&lt;=depr_length),$B90/depr_length,IF(AND(Main!$B$79="MACRS",D$72&lt;=depr_length+1),$B90*INDEX(MACRS_table,MATCH(D$72,recovery_year,0),MATCH(depr_length,recovery_period,0)),""))</f>
        <v>143049.44017837747</v>
      </c>
      <c r="E90" s="195">
        <f>IF(AND(Main!$B$79="Straight Line",E$72&lt;=depr_length),$B90/depr_length,IF(AND(Main!$B$79="MACRS",E$72&lt;=depr_length+1),$B90*INDEX(MACRS_table,MATCH(E$72,recovery_year,0),MATCH(depr_length,recovery_period,0)),""))</f>
        <v>132309.33814531463</v>
      </c>
      <c r="F90" s="195">
        <f>IF(AND(Main!$B$79="Straight Line",F$72&lt;=depr_length),$B90/depr_length,IF(AND(Main!$B$79="MACRS",F$72&lt;=depr_length+1),$B90*INDEX(MACRS_table,MATCH(F$72,recovery_year,0),MATCH(depr_length,recovery_period,0)),""))</f>
        <v>122401.49494138213</v>
      </c>
      <c r="G90" s="195">
        <f>IF(AND(Main!$B$79="Straight Line",G$72&lt;=depr_length),$B90/depr_length,IF(AND(Main!$B$79="MACRS",G$72&lt;=depr_length+1),$B90*INDEX(MACRS_table,MATCH(G$72,recovery_year,0),MATCH(depr_length,recovery_period,0)),""))</f>
        <v>113207.01644813277</v>
      </c>
      <c r="H90" s="195">
        <f>IF(AND(Main!$B$79="Straight Line",H$72&lt;=depr_length),$B90/depr_length,IF(AND(Main!$B$79="MACRS",H$72&lt;=depr_length+1),$B90*INDEX(MACRS_table,MATCH(H$72,recovery_year,0),MATCH(depr_length,recovery_period,0)),""))</f>
        <v>104725.90266556655</v>
      </c>
      <c r="I90" s="195">
        <f>IF(AND(Main!$B$79="Straight Line",I$72&lt;=depr_length),$B90/depr_length,IF(AND(Main!$B$79="MACRS",I$72&lt;=depr_length+1),$B90*INDEX(MACRS_table,MATCH(I$72,recovery_year,0),MATCH(depr_length,recovery_period,0)),""))</f>
        <v>96859.075161644141</v>
      </c>
      <c r="J90" s="195">
        <f>IF(AND(Main!$B$79="Straight Line",J$72&lt;=depr_length),$B90/depr_length,IF(AND(Main!$B$79="MACRS",J$72&lt;=depr_length+1),$B90*INDEX(MACRS_table,MATCH(J$72,recovery_year,0),MATCH(depr_length,recovery_period,0)),""))</f>
        <v>89606.533936365551</v>
      </c>
      <c r="K90" s="195">
        <f>IF(AND(Main!$B$79="Straight Line",K$72&lt;=depr_length),$B90/depr_length,IF(AND(Main!$B$79="MACRS",K$72&lt;=depr_length+1),$B90*INDEX(MACRS_table,MATCH(K$72,recovery_year,0),MATCH(depr_length,recovery_period,0)),""))</f>
        <v>88417.592751893651</v>
      </c>
      <c r="L90" s="195">
        <f>IF(AND(Main!$B$79="Straight Line",L$72&lt;=depr_length),$B90/depr_length,IF(AND(Main!$B$79="MACRS",L$72&lt;=depr_length+1),$B90*INDEX(MACRS_table,MATCH(L$72,recovery_year,0),MATCH(depr_length,recovery_period,0)),""))</f>
        <v>88397.777065485774</v>
      </c>
      <c r="M90" s="195">
        <f>IF(AND(Main!$B$79="Straight Line",M$72&lt;=depr_length),$B90/depr_length,IF(AND(Main!$B$79="MACRS",M$72&lt;=depr_length+1),$B90*INDEX(MACRS_table,MATCH(M$72,recovery_year,0),MATCH(depr_length,recovery_period,0)),""))</f>
        <v>88417.592751893651</v>
      </c>
      <c r="N90" s="195">
        <f>IF(AND(Main!$B$79="Straight Line",N$72&lt;=depr_length),$B90/depr_length,IF(AND(Main!$B$79="MACRS",N$72&lt;=depr_length+1),$B90*INDEX(MACRS_table,MATCH(N$72,recovery_year,0),MATCH(depr_length,recovery_period,0)),""))</f>
        <v>88397.777065485774</v>
      </c>
      <c r="O90" s="195">
        <f>IF(AND(Main!$B$79="Straight Line",O$72&lt;=depr_length),$B90/depr_length,IF(AND(Main!$B$79="MACRS",O$72&lt;=depr_length+1),$B90*INDEX(MACRS_table,MATCH(O$72,recovery_year,0),MATCH(depr_length,recovery_period,0)),""))</f>
        <v>88417.592751893651</v>
      </c>
      <c r="P90" s="195">
        <f>IF(AND(Main!$B$79="Straight Line",P$72&lt;=depr_length),$B90/depr_length,IF(AND(Main!$B$79="MACRS",P$72&lt;=depr_length+1),$B90*INDEX(MACRS_table,MATCH(P$72,recovery_year,0),MATCH(depr_length,recovery_period,0)),""))</f>
        <v>88397.777065485774</v>
      </c>
      <c r="Q90" s="195">
        <f>IF(AND(Main!$B$79="Straight Line",Q$72&lt;=depr_length),$B90/depr_length,IF(AND(Main!$B$79="MACRS",Q$72&lt;=depr_length+1),$B90*INDEX(MACRS_table,MATCH(Q$72,recovery_year,0),MATCH(depr_length,recovery_period,0)),""))</f>
        <v>88417.592751893651</v>
      </c>
      <c r="R90" s="195">
        <f>IF(AND(Main!$B$79="Straight Line",R$72&lt;=depr_length),$B90/depr_length,IF(AND(Main!$B$79="MACRS",R$72&lt;=depr_length+1),$B90*INDEX(MACRS_table,MATCH(R$72,recovery_year,0),MATCH(depr_length,recovery_period,0)),""))</f>
        <v>88397.777065485774</v>
      </c>
      <c r="S90" s="195">
        <f>IF(AND(Main!$B$79="Straight Line",S$72&lt;=depr_length),$B90/depr_length,IF(AND(Main!$B$79="MACRS",S$72&lt;=depr_length+1),$B90*INDEX(MACRS_table,MATCH(S$72,recovery_year,0),MATCH(depr_length,recovery_period,0)),""))</f>
        <v>88417.592751893651</v>
      </c>
      <c r="T90" s="195">
        <f>IF(AND(Main!$B$79="Straight Line",T$72&lt;=depr_length),$B90/depr_length,IF(AND(Main!$B$79="MACRS",T$72&lt;=depr_length+1),$B90*INDEX(MACRS_table,MATCH(T$72,recovery_year,0),MATCH(depr_length,recovery_period,0)),""))</f>
        <v>88397.777065485774</v>
      </c>
      <c r="U90" s="195">
        <f>IF(AND(Main!$B$79="Straight Line",U$72&lt;=depr_length),$B90/depr_length,IF(AND(Main!$B$79="MACRS",U$72&lt;=depr_length+1),$B90*INDEX(MACRS_table,MATCH(U$72,recovery_year,0),MATCH(depr_length,recovery_period,0)),""))</f>
        <v>88417.592751893651</v>
      </c>
      <c r="V90" s="195">
        <f>IF(AND(Main!$B$79="Straight Line",V$72&lt;=depr_length),$B90/depr_length,IF(AND(Main!$B$79="MACRS",V$72&lt;=depr_length+1),$B90*INDEX(MACRS_table,MATCH(V$72,recovery_year,0),MATCH(depr_length,recovery_period,0)),""))</f>
        <v>88397.777065485774</v>
      </c>
      <c r="W90" s="195">
        <f>IF(AND(Main!$B$79="Straight Line",W$72&lt;=depr_length),$B90/depr_length,IF(AND(Main!$B$79="MACRS",W$72&lt;=depr_length+1),$B90*INDEX(MACRS_table,MATCH(W$72,recovery_year,0),MATCH(depr_length,recovery_period,0)),""))</f>
        <v>44208.796375946826</v>
      </c>
      <c r="X90" s="196" cm="1">
        <f t="array" ref="X90">SUMPRODUCT((ROW($C$73:$W$113)-MIN(ROW(C90:W130))=MIN(COLUMN(C90:W130))-COLUMN($C$73:$W$113))*($C$73:$W$113))</f>
        <v>40571573.640476696</v>
      </c>
    </row>
    <row r="91" spans="1:24" x14ac:dyDescent="0.15">
      <c r="A91" s="115">
        <v>18</v>
      </c>
      <c r="B91" s="194">
        <f t="shared" si="20"/>
        <v>2019218.4449614438</v>
      </c>
      <c r="C91" s="195">
        <f>IF(AND(Main!$B$79="Straight Line",C$72&lt;=depr_length),$B91/depr_length,IF(AND(Main!$B$79="MACRS",C$72&lt;=depr_length+1),$B91*INDEX(MACRS_table,MATCH(C$72,recovery_year,0),MATCH(depr_length,recovery_period,0)),""))</f>
        <v>75720.691686054139</v>
      </c>
      <c r="D91" s="195">
        <f>IF(AND(Main!$B$79="Straight Line",D$72&lt;=depr_length),$B91/depr_length,IF(AND(Main!$B$79="MACRS",D$72&lt;=depr_length+1),$B91*INDEX(MACRS_table,MATCH(D$72,recovery_year,0),MATCH(depr_length,recovery_period,0)),""))</f>
        <v>145767.37954176663</v>
      </c>
      <c r="E91" s="195">
        <f>IF(AND(Main!$B$79="Straight Line",E$72&lt;=depr_length),$B91/depr_length,IF(AND(Main!$B$79="MACRS",E$72&lt;=depr_length+1),$B91*INDEX(MACRS_table,MATCH(E$72,recovery_year,0),MATCH(depr_length,recovery_period,0)),""))</f>
        <v>134823.21557007558</v>
      </c>
      <c r="F91" s="195">
        <f>IF(AND(Main!$B$79="Straight Line",F$72&lt;=depr_length),$B91/depr_length,IF(AND(Main!$B$79="MACRS",F$72&lt;=depr_length+1),$B91*INDEX(MACRS_table,MATCH(F$72,recovery_year,0),MATCH(depr_length,recovery_period,0)),""))</f>
        <v>124727.12334526838</v>
      </c>
      <c r="G91" s="195">
        <f>IF(AND(Main!$B$79="Straight Line",G$72&lt;=depr_length),$B91/depr_length,IF(AND(Main!$B$79="MACRS",G$72&lt;=depr_length+1),$B91*INDEX(MACRS_table,MATCH(G$72,recovery_year,0),MATCH(depr_length,recovery_period,0)),""))</f>
        <v>115357.94976064729</v>
      </c>
      <c r="H91" s="195">
        <f>IF(AND(Main!$B$79="Straight Line",H$72&lt;=depr_length),$B91/depr_length,IF(AND(Main!$B$79="MACRS",H$72&lt;=depr_length+1),$B91*INDEX(MACRS_table,MATCH(H$72,recovery_year,0),MATCH(depr_length,recovery_period,0)),""))</f>
        <v>106715.6948162123</v>
      </c>
      <c r="I91" s="195">
        <f>IF(AND(Main!$B$79="Straight Line",I$72&lt;=depr_length),$B91/depr_length,IF(AND(Main!$B$79="MACRS",I$72&lt;=depr_length+1),$B91*INDEX(MACRS_table,MATCH(I$72,recovery_year,0),MATCH(depr_length,recovery_period,0)),""))</f>
        <v>98699.397589715372</v>
      </c>
      <c r="J91" s="195">
        <f>IF(AND(Main!$B$79="Straight Line",J$72&lt;=depr_length),$B91/depr_length,IF(AND(Main!$B$79="MACRS",J$72&lt;=depr_length+1),$B91*INDEX(MACRS_table,MATCH(J$72,recovery_year,0),MATCH(depr_length,recovery_period,0)),""))</f>
        <v>91309.058081156487</v>
      </c>
      <c r="K91" s="195">
        <f>IF(AND(Main!$B$79="Straight Line",K$72&lt;=depr_length),$B91/depr_length,IF(AND(Main!$B$79="MACRS",K$72&lt;=depr_length+1),$B91*INDEX(MACRS_table,MATCH(K$72,recovery_year,0),MATCH(depr_length,recovery_period,0)),""))</f>
        <v>90097.527014179621</v>
      </c>
      <c r="L91" s="195">
        <f>IF(AND(Main!$B$79="Straight Line",L$72&lt;=depr_length),$B91/depr_length,IF(AND(Main!$B$79="MACRS",L$72&lt;=depr_length+1),$B91*INDEX(MACRS_table,MATCH(L$72,recovery_year,0),MATCH(depr_length,recovery_period,0)),""))</f>
        <v>90077.334829729996</v>
      </c>
      <c r="M91" s="195">
        <f>IF(AND(Main!$B$79="Straight Line",M$72&lt;=depr_length),$B91/depr_length,IF(AND(Main!$B$79="MACRS",M$72&lt;=depr_length+1),$B91*INDEX(MACRS_table,MATCH(M$72,recovery_year,0),MATCH(depr_length,recovery_period,0)),""))</f>
        <v>90097.527014179621</v>
      </c>
      <c r="N91" s="195">
        <f>IF(AND(Main!$B$79="Straight Line",N$72&lt;=depr_length),$B91/depr_length,IF(AND(Main!$B$79="MACRS",N$72&lt;=depr_length+1),$B91*INDEX(MACRS_table,MATCH(N$72,recovery_year,0),MATCH(depr_length,recovery_period,0)),""))</f>
        <v>90077.334829729996</v>
      </c>
      <c r="O91" s="195">
        <f>IF(AND(Main!$B$79="Straight Line",O$72&lt;=depr_length),$B91/depr_length,IF(AND(Main!$B$79="MACRS",O$72&lt;=depr_length+1),$B91*INDEX(MACRS_table,MATCH(O$72,recovery_year,0),MATCH(depr_length,recovery_period,0)),""))</f>
        <v>90097.527014179621</v>
      </c>
      <c r="P91" s="195">
        <f>IF(AND(Main!$B$79="Straight Line",P$72&lt;=depr_length),$B91/depr_length,IF(AND(Main!$B$79="MACRS",P$72&lt;=depr_length+1),$B91*INDEX(MACRS_table,MATCH(P$72,recovery_year,0),MATCH(depr_length,recovery_period,0)),""))</f>
        <v>90077.334829729996</v>
      </c>
      <c r="Q91" s="195">
        <f>IF(AND(Main!$B$79="Straight Line",Q$72&lt;=depr_length),$B91/depr_length,IF(AND(Main!$B$79="MACRS",Q$72&lt;=depr_length+1),$B91*INDEX(MACRS_table,MATCH(Q$72,recovery_year,0),MATCH(depr_length,recovery_period,0)),""))</f>
        <v>90097.527014179621</v>
      </c>
      <c r="R91" s="195">
        <f>IF(AND(Main!$B$79="Straight Line",R$72&lt;=depr_length),$B91/depr_length,IF(AND(Main!$B$79="MACRS",R$72&lt;=depr_length+1),$B91*INDEX(MACRS_table,MATCH(R$72,recovery_year,0),MATCH(depr_length,recovery_period,0)),""))</f>
        <v>90077.334829729996</v>
      </c>
      <c r="S91" s="195">
        <f>IF(AND(Main!$B$79="Straight Line",S$72&lt;=depr_length),$B91/depr_length,IF(AND(Main!$B$79="MACRS",S$72&lt;=depr_length+1),$B91*INDEX(MACRS_table,MATCH(S$72,recovery_year,0),MATCH(depr_length,recovery_period,0)),""))</f>
        <v>90097.527014179621</v>
      </c>
      <c r="T91" s="195">
        <f>IF(AND(Main!$B$79="Straight Line",T$72&lt;=depr_length),$B91/depr_length,IF(AND(Main!$B$79="MACRS",T$72&lt;=depr_length+1),$B91*INDEX(MACRS_table,MATCH(T$72,recovery_year,0),MATCH(depr_length,recovery_period,0)),""))</f>
        <v>90077.334829729996</v>
      </c>
      <c r="U91" s="195">
        <f>IF(AND(Main!$B$79="Straight Line",U$72&lt;=depr_length),$B91/depr_length,IF(AND(Main!$B$79="MACRS",U$72&lt;=depr_length+1),$B91*INDEX(MACRS_table,MATCH(U$72,recovery_year,0),MATCH(depr_length,recovery_period,0)),""))</f>
        <v>90097.527014179621</v>
      </c>
      <c r="V91" s="195">
        <f>IF(AND(Main!$B$79="Straight Line",V$72&lt;=depr_length),$B91/depr_length,IF(AND(Main!$B$79="MACRS",V$72&lt;=depr_length+1),$B91*INDEX(MACRS_table,MATCH(V$72,recovery_year,0),MATCH(depr_length,recovery_period,0)),""))</f>
        <v>90077.334829729996</v>
      </c>
      <c r="W91" s="195">
        <f>IF(AND(Main!$B$79="Straight Line",W$72&lt;=depr_length),$B91/depr_length,IF(AND(Main!$B$79="MACRS",W$72&lt;=depr_length+1),$B91*INDEX(MACRS_table,MATCH(W$72,recovery_year,0),MATCH(depr_length,recovery_period,0)),""))</f>
        <v>45048.76350708981</v>
      </c>
      <c r="X91" s="196" cm="1">
        <f t="array" ref="X91">SUMPRODUCT((ROW($C$73:$W$113)-MIN(ROW(C91:W131))=MIN(COLUMN(C91:W131))-COLUMN($C$73:$W$113))*($C$73:$W$113))</f>
        <v>39280859.215442494</v>
      </c>
    </row>
    <row r="92" spans="1:24" x14ac:dyDescent="0.15">
      <c r="A92" s="115">
        <v>19</v>
      </c>
      <c r="B92" s="194">
        <f t="shared" si="20"/>
        <v>2057583.5954157109</v>
      </c>
      <c r="C92" s="195">
        <f>IF(AND(Main!$B$79="Straight Line",C$72&lt;=depr_length),$B92/depr_length,IF(AND(Main!$B$79="MACRS",C$72&lt;=depr_length+1),$B92*INDEX(MACRS_table,MATCH(C$72,recovery_year,0),MATCH(depr_length,recovery_period,0)),""))</f>
        <v>77159.384828089154</v>
      </c>
      <c r="D92" s="195">
        <f>IF(AND(Main!$B$79="Straight Line",D$72&lt;=depr_length),$B92/depr_length,IF(AND(Main!$B$79="MACRS",D$72&lt;=depr_length+1),$B92*INDEX(MACRS_table,MATCH(D$72,recovery_year,0),MATCH(depr_length,recovery_period,0)),""))</f>
        <v>148536.95975306019</v>
      </c>
      <c r="E92" s="195">
        <f>IF(AND(Main!$B$79="Straight Line",E$72&lt;=depr_length),$B92/depr_length,IF(AND(Main!$B$79="MACRS",E$72&lt;=depr_length+1),$B92*INDEX(MACRS_table,MATCH(E$72,recovery_year,0),MATCH(depr_length,recovery_period,0)),""))</f>
        <v>137384.85666590702</v>
      </c>
      <c r="F92" s="195">
        <f>IF(AND(Main!$B$79="Straight Line",F$72&lt;=depr_length),$B92/depr_length,IF(AND(Main!$B$79="MACRS",F$72&lt;=depr_length+1),$B92*INDEX(MACRS_table,MATCH(F$72,recovery_year,0),MATCH(depr_length,recovery_period,0)),""))</f>
        <v>127096.93868882846</v>
      </c>
      <c r="G92" s="195">
        <f>IF(AND(Main!$B$79="Straight Line",G$72&lt;=depr_length),$B92/depr_length,IF(AND(Main!$B$79="MACRS",G$72&lt;=depr_length+1),$B92*INDEX(MACRS_table,MATCH(G$72,recovery_year,0),MATCH(depr_length,recovery_period,0)),""))</f>
        <v>117549.75080609956</v>
      </c>
      <c r="H92" s="195">
        <f>IF(AND(Main!$B$79="Straight Line",H$72&lt;=depr_length),$B92/depr_length,IF(AND(Main!$B$79="MACRS",H$72&lt;=depr_length+1),$B92*INDEX(MACRS_table,MATCH(H$72,recovery_year,0),MATCH(depr_length,recovery_period,0)),""))</f>
        <v>108743.29301772032</v>
      </c>
      <c r="I92" s="195">
        <f>IF(AND(Main!$B$79="Straight Line",I$72&lt;=depr_length),$B92/depr_length,IF(AND(Main!$B$79="MACRS",I$72&lt;=depr_length+1),$B92*INDEX(MACRS_table,MATCH(I$72,recovery_year,0),MATCH(depr_length,recovery_period,0)),""))</f>
        <v>100574.68614391996</v>
      </c>
      <c r="J92" s="195">
        <f>IF(AND(Main!$B$79="Straight Line",J$72&lt;=depr_length),$B92/depr_length,IF(AND(Main!$B$79="MACRS",J$72&lt;=depr_length+1),$B92*INDEX(MACRS_table,MATCH(J$72,recovery_year,0),MATCH(depr_length,recovery_period,0)),""))</f>
        <v>93043.93018469846</v>
      </c>
      <c r="K92" s="195">
        <f>IF(AND(Main!$B$79="Straight Line",K$72&lt;=depr_length),$B92/depr_length,IF(AND(Main!$B$79="MACRS",K$72&lt;=depr_length+1),$B92*INDEX(MACRS_table,MATCH(K$72,recovery_year,0),MATCH(depr_length,recovery_period,0)),""))</f>
        <v>91809.38002744902</v>
      </c>
      <c r="L92" s="195">
        <f>IF(AND(Main!$B$79="Straight Line",L$72&lt;=depr_length),$B92/depr_length,IF(AND(Main!$B$79="MACRS",L$72&lt;=depr_length+1),$B92*INDEX(MACRS_table,MATCH(L$72,recovery_year,0),MATCH(depr_length,recovery_period,0)),""))</f>
        <v>91788.804191494855</v>
      </c>
      <c r="M92" s="195">
        <f>IF(AND(Main!$B$79="Straight Line",M$72&lt;=depr_length),$B92/depr_length,IF(AND(Main!$B$79="MACRS",M$72&lt;=depr_length+1),$B92*INDEX(MACRS_table,MATCH(M$72,recovery_year,0),MATCH(depr_length,recovery_period,0)),""))</f>
        <v>91809.38002744902</v>
      </c>
      <c r="N92" s="195">
        <f>IF(AND(Main!$B$79="Straight Line",N$72&lt;=depr_length),$B92/depr_length,IF(AND(Main!$B$79="MACRS",N$72&lt;=depr_length+1),$B92*INDEX(MACRS_table,MATCH(N$72,recovery_year,0),MATCH(depr_length,recovery_period,0)),""))</f>
        <v>91788.804191494855</v>
      </c>
      <c r="O92" s="195">
        <f>IF(AND(Main!$B$79="Straight Line",O$72&lt;=depr_length),$B92/depr_length,IF(AND(Main!$B$79="MACRS",O$72&lt;=depr_length+1),$B92*INDEX(MACRS_table,MATCH(O$72,recovery_year,0),MATCH(depr_length,recovery_period,0)),""))</f>
        <v>91809.38002744902</v>
      </c>
      <c r="P92" s="195">
        <f>IF(AND(Main!$B$79="Straight Line",P$72&lt;=depr_length),$B92/depr_length,IF(AND(Main!$B$79="MACRS",P$72&lt;=depr_length+1),$B92*INDEX(MACRS_table,MATCH(P$72,recovery_year,0),MATCH(depr_length,recovery_period,0)),""))</f>
        <v>91788.804191494855</v>
      </c>
      <c r="Q92" s="195">
        <f>IF(AND(Main!$B$79="Straight Line",Q$72&lt;=depr_length),$B92/depr_length,IF(AND(Main!$B$79="MACRS",Q$72&lt;=depr_length+1),$B92*INDEX(MACRS_table,MATCH(Q$72,recovery_year,0),MATCH(depr_length,recovery_period,0)),""))</f>
        <v>91809.38002744902</v>
      </c>
      <c r="R92" s="195">
        <f>IF(AND(Main!$B$79="Straight Line",R$72&lt;=depr_length),$B92/depr_length,IF(AND(Main!$B$79="MACRS",R$72&lt;=depr_length+1),$B92*INDEX(MACRS_table,MATCH(R$72,recovery_year,0),MATCH(depr_length,recovery_period,0)),""))</f>
        <v>91788.804191494855</v>
      </c>
      <c r="S92" s="195">
        <f>IF(AND(Main!$B$79="Straight Line",S$72&lt;=depr_length),$B92/depr_length,IF(AND(Main!$B$79="MACRS",S$72&lt;=depr_length+1),$B92*INDEX(MACRS_table,MATCH(S$72,recovery_year,0),MATCH(depr_length,recovery_period,0)),""))</f>
        <v>91809.38002744902</v>
      </c>
      <c r="T92" s="195">
        <f>IF(AND(Main!$B$79="Straight Line",T$72&lt;=depr_length),$B92/depr_length,IF(AND(Main!$B$79="MACRS",T$72&lt;=depr_length+1),$B92*INDEX(MACRS_table,MATCH(T$72,recovery_year,0),MATCH(depr_length,recovery_period,0)),""))</f>
        <v>91788.804191494855</v>
      </c>
      <c r="U92" s="195">
        <f>IF(AND(Main!$B$79="Straight Line",U$72&lt;=depr_length),$B92/depr_length,IF(AND(Main!$B$79="MACRS",U$72&lt;=depr_length+1),$B92*INDEX(MACRS_table,MATCH(U$72,recovery_year,0),MATCH(depr_length,recovery_period,0)),""))</f>
        <v>91809.38002744902</v>
      </c>
      <c r="V92" s="195">
        <f>IF(AND(Main!$B$79="Straight Line",V$72&lt;=depr_length),$B92/depr_length,IF(AND(Main!$B$79="MACRS",V$72&lt;=depr_length+1),$B92*INDEX(MACRS_table,MATCH(V$72,recovery_year,0),MATCH(depr_length,recovery_period,0)),""))</f>
        <v>91788.804191494855</v>
      </c>
      <c r="W92" s="195">
        <f>IF(AND(Main!$B$79="Straight Line",W$72&lt;=depr_length),$B92/depr_length,IF(AND(Main!$B$79="MACRS",W$72&lt;=depr_length+1),$B92*INDEX(MACRS_table,MATCH(W$72,recovery_year,0),MATCH(depr_length,recovery_period,0)),""))</f>
        <v>45904.69001372451</v>
      </c>
      <c r="X92" s="196" cm="1">
        <f t="array" ref="X92">SUMPRODUCT((ROW($C$73:$W$113)-MIN(ROW(C92:W132))=MIN(COLUMN(C92:W132))-COLUMN($C$73:$W$113))*($C$73:$W$113))</f>
        <v>38772111.859035179</v>
      </c>
    </row>
    <row r="93" spans="1:24" x14ac:dyDescent="0.15">
      <c r="A93" s="115">
        <v>20</v>
      </c>
      <c r="B93" s="194">
        <f t="shared" si="20"/>
        <v>2096677.6837286097</v>
      </c>
      <c r="C93" s="195">
        <f>IF(AND(Main!$B$79="Straight Line",C$72&lt;=depr_length),$B93/depr_length,IF(AND(Main!$B$79="MACRS",C$72&lt;=depr_length+1),$B93*INDEX(MACRS_table,MATCH(C$72,recovery_year,0),MATCH(depr_length,recovery_period,0)),""))</f>
        <v>78625.413139822864</v>
      </c>
      <c r="D93" s="195">
        <f>IF(AND(Main!$B$79="Straight Line",D$72&lt;=depr_length),$B93/depr_length,IF(AND(Main!$B$79="MACRS",D$72&lt;=depr_length+1),$B93*INDEX(MACRS_table,MATCH(D$72,recovery_year,0),MATCH(depr_length,recovery_period,0)),""))</f>
        <v>151359.16198836835</v>
      </c>
      <c r="E93" s="195">
        <f>IF(AND(Main!$B$79="Straight Line",E$72&lt;=depr_length),$B93/depr_length,IF(AND(Main!$B$79="MACRS",E$72&lt;=depr_length+1),$B93*INDEX(MACRS_table,MATCH(E$72,recovery_year,0),MATCH(depr_length,recovery_period,0)),""))</f>
        <v>139995.16894255925</v>
      </c>
      <c r="F93" s="195">
        <f>IF(AND(Main!$B$79="Straight Line",F$72&lt;=depr_length),$B93/depr_length,IF(AND(Main!$B$79="MACRS",F$72&lt;=depr_length+1),$B93*INDEX(MACRS_table,MATCH(F$72,recovery_year,0),MATCH(depr_length,recovery_period,0)),""))</f>
        <v>129511.78052391621</v>
      </c>
      <c r="G93" s="195">
        <f>IF(AND(Main!$B$79="Straight Line",G$72&lt;=depr_length),$B93/depr_length,IF(AND(Main!$B$79="MACRS",G$72&lt;=depr_length+1),$B93*INDEX(MACRS_table,MATCH(G$72,recovery_year,0),MATCH(depr_length,recovery_period,0)),""))</f>
        <v>119783.19607141547</v>
      </c>
      <c r="H93" s="195">
        <f>IF(AND(Main!$B$79="Straight Line",H$72&lt;=depr_length),$B93/depr_length,IF(AND(Main!$B$79="MACRS",H$72&lt;=depr_length+1),$B93*INDEX(MACRS_table,MATCH(H$72,recovery_year,0),MATCH(depr_length,recovery_period,0)),""))</f>
        <v>110809.41558505702</v>
      </c>
      <c r="I93" s="195">
        <f>IF(AND(Main!$B$79="Straight Line",I$72&lt;=depr_length),$B93/depr_length,IF(AND(Main!$B$79="MACRS",I$72&lt;=depr_length+1),$B93*INDEX(MACRS_table,MATCH(I$72,recovery_year,0),MATCH(depr_length,recovery_period,0)),""))</f>
        <v>102485.60518065444</v>
      </c>
      <c r="J93" s="195">
        <f>IF(AND(Main!$B$79="Straight Line",J$72&lt;=depr_length),$B93/depr_length,IF(AND(Main!$B$79="MACRS",J$72&lt;=depr_length+1),$B93*INDEX(MACRS_table,MATCH(J$72,recovery_year,0),MATCH(depr_length,recovery_period,0)),""))</f>
        <v>94811.764858207738</v>
      </c>
      <c r="K93" s="195">
        <f>IF(AND(Main!$B$79="Straight Line",K$72&lt;=depr_length),$B93/depr_length,IF(AND(Main!$B$79="MACRS",K$72&lt;=depr_length+1),$B93*INDEX(MACRS_table,MATCH(K$72,recovery_year,0),MATCH(depr_length,recovery_period,0)),""))</f>
        <v>93553.75824797056</v>
      </c>
      <c r="L93" s="195">
        <f>IF(AND(Main!$B$79="Straight Line",L$72&lt;=depr_length),$B93/depr_length,IF(AND(Main!$B$79="MACRS",L$72&lt;=depr_length+1),$B93*INDEX(MACRS_table,MATCH(L$72,recovery_year,0),MATCH(depr_length,recovery_period,0)),""))</f>
        <v>93532.791471133271</v>
      </c>
      <c r="M93" s="195">
        <f>IF(AND(Main!$B$79="Straight Line",M$72&lt;=depr_length),$B93/depr_length,IF(AND(Main!$B$79="MACRS",M$72&lt;=depr_length+1),$B93*INDEX(MACRS_table,MATCH(M$72,recovery_year,0),MATCH(depr_length,recovery_period,0)),""))</f>
        <v>93553.75824797056</v>
      </c>
      <c r="N93" s="195">
        <f>IF(AND(Main!$B$79="Straight Line",N$72&lt;=depr_length),$B93/depr_length,IF(AND(Main!$B$79="MACRS",N$72&lt;=depr_length+1),$B93*INDEX(MACRS_table,MATCH(N$72,recovery_year,0),MATCH(depr_length,recovery_period,0)),""))</f>
        <v>93532.791471133271</v>
      </c>
      <c r="O93" s="195">
        <f>IF(AND(Main!$B$79="Straight Line",O$72&lt;=depr_length),$B93/depr_length,IF(AND(Main!$B$79="MACRS",O$72&lt;=depr_length+1),$B93*INDEX(MACRS_table,MATCH(O$72,recovery_year,0),MATCH(depr_length,recovery_period,0)),""))</f>
        <v>93553.75824797056</v>
      </c>
      <c r="P93" s="195">
        <f>IF(AND(Main!$B$79="Straight Line",P$72&lt;=depr_length),$B93/depr_length,IF(AND(Main!$B$79="MACRS",P$72&lt;=depr_length+1),$B93*INDEX(MACRS_table,MATCH(P$72,recovery_year,0),MATCH(depr_length,recovery_period,0)),""))</f>
        <v>93532.791471133271</v>
      </c>
      <c r="Q93" s="195">
        <f>IF(AND(Main!$B$79="Straight Line",Q$72&lt;=depr_length),$B93/depr_length,IF(AND(Main!$B$79="MACRS",Q$72&lt;=depr_length+1),$B93*INDEX(MACRS_table,MATCH(Q$72,recovery_year,0),MATCH(depr_length,recovery_period,0)),""))</f>
        <v>93553.75824797056</v>
      </c>
      <c r="R93" s="195">
        <f>IF(AND(Main!$B$79="Straight Line",R$72&lt;=depr_length),$B93/depr_length,IF(AND(Main!$B$79="MACRS",R$72&lt;=depr_length+1),$B93*INDEX(MACRS_table,MATCH(R$72,recovery_year,0),MATCH(depr_length,recovery_period,0)),""))</f>
        <v>93532.791471133271</v>
      </c>
      <c r="S93" s="195">
        <f>IF(AND(Main!$B$79="Straight Line",S$72&lt;=depr_length),$B93/depr_length,IF(AND(Main!$B$79="MACRS",S$72&lt;=depr_length+1),$B93*INDEX(MACRS_table,MATCH(S$72,recovery_year,0),MATCH(depr_length,recovery_period,0)),""))</f>
        <v>93553.75824797056</v>
      </c>
      <c r="T93" s="195">
        <f>IF(AND(Main!$B$79="Straight Line",T$72&lt;=depr_length),$B93/depr_length,IF(AND(Main!$B$79="MACRS",T$72&lt;=depr_length+1),$B93*INDEX(MACRS_table,MATCH(T$72,recovery_year,0),MATCH(depr_length,recovery_period,0)),""))</f>
        <v>93532.791471133271</v>
      </c>
      <c r="U93" s="195">
        <f>IF(AND(Main!$B$79="Straight Line",U$72&lt;=depr_length),$B93/depr_length,IF(AND(Main!$B$79="MACRS",U$72&lt;=depr_length+1),$B93*INDEX(MACRS_table,MATCH(U$72,recovery_year,0),MATCH(depr_length,recovery_period,0)),""))</f>
        <v>93553.75824797056</v>
      </c>
      <c r="V93" s="195">
        <f>IF(AND(Main!$B$79="Straight Line",V$72&lt;=depr_length),$B93/depr_length,IF(AND(Main!$B$79="MACRS",V$72&lt;=depr_length+1),$B93*INDEX(MACRS_table,MATCH(V$72,recovery_year,0),MATCH(depr_length,recovery_period,0)),""))</f>
        <v>93532.791471133271</v>
      </c>
      <c r="W93" s="195">
        <f>IF(AND(Main!$B$79="Straight Line",W$72&lt;=depr_length),$B93/depr_length,IF(AND(Main!$B$79="MACRS",W$72&lt;=depr_length+1),$B93*INDEX(MACRS_table,MATCH(W$72,recovery_year,0),MATCH(depr_length,recovery_period,0)),""))</f>
        <v>46776.87912398528</v>
      </c>
      <c r="X93" s="196" cm="1">
        <f t="array" ref="X93">SUMPRODUCT((ROW($C$73:$W$113)-MIN(ROW(C93:W133))=MIN(COLUMN(C93:W133))-COLUMN($C$73:$W$113))*($C$73:$W$113))</f>
        <v>38433991.133157901</v>
      </c>
    </row>
    <row r="94" spans="1:24" x14ac:dyDescent="0.15">
      <c r="A94" s="115">
        <v>21</v>
      </c>
      <c r="B94" s="194">
        <f t="shared" si="20"/>
        <v>292121248.43996918</v>
      </c>
      <c r="C94" s="195">
        <f>IF(AND(Main!$B$79="Straight Line",C$72&lt;=depr_length),$B94/depr_length,IF(AND(Main!$B$79="MACRS",C$72&lt;=depr_length+1),$B94*INDEX(MACRS_table,MATCH(C$72,recovery_year,0),MATCH(depr_length,recovery_period,0)),""))</f>
        <v>10954546.816498844</v>
      </c>
      <c r="D94" s="195">
        <f>IF(AND(Main!$B$79="Straight Line",D$72&lt;=depr_length),$B94/depr_length,IF(AND(Main!$B$79="MACRS",D$72&lt;=depr_length+1),$B94*INDEX(MACRS_table,MATCH(D$72,recovery_year,0),MATCH(depr_length,recovery_period,0)),""))</f>
        <v>21088232.924881376</v>
      </c>
      <c r="E94" s="195">
        <f>IF(AND(Main!$B$79="Straight Line",E$72&lt;=depr_length),$B94/depr_length,IF(AND(Main!$B$79="MACRS",E$72&lt;=depr_length+1),$B94*INDEX(MACRS_table,MATCH(E$72,recovery_year,0),MATCH(depr_length,recovery_period,0)),""))</f>
        <v>19504935.758336741</v>
      </c>
      <c r="F94" s="195">
        <f>IF(AND(Main!$B$79="Straight Line",F$72&lt;=depr_length),$B94/depr_length,IF(AND(Main!$B$79="MACRS",F$72&lt;=depr_length+1),$B94*INDEX(MACRS_table,MATCH(F$72,recovery_year,0),MATCH(depr_length,recovery_period,0)),""))</f>
        <v>18044329.516136896</v>
      </c>
      <c r="G94" s="195">
        <f>IF(AND(Main!$B$79="Straight Line",G$72&lt;=depr_length),$B94/depr_length,IF(AND(Main!$B$79="MACRS",G$72&lt;=depr_length+1),$B94*INDEX(MACRS_table,MATCH(G$72,recovery_year,0),MATCH(depr_length,recovery_period,0)),""))</f>
        <v>16688886.923375439</v>
      </c>
      <c r="H94" s="195">
        <f>IF(AND(Main!$B$79="Straight Line",H$72&lt;=depr_length),$B94/depr_length,IF(AND(Main!$B$79="MACRS",H$72&lt;=depr_length+1),$B94*INDEX(MACRS_table,MATCH(H$72,recovery_year,0),MATCH(depr_length,recovery_period,0)),""))</f>
        <v>15438607.980052372</v>
      </c>
      <c r="I94" s="195">
        <f>IF(AND(Main!$B$79="Straight Line",I$72&lt;=depr_length),$B94/depr_length,IF(AND(Main!$B$79="MACRS",I$72&lt;=depr_length+1),$B94*INDEX(MACRS_table,MATCH(I$72,recovery_year,0),MATCH(depr_length,recovery_period,0)),""))</f>
        <v>14278886.623745693</v>
      </c>
      <c r="J94" s="195">
        <f>IF(AND(Main!$B$79="Straight Line",J$72&lt;=depr_length),$B94/depr_length,IF(AND(Main!$B$79="MACRS",J$72&lt;=depr_length+1),$B94*INDEX(MACRS_table,MATCH(J$72,recovery_year,0),MATCH(depr_length,recovery_period,0)),""))</f>
        <v>13209722.854455408</v>
      </c>
      <c r="K94" s="195">
        <f>IF(AND(Main!$B$79="Straight Line",K$72&lt;=depr_length),$B94/depr_length,IF(AND(Main!$B$79="MACRS",K$72&lt;=depr_length+1),$B94*INDEX(MACRS_table,MATCH(K$72,recovery_year,0),MATCH(depr_length,recovery_period,0)),""))</f>
        <v>13034450.105391424</v>
      </c>
      <c r="L94" s="195">
        <f>IF(AND(Main!$B$79="Straight Line",L$72&lt;=depr_length),$B94/depr_length,IF(AND(Main!$B$79="MACRS",L$72&lt;=depr_length+1),$B94*INDEX(MACRS_table,MATCH(L$72,recovery_year,0),MATCH(depr_length,recovery_period,0)),""))</f>
        <v>13031528.892907023</v>
      </c>
      <c r="M94" s="195">
        <f>IF(AND(Main!$B$79="Straight Line",M$72&lt;=depr_length),$B94/depr_length,IF(AND(Main!$B$79="MACRS",M$72&lt;=depr_length+1),$B94*INDEX(MACRS_table,MATCH(M$72,recovery_year,0),MATCH(depr_length,recovery_period,0)),""))</f>
        <v>13034450.105391424</v>
      </c>
      <c r="N94" s="195">
        <f>IF(AND(Main!$B$79="Straight Line",N$72&lt;=depr_length),$B94/depr_length,IF(AND(Main!$B$79="MACRS",N$72&lt;=depr_length+1),$B94*INDEX(MACRS_table,MATCH(N$72,recovery_year,0),MATCH(depr_length,recovery_period,0)),""))</f>
        <v>13031528.892907023</v>
      </c>
      <c r="O94" s="195">
        <f>IF(AND(Main!$B$79="Straight Line",O$72&lt;=depr_length),$B94/depr_length,IF(AND(Main!$B$79="MACRS",O$72&lt;=depr_length+1),$B94*INDEX(MACRS_table,MATCH(O$72,recovery_year,0),MATCH(depr_length,recovery_period,0)),""))</f>
        <v>13034450.105391424</v>
      </c>
      <c r="P94" s="195">
        <f>IF(AND(Main!$B$79="Straight Line",P$72&lt;=depr_length),$B94/depr_length,IF(AND(Main!$B$79="MACRS",P$72&lt;=depr_length+1),$B94*INDEX(MACRS_table,MATCH(P$72,recovery_year,0),MATCH(depr_length,recovery_period,0)),""))</f>
        <v>13031528.892907023</v>
      </c>
      <c r="Q94" s="195">
        <f>IF(AND(Main!$B$79="Straight Line",Q$72&lt;=depr_length),$B94/depr_length,IF(AND(Main!$B$79="MACRS",Q$72&lt;=depr_length+1),$B94*INDEX(MACRS_table,MATCH(Q$72,recovery_year,0),MATCH(depr_length,recovery_period,0)),""))</f>
        <v>13034450.105391424</v>
      </c>
      <c r="R94" s="195">
        <f>IF(AND(Main!$B$79="Straight Line",R$72&lt;=depr_length),$B94/depr_length,IF(AND(Main!$B$79="MACRS",R$72&lt;=depr_length+1),$B94*INDEX(MACRS_table,MATCH(R$72,recovery_year,0),MATCH(depr_length,recovery_period,0)),""))</f>
        <v>13031528.892907023</v>
      </c>
      <c r="S94" s="195">
        <f>IF(AND(Main!$B$79="Straight Line",S$72&lt;=depr_length),$B94/depr_length,IF(AND(Main!$B$79="MACRS",S$72&lt;=depr_length+1),$B94*INDEX(MACRS_table,MATCH(S$72,recovery_year,0),MATCH(depr_length,recovery_period,0)),""))</f>
        <v>13034450.105391424</v>
      </c>
      <c r="T94" s="195">
        <f>IF(AND(Main!$B$79="Straight Line",T$72&lt;=depr_length),$B94/depr_length,IF(AND(Main!$B$79="MACRS",T$72&lt;=depr_length+1),$B94*INDEX(MACRS_table,MATCH(T$72,recovery_year,0),MATCH(depr_length,recovery_period,0)),""))</f>
        <v>13031528.892907023</v>
      </c>
      <c r="U94" s="195">
        <f>IF(AND(Main!$B$79="Straight Line",U$72&lt;=depr_length),$B94/depr_length,IF(AND(Main!$B$79="MACRS",U$72&lt;=depr_length+1),$B94*INDEX(MACRS_table,MATCH(U$72,recovery_year,0),MATCH(depr_length,recovery_period,0)),""))</f>
        <v>13034450.105391424</v>
      </c>
      <c r="V94" s="195">
        <f>IF(AND(Main!$B$79="Straight Line",V$72&lt;=depr_length),$B94/depr_length,IF(AND(Main!$B$79="MACRS",V$72&lt;=depr_length+1),$B94*INDEX(MACRS_table,MATCH(V$72,recovery_year,0),MATCH(depr_length,recovery_period,0)),""))</f>
        <v>13031528.892907023</v>
      </c>
      <c r="W94" s="195">
        <f>IF(AND(Main!$B$79="Straight Line",W$72&lt;=depr_length),$B94/depr_length,IF(AND(Main!$B$79="MACRS",W$72&lt;=depr_length+1),$B94*INDEX(MACRS_table,MATCH(W$72,recovery_year,0),MATCH(depr_length,recovery_period,0)),""))</f>
        <v>6517225.0526957121</v>
      </c>
      <c r="X94" s="196" cm="1">
        <f t="array" ref="X94">SUMPRODUCT((ROW($C$73:$W$113)-MIN(ROW(C94:W134))=MIN(COLUMN(C94:W134))-COLUMN($C$73:$W$113))*($C$73:$W$113))</f>
        <v>40348013.257687859</v>
      </c>
    </row>
    <row r="95" spans="1:24" x14ac:dyDescent="0.15">
      <c r="A95" s="115">
        <v>22</v>
      </c>
      <c r="B95" s="194">
        <f t="shared" si="20"/>
        <v>2177108.3363541225</v>
      </c>
      <c r="C95" s="195">
        <f>IF(AND(Main!$B$79="Straight Line",C$72&lt;=depr_length),$B95/depr_length,IF(AND(Main!$B$79="MACRS",C$72&lt;=depr_length+1),$B95*INDEX(MACRS_table,MATCH(C$72,recovery_year,0),MATCH(depr_length,recovery_period,0)),""))</f>
        <v>81641.562613279588</v>
      </c>
      <c r="D95" s="195">
        <f>IF(AND(Main!$B$79="Straight Line",D$72&lt;=depr_length),$B95/depr_length,IF(AND(Main!$B$79="MACRS",D$72&lt;=depr_length+1),$B95*INDEX(MACRS_table,MATCH(D$72,recovery_year,0),MATCH(depr_length,recovery_period,0)),""))</f>
        <v>157165.45080140411</v>
      </c>
      <c r="E95" s="195">
        <f>IF(AND(Main!$B$79="Straight Line",E$72&lt;=depr_length),$B95/depr_length,IF(AND(Main!$B$79="MACRS",E$72&lt;=depr_length+1),$B95*INDEX(MACRS_table,MATCH(E$72,recovery_year,0),MATCH(depr_length,recovery_period,0)),""))</f>
        <v>145365.52361836476</v>
      </c>
      <c r="F95" s="195">
        <f>IF(AND(Main!$B$79="Straight Line",F$72&lt;=depr_length),$B95/depr_length,IF(AND(Main!$B$79="MACRS",F$72&lt;=depr_length+1),$B95*INDEX(MACRS_table,MATCH(F$72,recovery_year,0),MATCH(depr_length,recovery_period,0)),""))</f>
        <v>134479.98193659415</v>
      </c>
      <c r="G95" s="195">
        <f>IF(AND(Main!$B$79="Straight Line",G$72&lt;=depr_length),$B95/depr_length,IF(AND(Main!$B$79="MACRS",G$72&lt;=depr_length+1),$B95*INDEX(MACRS_table,MATCH(G$72,recovery_year,0),MATCH(depr_length,recovery_period,0)),""))</f>
        <v>124378.19925591102</v>
      </c>
      <c r="H95" s="195">
        <f>IF(AND(Main!$B$79="Straight Line",H$72&lt;=depr_length),$B95/depr_length,IF(AND(Main!$B$79="MACRS",H$72&lt;=depr_length+1),$B95*INDEX(MACRS_table,MATCH(H$72,recovery_year,0),MATCH(depr_length,recovery_period,0)),""))</f>
        <v>115060.17557631538</v>
      </c>
      <c r="I95" s="195">
        <f>IF(AND(Main!$B$79="Straight Line",I$72&lt;=depr_length),$B95/depr_length,IF(AND(Main!$B$79="MACRS",I$72&lt;=depr_length+1),$B95*INDEX(MACRS_table,MATCH(I$72,recovery_year,0),MATCH(depr_length,recovery_period,0)),""))</f>
        <v>106417.05548098951</v>
      </c>
      <c r="J95" s="195">
        <f>IF(AND(Main!$B$79="Straight Line",J$72&lt;=depr_length),$B95/depr_length,IF(AND(Main!$B$79="MACRS",J$72&lt;=depr_length+1),$B95*INDEX(MACRS_table,MATCH(J$72,recovery_year,0),MATCH(depr_length,recovery_period,0)),""))</f>
        <v>98448.838969933422</v>
      </c>
      <c r="K95" s="195">
        <f>IF(AND(Main!$B$79="Straight Line",K$72&lt;=depr_length),$B95/depr_length,IF(AND(Main!$B$79="MACRS",K$72&lt;=depr_length+1),$B95*INDEX(MACRS_table,MATCH(K$72,recovery_year,0),MATCH(depr_length,recovery_period,0)),""))</f>
        <v>97142.573968120952</v>
      </c>
      <c r="L95" s="195">
        <f>IF(AND(Main!$B$79="Straight Line",L$72&lt;=depr_length),$B95/depr_length,IF(AND(Main!$B$79="MACRS",L$72&lt;=depr_length+1),$B95*INDEX(MACRS_table,MATCH(L$72,recovery_year,0),MATCH(depr_length,recovery_period,0)),""))</f>
        <v>97120.802884757402</v>
      </c>
      <c r="M95" s="195">
        <f>IF(AND(Main!$B$79="Straight Line",M$72&lt;=depr_length),$B95/depr_length,IF(AND(Main!$B$79="MACRS",M$72&lt;=depr_length+1),$B95*INDEX(MACRS_table,MATCH(M$72,recovery_year,0),MATCH(depr_length,recovery_period,0)),""))</f>
        <v>97142.573968120952</v>
      </c>
      <c r="N95" s="195">
        <f>IF(AND(Main!$B$79="Straight Line",N$72&lt;=depr_length),$B95/depr_length,IF(AND(Main!$B$79="MACRS",N$72&lt;=depr_length+1),$B95*INDEX(MACRS_table,MATCH(N$72,recovery_year,0),MATCH(depr_length,recovery_period,0)),""))</f>
        <v>97120.802884757402</v>
      </c>
      <c r="O95" s="195">
        <f>IF(AND(Main!$B$79="Straight Line",O$72&lt;=depr_length),$B95/depr_length,IF(AND(Main!$B$79="MACRS",O$72&lt;=depr_length+1),$B95*INDEX(MACRS_table,MATCH(O$72,recovery_year,0),MATCH(depr_length,recovery_period,0)),""))</f>
        <v>97142.573968120952</v>
      </c>
      <c r="P95" s="195">
        <f>IF(AND(Main!$B$79="Straight Line",P$72&lt;=depr_length),$B95/depr_length,IF(AND(Main!$B$79="MACRS",P$72&lt;=depr_length+1),$B95*INDEX(MACRS_table,MATCH(P$72,recovery_year,0),MATCH(depr_length,recovery_period,0)),""))</f>
        <v>97120.802884757402</v>
      </c>
      <c r="Q95" s="195">
        <f>IF(AND(Main!$B$79="Straight Line",Q$72&lt;=depr_length),$B95/depr_length,IF(AND(Main!$B$79="MACRS",Q$72&lt;=depr_length+1),$B95*INDEX(MACRS_table,MATCH(Q$72,recovery_year,0),MATCH(depr_length,recovery_period,0)),""))</f>
        <v>97142.573968120952</v>
      </c>
      <c r="R95" s="195">
        <f>IF(AND(Main!$B$79="Straight Line",R$72&lt;=depr_length),$B95/depr_length,IF(AND(Main!$B$79="MACRS",R$72&lt;=depr_length+1),$B95*INDEX(MACRS_table,MATCH(R$72,recovery_year,0),MATCH(depr_length,recovery_period,0)),""))</f>
        <v>97120.802884757402</v>
      </c>
      <c r="S95" s="195">
        <f>IF(AND(Main!$B$79="Straight Line",S$72&lt;=depr_length),$B95/depr_length,IF(AND(Main!$B$79="MACRS",S$72&lt;=depr_length+1),$B95*INDEX(MACRS_table,MATCH(S$72,recovery_year,0),MATCH(depr_length,recovery_period,0)),""))</f>
        <v>97142.573968120952</v>
      </c>
      <c r="T95" s="195">
        <f>IF(AND(Main!$B$79="Straight Line",T$72&lt;=depr_length),$B95/depr_length,IF(AND(Main!$B$79="MACRS",T$72&lt;=depr_length+1),$B95*INDEX(MACRS_table,MATCH(T$72,recovery_year,0),MATCH(depr_length,recovery_period,0)),""))</f>
        <v>97120.802884757402</v>
      </c>
      <c r="U95" s="195">
        <f>IF(AND(Main!$B$79="Straight Line",U$72&lt;=depr_length),$B95/depr_length,IF(AND(Main!$B$79="MACRS",U$72&lt;=depr_length+1),$B95*INDEX(MACRS_table,MATCH(U$72,recovery_year,0),MATCH(depr_length,recovery_period,0)),""))</f>
        <v>97142.573968120952</v>
      </c>
      <c r="V95" s="195">
        <f>IF(AND(Main!$B$79="Straight Line",V$72&lt;=depr_length),$B95/depr_length,IF(AND(Main!$B$79="MACRS",V$72&lt;=depr_length+1),$B95*INDEX(MACRS_table,MATCH(V$72,recovery_year,0),MATCH(depr_length,recovery_period,0)),""))</f>
        <v>97120.802884757402</v>
      </c>
      <c r="W95" s="195">
        <f>IF(AND(Main!$B$79="Straight Line",W$72&lt;=depr_length),$B95/depr_length,IF(AND(Main!$B$79="MACRS",W$72&lt;=depr_length+1),$B95*INDEX(MACRS_table,MATCH(W$72,recovery_year,0),MATCH(depr_length,recovery_period,0)),""))</f>
        <v>48571.286984060476</v>
      </c>
      <c r="X95" s="196" cm="1">
        <f t="array" ref="X95">SUMPRODUCT((ROW($C$73:$W$113)-MIN(ROW(C95:W135))=MIN(COLUMN(C95:W135))-COLUMN($C$73:$W$113))*($C$73:$W$113))</f>
        <v>41437256.313409448</v>
      </c>
    </row>
    <row r="96" spans="1:24" x14ac:dyDescent="0.15">
      <c r="A96" s="115">
        <v>23</v>
      </c>
      <c r="B96" s="194">
        <f t="shared" si="20"/>
        <v>2218473.3947448512</v>
      </c>
      <c r="C96" s="195">
        <f>IF(AND(Main!$B$79="Straight Line",C$72&lt;=depr_length),$B96/depr_length,IF(AND(Main!$B$79="MACRS",C$72&lt;=depr_length+1),$B96*INDEX(MACRS_table,MATCH(C$72,recovery_year,0),MATCH(depr_length,recovery_period,0)),""))</f>
        <v>83192.752302931913</v>
      </c>
      <c r="D96" s="195">
        <f>IF(AND(Main!$B$79="Straight Line",D$72&lt;=depr_length),$B96/depr_length,IF(AND(Main!$B$79="MACRS",D$72&lt;=depr_length+1),$B96*INDEX(MACRS_table,MATCH(D$72,recovery_year,0),MATCH(depr_length,recovery_period,0)),""))</f>
        <v>160151.5943666308</v>
      </c>
      <c r="E96" s="195">
        <f>IF(AND(Main!$B$79="Straight Line",E$72&lt;=depr_length),$B96/depr_length,IF(AND(Main!$B$79="MACRS",E$72&lt;=depr_length+1),$B96*INDEX(MACRS_table,MATCH(E$72,recovery_year,0),MATCH(depr_length,recovery_period,0)),""))</f>
        <v>148127.46856711371</v>
      </c>
      <c r="F96" s="195">
        <f>IF(AND(Main!$B$79="Straight Line",F$72&lt;=depr_length),$B96/depr_length,IF(AND(Main!$B$79="MACRS",F$72&lt;=depr_length+1),$B96*INDEX(MACRS_table,MATCH(F$72,recovery_year,0),MATCH(depr_length,recovery_period,0)),""))</f>
        <v>137035.10159338947</v>
      </c>
      <c r="G96" s="195">
        <f>IF(AND(Main!$B$79="Straight Line",G$72&lt;=depr_length),$B96/depr_length,IF(AND(Main!$B$79="MACRS",G$72&lt;=depr_length+1),$B96*INDEX(MACRS_table,MATCH(G$72,recovery_year,0),MATCH(depr_length,recovery_period,0)),""))</f>
        <v>126741.38504177335</v>
      </c>
      <c r="H96" s="195">
        <f>IF(AND(Main!$B$79="Straight Line",H$72&lt;=depr_length),$B96/depr_length,IF(AND(Main!$B$79="MACRS",H$72&lt;=depr_length+1),$B96*INDEX(MACRS_table,MATCH(H$72,recovery_year,0),MATCH(depr_length,recovery_period,0)),""))</f>
        <v>117246.31891226539</v>
      </c>
      <c r="I96" s="195">
        <f>IF(AND(Main!$B$79="Straight Line",I$72&lt;=depr_length),$B96/depr_length,IF(AND(Main!$B$79="MACRS",I$72&lt;=depr_length+1),$B96*INDEX(MACRS_table,MATCH(I$72,recovery_year,0),MATCH(depr_length,recovery_period,0)),""))</f>
        <v>108438.97953512832</v>
      </c>
      <c r="J96" s="195">
        <f>IF(AND(Main!$B$79="Straight Line",J$72&lt;=depr_length),$B96/depr_length,IF(AND(Main!$B$79="MACRS",J$72&lt;=depr_length+1),$B96*INDEX(MACRS_table,MATCH(J$72,recovery_year,0),MATCH(depr_length,recovery_period,0)),""))</f>
        <v>100319.36691036218</v>
      </c>
      <c r="K96" s="195">
        <f>IF(AND(Main!$B$79="Straight Line",K$72&lt;=depr_length),$B96/depr_length,IF(AND(Main!$B$79="MACRS",K$72&lt;=depr_length+1),$B96*INDEX(MACRS_table,MATCH(K$72,recovery_year,0),MATCH(depr_length,recovery_period,0)),""))</f>
        <v>98988.282873515258</v>
      </c>
      <c r="L96" s="195">
        <f>IF(AND(Main!$B$79="Straight Line",L$72&lt;=depr_length),$B96/depr_length,IF(AND(Main!$B$79="MACRS",L$72&lt;=depr_length+1),$B96*INDEX(MACRS_table,MATCH(L$72,recovery_year,0),MATCH(depr_length,recovery_period,0)),""))</f>
        <v>98966.09813956781</v>
      </c>
      <c r="M96" s="195">
        <f>IF(AND(Main!$B$79="Straight Line",M$72&lt;=depr_length),$B96/depr_length,IF(AND(Main!$B$79="MACRS",M$72&lt;=depr_length+1),$B96*INDEX(MACRS_table,MATCH(M$72,recovery_year,0),MATCH(depr_length,recovery_period,0)),""))</f>
        <v>98988.282873515258</v>
      </c>
      <c r="N96" s="195">
        <f>IF(AND(Main!$B$79="Straight Line",N$72&lt;=depr_length),$B96/depr_length,IF(AND(Main!$B$79="MACRS",N$72&lt;=depr_length+1),$B96*INDEX(MACRS_table,MATCH(N$72,recovery_year,0),MATCH(depr_length,recovery_period,0)),""))</f>
        <v>98966.09813956781</v>
      </c>
      <c r="O96" s="195">
        <f>IF(AND(Main!$B$79="Straight Line",O$72&lt;=depr_length),$B96/depr_length,IF(AND(Main!$B$79="MACRS",O$72&lt;=depr_length+1),$B96*INDEX(MACRS_table,MATCH(O$72,recovery_year,0),MATCH(depr_length,recovery_period,0)),""))</f>
        <v>98988.282873515258</v>
      </c>
      <c r="P96" s="195">
        <f>IF(AND(Main!$B$79="Straight Line",P$72&lt;=depr_length),$B96/depr_length,IF(AND(Main!$B$79="MACRS",P$72&lt;=depr_length+1),$B96*INDEX(MACRS_table,MATCH(P$72,recovery_year,0),MATCH(depr_length,recovery_period,0)),""))</f>
        <v>98966.09813956781</v>
      </c>
      <c r="Q96" s="195">
        <f>IF(AND(Main!$B$79="Straight Line",Q$72&lt;=depr_length),$B96/depr_length,IF(AND(Main!$B$79="MACRS",Q$72&lt;=depr_length+1),$B96*INDEX(MACRS_table,MATCH(Q$72,recovery_year,0),MATCH(depr_length,recovery_period,0)),""))</f>
        <v>98988.282873515258</v>
      </c>
      <c r="R96" s="195">
        <f>IF(AND(Main!$B$79="Straight Line",R$72&lt;=depr_length),$B96/depr_length,IF(AND(Main!$B$79="MACRS",R$72&lt;=depr_length+1),$B96*INDEX(MACRS_table,MATCH(R$72,recovery_year,0),MATCH(depr_length,recovery_period,0)),""))</f>
        <v>98966.09813956781</v>
      </c>
      <c r="S96" s="195">
        <f>IF(AND(Main!$B$79="Straight Line",S$72&lt;=depr_length),$B96/depr_length,IF(AND(Main!$B$79="MACRS",S$72&lt;=depr_length+1),$B96*INDEX(MACRS_table,MATCH(S$72,recovery_year,0),MATCH(depr_length,recovery_period,0)),""))</f>
        <v>98988.282873515258</v>
      </c>
      <c r="T96" s="195">
        <f>IF(AND(Main!$B$79="Straight Line",T$72&lt;=depr_length),$B96/depr_length,IF(AND(Main!$B$79="MACRS",T$72&lt;=depr_length+1),$B96*INDEX(MACRS_table,MATCH(T$72,recovery_year,0),MATCH(depr_length,recovery_period,0)),""))</f>
        <v>98966.09813956781</v>
      </c>
      <c r="U96" s="195">
        <f>IF(AND(Main!$B$79="Straight Line",U$72&lt;=depr_length),$B96/depr_length,IF(AND(Main!$B$79="MACRS",U$72&lt;=depr_length+1),$B96*INDEX(MACRS_table,MATCH(U$72,recovery_year,0),MATCH(depr_length,recovery_period,0)),""))</f>
        <v>98988.282873515258</v>
      </c>
      <c r="V96" s="195">
        <f>IF(AND(Main!$B$79="Straight Line",V$72&lt;=depr_length),$B96/depr_length,IF(AND(Main!$B$79="MACRS",V$72&lt;=depr_length+1),$B96*INDEX(MACRS_table,MATCH(V$72,recovery_year,0),MATCH(depr_length,recovery_period,0)),""))</f>
        <v>98966.09813956781</v>
      </c>
      <c r="W96" s="195">
        <f>IF(AND(Main!$B$79="Straight Line",W$72&lt;=depr_length),$B96/depr_length,IF(AND(Main!$B$79="MACRS",W$72&lt;=depr_length+1),$B96*INDEX(MACRS_table,MATCH(W$72,recovery_year,0),MATCH(depr_length,recovery_period,0)),""))</f>
        <v>49494.141436757629</v>
      </c>
      <c r="X96" s="196" cm="1">
        <f t="array" ref="X96">SUMPRODUCT((ROW($C$73:$W$113)-MIN(ROW(C96:W136))=MIN(COLUMN(C96:W136))-COLUMN($C$73:$W$113))*($C$73:$W$113))</f>
        <v>39563564.812216714</v>
      </c>
    </row>
    <row r="97" spans="1:24" x14ac:dyDescent="0.15">
      <c r="A97" s="115">
        <v>24</v>
      </c>
      <c r="B97" s="194">
        <f t="shared" si="20"/>
        <v>2260624.389245003</v>
      </c>
      <c r="C97" s="195">
        <f>IF(AND(Main!$B$79="Straight Line",C$72&lt;=depr_length),$B97/depr_length,IF(AND(Main!$B$79="MACRS",C$72&lt;=depr_length+1),$B97*INDEX(MACRS_table,MATCH(C$72,recovery_year,0),MATCH(depr_length,recovery_period,0)),""))</f>
        <v>84773.414596687609</v>
      </c>
      <c r="D97" s="195">
        <f>IF(AND(Main!$B$79="Straight Line",D$72&lt;=depr_length),$B97/depr_length,IF(AND(Main!$B$79="MACRS",D$72&lt;=depr_length+1),$B97*INDEX(MACRS_table,MATCH(D$72,recovery_year,0),MATCH(depr_length,recovery_period,0)),""))</f>
        <v>163194.47465959677</v>
      </c>
      <c r="E97" s="195">
        <f>IF(AND(Main!$B$79="Straight Line",E$72&lt;=depr_length),$B97/depr_length,IF(AND(Main!$B$79="MACRS",E$72&lt;=depr_length+1),$B97*INDEX(MACRS_table,MATCH(E$72,recovery_year,0),MATCH(depr_length,recovery_period,0)),""))</f>
        <v>150941.89046988884</v>
      </c>
      <c r="F97" s="195">
        <f>IF(AND(Main!$B$79="Straight Line",F$72&lt;=depr_length),$B97/depr_length,IF(AND(Main!$B$79="MACRS",F$72&lt;=depr_length+1),$B97*INDEX(MACRS_table,MATCH(F$72,recovery_year,0),MATCH(depr_length,recovery_period,0)),""))</f>
        <v>139638.76852366384</v>
      </c>
      <c r="G97" s="195">
        <f>IF(AND(Main!$B$79="Straight Line",G$72&lt;=depr_length),$B97/depr_length,IF(AND(Main!$B$79="MACRS",G$72&lt;=depr_length+1),$B97*INDEX(MACRS_table,MATCH(G$72,recovery_year,0),MATCH(depr_length,recovery_period,0)),""))</f>
        <v>129149.47135756702</v>
      </c>
      <c r="H97" s="195">
        <f>IF(AND(Main!$B$79="Straight Line",H$72&lt;=depr_length),$B97/depr_length,IF(AND(Main!$B$79="MACRS",H$72&lt;=depr_length+1),$B97*INDEX(MACRS_table,MATCH(H$72,recovery_year,0),MATCH(depr_length,recovery_period,0)),""))</f>
        <v>119473.99897159841</v>
      </c>
      <c r="I97" s="195">
        <f>IF(AND(Main!$B$79="Straight Line",I$72&lt;=depr_length),$B97/depr_length,IF(AND(Main!$B$79="MACRS",I$72&lt;=depr_length+1),$B97*INDEX(MACRS_table,MATCH(I$72,recovery_year,0),MATCH(depr_length,recovery_period,0)),""))</f>
        <v>110499.32014629575</v>
      </c>
      <c r="J97" s="195">
        <f>IF(AND(Main!$B$79="Straight Line",J$72&lt;=depr_length),$B97/depr_length,IF(AND(Main!$B$79="MACRS",J$72&lt;=depr_length+1),$B97*INDEX(MACRS_table,MATCH(J$72,recovery_year,0),MATCH(depr_length,recovery_period,0)),""))</f>
        <v>102225.43488165905</v>
      </c>
      <c r="K97" s="195">
        <f>IF(AND(Main!$B$79="Straight Line",K$72&lt;=depr_length),$B97/depr_length,IF(AND(Main!$B$79="MACRS",K$72&lt;=depr_length+1),$B97*INDEX(MACRS_table,MATCH(K$72,recovery_year,0),MATCH(depr_length,recovery_period,0)),""))</f>
        <v>100869.06024811203</v>
      </c>
      <c r="L97" s="195">
        <f>IF(AND(Main!$B$79="Straight Line",L$72&lt;=depr_length),$B97/depr_length,IF(AND(Main!$B$79="MACRS",L$72&lt;=depr_length+1),$B97*INDEX(MACRS_table,MATCH(L$72,recovery_year,0),MATCH(depr_length,recovery_period,0)),""))</f>
        <v>100846.45400421957</v>
      </c>
      <c r="M97" s="195">
        <f>IF(AND(Main!$B$79="Straight Line",M$72&lt;=depr_length),$B97/depr_length,IF(AND(Main!$B$79="MACRS",M$72&lt;=depr_length+1),$B97*INDEX(MACRS_table,MATCH(M$72,recovery_year,0),MATCH(depr_length,recovery_period,0)),""))</f>
        <v>100869.06024811203</v>
      </c>
      <c r="N97" s="195">
        <f>IF(AND(Main!$B$79="Straight Line",N$72&lt;=depr_length),$B97/depr_length,IF(AND(Main!$B$79="MACRS",N$72&lt;=depr_length+1),$B97*INDEX(MACRS_table,MATCH(N$72,recovery_year,0),MATCH(depr_length,recovery_period,0)),""))</f>
        <v>100846.45400421957</v>
      </c>
      <c r="O97" s="195">
        <f>IF(AND(Main!$B$79="Straight Line",O$72&lt;=depr_length),$B97/depr_length,IF(AND(Main!$B$79="MACRS",O$72&lt;=depr_length+1),$B97*INDEX(MACRS_table,MATCH(O$72,recovery_year,0),MATCH(depr_length,recovery_period,0)),""))</f>
        <v>100869.06024811203</v>
      </c>
      <c r="P97" s="195">
        <f>IF(AND(Main!$B$79="Straight Line",P$72&lt;=depr_length),$B97/depr_length,IF(AND(Main!$B$79="MACRS",P$72&lt;=depr_length+1),$B97*INDEX(MACRS_table,MATCH(P$72,recovery_year,0),MATCH(depr_length,recovery_period,0)),""))</f>
        <v>100846.45400421957</v>
      </c>
      <c r="Q97" s="195">
        <f>IF(AND(Main!$B$79="Straight Line",Q$72&lt;=depr_length),$B97/depr_length,IF(AND(Main!$B$79="MACRS",Q$72&lt;=depr_length+1),$B97*INDEX(MACRS_table,MATCH(Q$72,recovery_year,0),MATCH(depr_length,recovery_period,0)),""))</f>
        <v>100869.06024811203</v>
      </c>
      <c r="R97" s="195">
        <f>IF(AND(Main!$B$79="Straight Line",R$72&lt;=depr_length),$B97/depr_length,IF(AND(Main!$B$79="MACRS",R$72&lt;=depr_length+1),$B97*INDEX(MACRS_table,MATCH(R$72,recovery_year,0),MATCH(depr_length,recovery_period,0)),""))</f>
        <v>100846.45400421957</v>
      </c>
      <c r="S97" s="195">
        <f>IF(AND(Main!$B$79="Straight Line",S$72&lt;=depr_length),$B97/depr_length,IF(AND(Main!$B$79="MACRS",S$72&lt;=depr_length+1),$B97*INDEX(MACRS_table,MATCH(S$72,recovery_year,0),MATCH(depr_length,recovery_period,0)),""))</f>
        <v>100869.06024811203</v>
      </c>
      <c r="T97" s="195">
        <f>IF(AND(Main!$B$79="Straight Line",T$72&lt;=depr_length),$B97/depr_length,IF(AND(Main!$B$79="MACRS",T$72&lt;=depr_length+1),$B97*INDEX(MACRS_table,MATCH(T$72,recovery_year,0),MATCH(depr_length,recovery_period,0)),""))</f>
        <v>100846.45400421957</v>
      </c>
      <c r="U97" s="195">
        <f>IF(AND(Main!$B$79="Straight Line",U$72&lt;=depr_length),$B97/depr_length,IF(AND(Main!$B$79="MACRS",U$72&lt;=depr_length+1),$B97*INDEX(MACRS_table,MATCH(U$72,recovery_year,0),MATCH(depr_length,recovery_period,0)),""))</f>
        <v>100869.06024811203</v>
      </c>
      <c r="V97" s="195">
        <f>IF(AND(Main!$B$79="Straight Line",V$72&lt;=depr_length),$B97/depr_length,IF(AND(Main!$B$79="MACRS",V$72&lt;=depr_length+1),$B97*INDEX(MACRS_table,MATCH(V$72,recovery_year,0),MATCH(depr_length,recovery_period,0)),""))</f>
        <v>100846.45400421957</v>
      </c>
      <c r="W97" s="195">
        <f>IF(AND(Main!$B$79="Straight Line",W$72&lt;=depr_length),$B97/depr_length,IF(AND(Main!$B$79="MACRS",W$72&lt;=depr_length+1),$B97*INDEX(MACRS_table,MATCH(W$72,recovery_year,0),MATCH(depr_length,recovery_period,0)),""))</f>
        <v>50434.530124056015</v>
      </c>
      <c r="X97" s="196" cm="1">
        <f t="array" ref="X97">SUMPRODUCT((ROW($C$73:$W$113)-MIN(ROW(C97:W137))=MIN(COLUMN(C97:W137))-COLUMN($C$73:$W$113))*($C$73:$W$113))</f>
        <v>38092186.264443256</v>
      </c>
    </row>
    <row r="98" spans="1:24" x14ac:dyDescent="0.15">
      <c r="A98" s="115">
        <v>25</v>
      </c>
      <c r="B98" s="194">
        <f t="shared" si="20"/>
        <v>2303576.2526406581</v>
      </c>
      <c r="C98" s="195">
        <f>IF(AND(Main!$B$79="Straight Line",C$72&lt;=depr_length),$B98/depr_length,IF(AND(Main!$B$79="MACRS",C$72&lt;=depr_length+1),$B98*INDEX(MACRS_table,MATCH(C$72,recovery_year,0),MATCH(depr_length,recovery_period,0)),""))</f>
        <v>86384.109474024677</v>
      </c>
      <c r="D98" s="195">
        <f>IF(AND(Main!$B$79="Straight Line",D$72&lt;=depr_length),$B98/depr_length,IF(AND(Main!$B$79="MACRS",D$72&lt;=depr_length+1),$B98*INDEX(MACRS_table,MATCH(D$72,recovery_year,0),MATCH(depr_length,recovery_period,0)),""))</f>
        <v>166295.16967812911</v>
      </c>
      <c r="E98" s="195">
        <f>IF(AND(Main!$B$79="Straight Line",E$72&lt;=depr_length),$B98/depr_length,IF(AND(Main!$B$79="MACRS",E$72&lt;=depr_length+1),$B98*INDEX(MACRS_table,MATCH(E$72,recovery_year,0),MATCH(depr_length,recovery_period,0)),""))</f>
        <v>153809.78638881672</v>
      </c>
      <c r="F98" s="195">
        <f>IF(AND(Main!$B$79="Straight Line",F$72&lt;=depr_length),$B98/depr_length,IF(AND(Main!$B$79="MACRS",F$72&lt;=depr_length+1),$B98*INDEX(MACRS_table,MATCH(F$72,recovery_year,0),MATCH(depr_length,recovery_period,0)),""))</f>
        <v>142291.90512561344</v>
      </c>
      <c r="G98" s="195">
        <f>IF(AND(Main!$B$79="Straight Line",G$72&lt;=depr_length),$B98/depr_length,IF(AND(Main!$B$79="MACRS",G$72&lt;=depr_length+1),$B98*INDEX(MACRS_table,MATCH(G$72,recovery_year,0),MATCH(depr_length,recovery_period,0)),""))</f>
        <v>131603.31131336078</v>
      </c>
      <c r="H98" s="195">
        <f>IF(AND(Main!$B$79="Straight Line",H$72&lt;=depr_length),$B98/depr_length,IF(AND(Main!$B$79="MACRS",H$72&lt;=depr_length+1),$B98*INDEX(MACRS_table,MATCH(H$72,recovery_year,0),MATCH(depr_length,recovery_period,0)),""))</f>
        <v>121744.00495205878</v>
      </c>
      <c r="I98" s="195">
        <f>IF(AND(Main!$B$79="Straight Line",I$72&lt;=depr_length),$B98/depr_length,IF(AND(Main!$B$79="MACRS",I$72&lt;=depr_length+1),$B98*INDEX(MACRS_table,MATCH(I$72,recovery_year,0),MATCH(depr_length,recovery_period,0)),""))</f>
        <v>112598.80722907536</v>
      </c>
      <c r="J98" s="195">
        <f>IF(AND(Main!$B$79="Straight Line",J$72&lt;=depr_length),$B98/depr_length,IF(AND(Main!$B$79="MACRS",J$72&lt;=depr_length+1),$B98*INDEX(MACRS_table,MATCH(J$72,recovery_year,0),MATCH(depr_length,recovery_period,0)),""))</f>
        <v>104167.71814441057</v>
      </c>
      <c r="K98" s="195">
        <f>IF(AND(Main!$B$79="Straight Line",K$72&lt;=depr_length),$B98/depr_length,IF(AND(Main!$B$79="MACRS",K$72&lt;=depr_length+1),$B98*INDEX(MACRS_table,MATCH(K$72,recovery_year,0),MATCH(depr_length,recovery_period,0)),""))</f>
        <v>102785.57239282616</v>
      </c>
      <c r="L98" s="195">
        <f>IF(AND(Main!$B$79="Straight Line",L$72&lt;=depr_length),$B98/depr_length,IF(AND(Main!$B$79="MACRS",L$72&lt;=depr_length+1),$B98*INDEX(MACRS_table,MATCH(L$72,recovery_year,0),MATCH(depr_length,recovery_period,0)),""))</f>
        <v>102762.53663029974</v>
      </c>
      <c r="M98" s="195">
        <f>IF(AND(Main!$B$79="Straight Line",M$72&lt;=depr_length),$B98/depr_length,IF(AND(Main!$B$79="MACRS",M$72&lt;=depr_length+1),$B98*INDEX(MACRS_table,MATCH(M$72,recovery_year,0),MATCH(depr_length,recovery_period,0)),""))</f>
        <v>102785.57239282616</v>
      </c>
      <c r="N98" s="195">
        <f>IF(AND(Main!$B$79="Straight Line",N$72&lt;=depr_length),$B98/depr_length,IF(AND(Main!$B$79="MACRS",N$72&lt;=depr_length+1),$B98*INDEX(MACRS_table,MATCH(N$72,recovery_year,0),MATCH(depr_length,recovery_period,0)),""))</f>
        <v>102762.53663029974</v>
      </c>
      <c r="O98" s="195">
        <f>IF(AND(Main!$B$79="Straight Line",O$72&lt;=depr_length),$B98/depr_length,IF(AND(Main!$B$79="MACRS",O$72&lt;=depr_length+1),$B98*INDEX(MACRS_table,MATCH(O$72,recovery_year,0),MATCH(depr_length,recovery_period,0)),""))</f>
        <v>102785.57239282616</v>
      </c>
      <c r="P98" s="195">
        <f>IF(AND(Main!$B$79="Straight Line",P$72&lt;=depr_length),$B98/depr_length,IF(AND(Main!$B$79="MACRS",P$72&lt;=depr_length+1),$B98*INDEX(MACRS_table,MATCH(P$72,recovery_year,0),MATCH(depr_length,recovery_period,0)),""))</f>
        <v>102762.53663029974</v>
      </c>
      <c r="Q98" s="195">
        <f>IF(AND(Main!$B$79="Straight Line",Q$72&lt;=depr_length),$B98/depr_length,IF(AND(Main!$B$79="MACRS",Q$72&lt;=depr_length+1),$B98*INDEX(MACRS_table,MATCH(Q$72,recovery_year,0),MATCH(depr_length,recovery_period,0)),""))</f>
        <v>102785.57239282616</v>
      </c>
      <c r="R98" s="195">
        <f>IF(AND(Main!$B$79="Straight Line",R$72&lt;=depr_length),$B98/depr_length,IF(AND(Main!$B$79="MACRS",R$72&lt;=depr_length+1),$B98*INDEX(MACRS_table,MATCH(R$72,recovery_year,0),MATCH(depr_length,recovery_period,0)),""))</f>
        <v>102762.53663029974</v>
      </c>
      <c r="S98" s="195">
        <f>IF(AND(Main!$B$79="Straight Line",S$72&lt;=depr_length),$B98/depr_length,IF(AND(Main!$B$79="MACRS",S$72&lt;=depr_length+1),$B98*INDEX(MACRS_table,MATCH(S$72,recovery_year,0),MATCH(depr_length,recovery_period,0)),""))</f>
        <v>102785.57239282616</v>
      </c>
      <c r="T98" s="195">
        <f>IF(AND(Main!$B$79="Straight Line",T$72&lt;=depr_length),$B98/depr_length,IF(AND(Main!$B$79="MACRS",T$72&lt;=depr_length+1),$B98*INDEX(MACRS_table,MATCH(T$72,recovery_year,0),MATCH(depr_length,recovery_period,0)),""))</f>
        <v>102762.53663029974</v>
      </c>
      <c r="U98" s="195">
        <f>IF(AND(Main!$B$79="Straight Line",U$72&lt;=depr_length),$B98/depr_length,IF(AND(Main!$B$79="MACRS",U$72&lt;=depr_length+1),$B98*INDEX(MACRS_table,MATCH(U$72,recovery_year,0),MATCH(depr_length,recovery_period,0)),""))</f>
        <v>102785.57239282616</v>
      </c>
      <c r="V98" s="195">
        <f>IF(AND(Main!$B$79="Straight Line",V$72&lt;=depr_length),$B98/depr_length,IF(AND(Main!$B$79="MACRS",V$72&lt;=depr_length+1),$B98*INDEX(MACRS_table,MATCH(V$72,recovery_year,0),MATCH(depr_length,recovery_period,0)),""))</f>
        <v>102762.53663029974</v>
      </c>
      <c r="W98" s="195">
        <f>IF(AND(Main!$B$79="Straight Line",W$72&lt;=depr_length),$B98/depr_length,IF(AND(Main!$B$79="MACRS",W$72&lt;=depr_length+1),$B98*INDEX(MACRS_table,MATCH(W$72,recovery_year,0),MATCH(depr_length,recovery_period,0)),""))</f>
        <v>51392.786196413079</v>
      </c>
      <c r="X98" s="196" cm="1">
        <f t="array" ref="X98">SUMPRODUCT((ROW($C$73:$W$113)-MIN(ROW(C98:W138))=MIN(COLUMN(C98:W138))-COLUMN($C$73:$W$113))*($C$73:$W$113))</f>
        <v>36783741.641575038</v>
      </c>
    </row>
    <row r="99" spans="1:24" x14ac:dyDescent="0.15">
      <c r="A99" s="115">
        <v>26</v>
      </c>
      <c r="B99" s="194">
        <f t="shared" si="20"/>
        <v>114033493.61716512</v>
      </c>
      <c r="C99" s="195">
        <f>IF(AND(Main!$B$79="Straight Line",C$72&lt;=depr_length),$B99/depr_length,IF(AND(Main!$B$79="MACRS",C$72&lt;=depr_length+1),$B99*INDEX(MACRS_table,MATCH(C$72,recovery_year,0),MATCH(depr_length,recovery_period,0)),""))</f>
        <v>4276256.0106436918</v>
      </c>
      <c r="D99" s="195">
        <f>IF(AND(Main!$B$79="Straight Line",D$72&lt;=depr_length),$B99/depr_length,IF(AND(Main!$B$79="MACRS",D$72&lt;=depr_length+1),$B99*INDEX(MACRS_table,MATCH(D$72,recovery_year,0),MATCH(depr_length,recovery_period,0)),""))</f>
        <v>8232077.9042231506</v>
      </c>
      <c r="E99" s="195">
        <f>IF(AND(Main!$B$79="Straight Line",E$72&lt;=depr_length),$B99/depr_length,IF(AND(Main!$B$79="MACRS",E$72&lt;=depr_length+1),$B99*INDEX(MACRS_table,MATCH(E$72,recovery_year,0),MATCH(depr_length,recovery_period,0)),""))</f>
        <v>7614016.3688181145</v>
      </c>
      <c r="F99" s="195">
        <f>IF(AND(Main!$B$79="Straight Line",F$72&lt;=depr_length),$B99/depr_length,IF(AND(Main!$B$79="MACRS",F$72&lt;=depr_length+1),$B99*INDEX(MACRS_table,MATCH(F$72,recovery_year,0),MATCH(depr_length,recovery_period,0)),""))</f>
        <v>7043848.9007322891</v>
      </c>
      <c r="G99" s="195">
        <f>IF(AND(Main!$B$79="Straight Line",G$72&lt;=depr_length),$B99/depr_length,IF(AND(Main!$B$79="MACRS",G$72&lt;=depr_length+1),$B99*INDEX(MACRS_table,MATCH(G$72,recovery_year,0),MATCH(depr_length,recovery_period,0)),""))</f>
        <v>6514733.4903486436</v>
      </c>
      <c r="H99" s="195">
        <f>IF(AND(Main!$B$79="Straight Line",H$72&lt;=depr_length),$B99/depr_length,IF(AND(Main!$B$79="MACRS",H$72&lt;=depr_length+1),$B99*INDEX(MACRS_table,MATCH(H$72,recovery_year,0),MATCH(depr_length,recovery_period,0)),""))</f>
        <v>6026670.1376671763</v>
      </c>
      <c r="I99" s="195">
        <f>IF(AND(Main!$B$79="Straight Line",I$72&lt;=depr_length),$B99/depr_length,IF(AND(Main!$B$79="MACRS",I$72&lt;=depr_length+1),$B99*INDEX(MACRS_table,MATCH(I$72,recovery_year,0),MATCH(depr_length,recovery_period,0)),""))</f>
        <v>5573957.1680070311</v>
      </c>
      <c r="J99" s="195">
        <f>IF(AND(Main!$B$79="Straight Line",J$72&lt;=depr_length),$B99/depr_length,IF(AND(Main!$B$79="MACRS",J$72&lt;=depr_length+1),$B99*INDEX(MACRS_table,MATCH(J$72,recovery_year,0),MATCH(depr_length,recovery_period,0)),""))</f>
        <v>5156594.581368207</v>
      </c>
      <c r="K99" s="195">
        <f>IF(AND(Main!$B$79="Straight Line",K$72&lt;=depr_length),$B99/depr_length,IF(AND(Main!$B$79="MACRS",K$72&lt;=depr_length+1),$B99*INDEX(MACRS_table,MATCH(K$72,recovery_year,0),MATCH(depr_length,recovery_period,0)),""))</f>
        <v>5088174.4851979073</v>
      </c>
      <c r="L99" s="195">
        <f>IF(AND(Main!$B$79="Straight Line",L$72&lt;=depr_length),$B99/depr_length,IF(AND(Main!$B$79="MACRS",L$72&lt;=depr_length+1),$B99*INDEX(MACRS_table,MATCH(L$72,recovery_year,0),MATCH(depr_length,recovery_period,0)),""))</f>
        <v>5087034.1502617355</v>
      </c>
      <c r="M99" s="195">
        <f>IF(AND(Main!$B$79="Straight Line",M$72&lt;=depr_length),$B99/depr_length,IF(AND(Main!$B$79="MACRS",M$72&lt;=depr_length+1),$B99*INDEX(MACRS_table,MATCH(M$72,recovery_year,0),MATCH(depr_length,recovery_period,0)),""))</f>
        <v>5088174.4851979073</v>
      </c>
      <c r="N99" s="195">
        <f>IF(AND(Main!$B$79="Straight Line",N$72&lt;=depr_length),$B99/depr_length,IF(AND(Main!$B$79="MACRS",N$72&lt;=depr_length+1),$B99*INDEX(MACRS_table,MATCH(N$72,recovery_year,0),MATCH(depr_length,recovery_period,0)),""))</f>
        <v>5087034.1502617355</v>
      </c>
      <c r="O99" s="195">
        <f>IF(AND(Main!$B$79="Straight Line",O$72&lt;=depr_length),$B99/depr_length,IF(AND(Main!$B$79="MACRS",O$72&lt;=depr_length+1),$B99*INDEX(MACRS_table,MATCH(O$72,recovery_year,0),MATCH(depr_length,recovery_period,0)),""))</f>
        <v>5088174.4851979073</v>
      </c>
      <c r="P99" s="195">
        <f>IF(AND(Main!$B$79="Straight Line",P$72&lt;=depr_length),$B99/depr_length,IF(AND(Main!$B$79="MACRS",P$72&lt;=depr_length+1),$B99*INDEX(MACRS_table,MATCH(P$72,recovery_year,0),MATCH(depr_length,recovery_period,0)),""))</f>
        <v>5087034.1502617355</v>
      </c>
      <c r="Q99" s="195">
        <f>IF(AND(Main!$B$79="Straight Line",Q$72&lt;=depr_length),$B99/depr_length,IF(AND(Main!$B$79="MACRS",Q$72&lt;=depr_length+1),$B99*INDEX(MACRS_table,MATCH(Q$72,recovery_year,0),MATCH(depr_length,recovery_period,0)),""))</f>
        <v>5088174.4851979073</v>
      </c>
      <c r="R99" s="195">
        <f>IF(AND(Main!$B$79="Straight Line",R$72&lt;=depr_length),$B99/depr_length,IF(AND(Main!$B$79="MACRS",R$72&lt;=depr_length+1),$B99*INDEX(MACRS_table,MATCH(R$72,recovery_year,0),MATCH(depr_length,recovery_period,0)),""))</f>
        <v>5087034.1502617355</v>
      </c>
      <c r="S99" s="195">
        <f>IF(AND(Main!$B$79="Straight Line",S$72&lt;=depr_length),$B99/depr_length,IF(AND(Main!$B$79="MACRS",S$72&lt;=depr_length+1),$B99*INDEX(MACRS_table,MATCH(S$72,recovery_year,0),MATCH(depr_length,recovery_period,0)),""))</f>
        <v>5088174.4851979073</v>
      </c>
      <c r="T99" s="195">
        <f>IF(AND(Main!$B$79="Straight Line",T$72&lt;=depr_length),$B99/depr_length,IF(AND(Main!$B$79="MACRS",T$72&lt;=depr_length+1),$B99*INDEX(MACRS_table,MATCH(T$72,recovery_year,0),MATCH(depr_length,recovery_period,0)),""))</f>
        <v>5087034.1502617355</v>
      </c>
      <c r="U99" s="195">
        <f>IF(AND(Main!$B$79="Straight Line",U$72&lt;=depr_length),$B99/depr_length,IF(AND(Main!$B$79="MACRS",U$72&lt;=depr_length+1),$B99*INDEX(MACRS_table,MATCH(U$72,recovery_year,0),MATCH(depr_length,recovery_period,0)),""))</f>
        <v>5088174.4851979073</v>
      </c>
      <c r="V99" s="195">
        <f>IF(AND(Main!$B$79="Straight Line",V$72&lt;=depr_length),$B99/depr_length,IF(AND(Main!$B$79="MACRS",V$72&lt;=depr_length+1),$B99*INDEX(MACRS_table,MATCH(V$72,recovery_year,0),MATCH(depr_length,recovery_period,0)),""))</f>
        <v>5087034.1502617355</v>
      </c>
      <c r="W99" s="195">
        <f>IF(AND(Main!$B$79="Straight Line",W$72&lt;=depr_length),$B99/depr_length,IF(AND(Main!$B$79="MACRS",W$72&lt;=depr_length+1),$B99*INDEX(MACRS_table,MATCH(W$72,recovery_year,0),MATCH(depr_length,recovery_period,0)),""))</f>
        <v>2544087.2425989537</v>
      </c>
      <c r="X99" s="196" cm="1">
        <f t="array" ref="X99">SUMPRODUCT((ROW($C$73:$W$113)-MIN(ROW(C99:W139))=MIN(COLUMN(C99:W139))-COLUMN($C$73:$W$113))*($C$73:$W$113))</f>
        <v>38057116.871713333</v>
      </c>
    </row>
    <row r="100" spans="1:24" x14ac:dyDescent="0.15">
      <c r="A100" s="115">
        <v>27</v>
      </c>
      <c r="B100" s="194">
        <f t="shared" si="20"/>
        <v>2391943.7412682059</v>
      </c>
      <c r="C100" s="195">
        <f>IF(AND(Main!$B$79="Straight Line",C$72&lt;=depr_length),$B100/depr_length,IF(AND(Main!$B$79="MACRS",C$72&lt;=depr_length+1),$B100*INDEX(MACRS_table,MATCH(C$72,recovery_year,0),MATCH(depr_length,recovery_period,0)),""))</f>
        <v>89697.890297557722</v>
      </c>
      <c r="D100" s="195">
        <f>IF(AND(Main!$B$79="Straight Line",D$72&lt;=depr_length),$B100/depr_length,IF(AND(Main!$B$79="MACRS",D$72&lt;=depr_length+1),$B100*INDEX(MACRS_table,MATCH(D$72,recovery_year,0),MATCH(depr_length,recovery_period,0)),""))</f>
        <v>172674.41868215179</v>
      </c>
      <c r="E100" s="195">
        <f>IF(AND(Main!$B$79="Straight Line",E$72&lt;=depr_length),$B100/depr_length,IF(AND(Main!$B$79="MACRS",E$72&lt;=depr_length+1),$B100*INDEX(MACRS_table,MATCH(E$72,recovery_year,0),MATCH(depr_length,recovery_period,0)),""))</f>
        <v>159710.0836044781</v>
      </c>
      <c r="F100" s="195">
        <f>IF(AND(Main!$B$79="Straight Line",F$72&lt;=depr_length),$B100/depr_length,IF(AND(Main!$B$79="MACRS",F$72&lt;=depr_length+1),$B100*INDEX(MACRS_table,MATCH(F$72,recovery_year,0),MATCH(depr_length,recovery_period,0)),""))</f>
        <v>147750.36489813708</v>
      </c>
      <c r="G100" s="195">
        <f>IF(AND(Main!$B$79="Straight Line",G$72&lt;=depr_length),$B100/depr_length,IF(AND(Main!$B$79="MACRS",G$72&lt;=depr_length+1),$B100*INDEX(MACRS_table,MATCH(G$72,recovery_year,0),MATCH(depr_length,recovery_period,0)),""))</f>
        <v>136651.7459386526</v>
      </c>
      <c r="H100" s="195">
        <f>IF(AND(Main!$B$79="Straight Line",H$72&lt;=depr_length),$B100/depr_length,IF(AND(Main!$B$79="MACRS",H$72&lt;=depr_length+1),$B100*INDEX(MACRS_table,MATCH(H$72,recovery_year,0),MATCH(depr_length,recovery_period,0)),""))</f>
        <v>126414.22672602469</v>
      </c>
      <c r="I100" s="195">
        <f>IF(AND(Main!$B$79="Straight Line",I$72&lt;=depr_length),$B100/depr_length,IF(AND(Main!$B$79="MACRS",I$72&lt;=depr_length+1),$B100*INDEX(MACRS_table,MATCH(I$72,recovery_year,0),MATCH(depr_length,recovery_period,0)),""))</f>
        <v>116918.21007318991</v>
      </c>
      <c r="J100" s="195">
        <f>IF(AND(Main!$B$79="Straight Line",J$72&lt;=depr_length),$B100/depr_length,IF(AND(Main!$B$79="MACRS",J$72&lt;=depr_length+1),$B100*INDEX(MACRS_table,MATCH(J$72,recovery_year,0),MATCH(depr_length,recovery_period,0)),""))</f>
        <v>108163.69598014827</v>
      </c>
      <c r="K100" s="195">
        <f>IF(AND(Main!$B$79="Straight Line",K$72&lt;=depr_length),$B100/depr_length,IF(AND(Main!$B$79="MACRS",K$72&lt;=depr_length+1),$B100*INDEX(MACRS_table,MATCH(K$72,recovery_year,0),MATCH(depr_length,recovery_period,0)),""))</f>
        <v>106728.52973538735</v>
      </c>
      <c r="L100" s="195">
        <f>IF(AND(Main!$B$79="Straight Line",L$72&lt;=depr_length),$B100/depr_length,IF(AND(Main!$B$79="MACRS",L$72&lt;=depr_length+1),$B100*INDEX(MACRS_table,MATCH(L$72,recovery_year,0),MATCH(depr_length,recovery_period,0)),""))</f>
        <v>106704.61029797466</v>
      </c>
      <c r="M100" s="195">
        <f>IF(AND(Main!$B$79="Straight Line",M$72&lt;=depr_length),$B100/depr_length,IF(AND(Main!$B$79="MACRS",M$72&lt;=depr_length+1),$B100*INDEX(MACRS_table,MATCH(M$72,recovery_year,0),MATCH(depr_length,recovery_period,0)),""))</f>
        <v>106728.52973538735</v>
      </c>
      <c r="N100" s="195">
        <f>IF(AND(Main!$B$79="Straight Line",N$72&lt;=depr_length),$B100/depr_length,IF(AND(Main!$B$79="MACRS",N$72&lt;=depr_length+1),$B100*INDEX(MACRS_table,MATCH(N$72,recovery_year,0),MATCH(depr_length,recovery_period,0)),""))</f>
        <v>106704.61029797466</v>
      </c>
      <c r="O100" s="195">
        <f>IF(AND(Main!$B$79="Straight Line",O$72&lt;=depr_length),$B100/depr_length,IF(AND(Main!$B$79="MACRS",O$72&lt;=depr_length+1),$B100*INDEX(MACRS_table,MATCH(O$72,recovery_year,0),MATCH(depr_length,recovery_period,0)),""))</f>
        <v>106728.52973538735</v>
      </c>
      <c r="P100" s="195">
        <f>IF(AND(Main!$B$79="Straight Line",P$72&lt;=depr_length),$B100/depr_length,IF(AND(Main!$B$79="MACRS",P$72&lt;=depr_length+1),$B100*INDEX(MACRS_table,MATCH(P$72,recovery_year,0),MATCH(depr_length,recovery_period,0)),""))</f>
        <v>106704.61029797466</v>
      </c>
      <c r="Q100" s="195">
        <f>IF(AND(Main!$B$79="Straight Line",Q$72&lt;=depr_length),$B100/depr_length,IF(AND(Main!$B$79="MACRS",Q$72&lt;=depr_length+1),$B100*INDEX(MACRS_table,MATCH(Q$72,recovery_year,0),MATCH(depr_length,recovery_period,0)),""))</f>
        <v>106728.52973538735</v>
      </c>
      <c r="R100" s="195">
        <f>IF(AND(Main!$B$79="Straight Line",R$72&lt;=depr_length),$B100/depr_length,IF(AND(Main!$B$79="MACRS",R$72&lt;=depr_length+1),$B100*INDEX(MACRS_table,MATCH(R$72,recovery_year,0),MATCH(depr_length,recovery_period,0)),""))</f>
        <v>106704.61029797466</v>
      </c>
      <c r="S100" s="195">
        <f>IF(AND(Main!$B$79="Straight Line",S$72&lt;=depr_length),$B100/depr_length,IF(AND(Main!$B$79="MACRS",S$72&lt;=depr_length+1),$B100*INDEX(MACRS_table,MATCH(S$72,recovery_year,0),MATCH(depr_length,recovery_period,0)),""))</f>
        <v>106728.52973538735</v>
      </c>
      <c r="T100" s="195">
        <f>IF(AND(Main!$B$79="Straight Line",T$72&lt;=depr_length),$B100/depr_length,IF(AND(Main!$B$79="MACRS",T$72&lt;=depr_length+1),$B100*INDEX(MACRS_table,MATCH(T$72,recovery_year,0),MATCH(depr_length,recovery_period,0)),""))</f>
        <v>106704.61029797466</v>
      </c>
      <c r="U100" s="195">
        <f>IF(AND(Main!$B$79="Straight Line",U$72&lt;=depr_length),$B100/depr_length,IF(AND(Main!$B$79="MACRS",U$72&lt;=depr_length+1),$B100*INDEX(MACRS_table,MATCH(U$72,recovery_year,0),MATCH(depr_length,recovery_period,0)),""))</f>
        <v>106728.52973538735</v>
      </c>
      <c r="V100" s="195">
        <f>IF(AND(Main!$B$79="Straight Line",V$72&lt;=depr_length),$B100/depr_length,IF(AND(Main!$B$79="MACRS",V$72&lt;=depr_length+1),$B100*INDEX(MACRS_table,MATCH(V$72,recovery_year,0),MATCH(depr_length,recovery_period,0)),""))</f>
        <v>106704.61029797466</v>
      </c>
      <c r="W100" s="195">
        <f>IF(AND(Main!$B$79="Straight Line",W$72&lt;=depr_length),$B100/depr_length,IF(AND(Main!$B$79="MACRS",W$72&lt;=depr_length+1),$B100*INDEX(MACRS_table,MATCH(W$72,recovery_year,0),MATCH(depr_length,recovery_period,0)),""))</f>
        <v>53364.264867693673</v>
      </c>
      <c r="X100" s="196" cm="1">
        <f t="array" ref="X100">SUMPRODUCT((ROW($C$73:$W$113)-MIN(ROW(C100:W140))=MIN(COLUMN(C100:W140))-COLUMN($C$73:$W$113))*($C$73:$W$113))</f>
        <v>39109441.193485297</v>
      </c>
    </row>
    <row r="101" spans="1:24" x14ac:dyDescent="0.15">
      <c r="A101" s="115">
        <v>28</v>
      </c>
      <c r="B101" s="194">
        <f t="shared" si="20"/>
        <v>2437390.6723523019</v>
      </c>
      <c r="C101" s="195">
        <f>IF(AND(Main!$B$79="Straight Line",C$72&lt;=depr_length),$B101/depr_length,IF(AND(Main!$B$79="MACRS",C$72&lt;=depr_length+1),$B101*INDEX(MACRS_table,MATCH(C$72,recovery_year,0),MATCH(depr_length,recovery_period,0)),""))</f>
        <v>91402.150213211324</v>
      </c>
      <c r="D101" s="195">
        <f>IF(AND(Main!$B$79="Straight Line",D$72&lt;=depr_length),$B101/depr_length,IF(AND(Main!$B$79="MACRS",D$72&lt;=depr_length+1),$B101*INDEX(MACRS_table,MATCH(D$72,recovery_year,0),MATCH(depr_length,recovery_period,0)),""))</f>
        <v>175955.23263711267</v>
      </c>
      <c r="E101" s="195">
        <f>IF(AND(Main!$B$79="Straight Line",E$72&lt;=depr_length),$B101/depr_length,IF(AND(Main!$B$79="MACRS",E$72&lt;=depr_length+1),$B101*INDEX(MACRS_table,MATCH(E$72,recovery_year,0),MATCH(depr_length,recovery_period,0)),""))</f>
        <v>162744.57519296318</v>
      </c>
      <c r="F101" s="195">
        <f>IF(AND(Main!$B$79="Straight Line",F$72&lt;=depr_length),$B101/depr_length,IF(AND(Main!$B$79="MACRS",F$72&lt;=depr_length+1),$B101*INDEX(MACRS_table,MATCH(F$72,recovery_year,0),MATCH(depr_length,recovery_period,0)),""))</f>
        <v>150557.62183120169</v>
      </c>
      <c r="G101" s="195">
        <f>IF(AND(Main!$B$79="Straight Line",G$72&lt;=depr_length),$B101/depr_length,IF(AND(Main!$B$79="MACRS",G$72&lt;=depr_length+1),$B101*INDEX(MACRS_table,MATCH(G$72,recovery_year,0),MATCH(depr_length,recovery_period,0)),""))</f>
        <v>139248.12911148701</v>
      </c>
      <c r="H101" s="195">
        <f>IF(AND(Main!$B$79="Straight Line",H$72&lt;=depr_length),$B101/depr_length,IF(AND(Main!$B$79="MACRS",H$72&lt;=depr_length+1),$B101*INDEX(MACRS_table,MATCH(H$72,recovery_year,0),MATCH(depr_length,recovery_period,0)),""))</f>
        <v>128816.09703381915</v>
      </c>
      <c r="I101" s="195">
        <f>IF(AND(Main!$B$79="Straight Line",I$72&lt;=depr_length),$B101/depr_length,IF(AND(Main!$B$79="MACRS",I$72&lt;=depr_length+1),$B101*INDEX(MACRS_table,MATCH(I$72,recovery_year,0),MATCH(depr_length,recovery_period,0)),""))</f>
        <v>119139.65606458051</v>
      </c>
      <c r="J101" s="195">
        <f>IF(AND(Main!$B$79="Straight Line",J$72&lt;=depr_length),$B101/depr_length,IF(AND(Main!$B$79="MACRS",J$72&lt;=depr_length+1),$B101*INDEX(MACRS_table,MATCH(J$72,recovery_year,0),MATCH(depr_length,recovery_period,0)),""))</f>
        <v>110218.80620377111</v>
      </c>
      <c r="K101" s="195">
        <f>IF(AND(Main!$B$79="Straight Line",K$72&lt;=depr_length),$B101/depr_length,IF(AND(Main!$B$79="MACRS",K$72&lt;=depr_length+1),$B101*INDEX(MACRS_table,MATCH(K$72,recovery_year,0),MATCH(depr_length,recovery_period,0)),""))</f>
        <v>108756.37180035972</v>
      </c>
      <c r="L101" s="195">
        <f>IF(AND(Main!$B$79="Straight Line",L$72&lt;=depr_length),$B101/depr_length,IF(AND(Main!$B$79="MACRS",L$72&lt;=depr_length+1),$B101*INDEX(MACRS_table,MATCH(L$72,recovery_year,0),MATCH(depr_length,recovery_period,0)),""))</f>
        <v>108731.99789363617</v>
      </c>
      <c r="M101" s="195">
        <f>IF(AND(Main!$B$79="Straight Line",M$72&lt;=depr_length),$B101/depr_length,IF(AND(Main!$B$79="MACRS",M$72&lt;=depr_length+1),$B101*INDEX(MACRS_table,MATCH(M$72,recovery_year,0),MATCH(depr_length,recovery_period,0)),""))</f>
        <v>108756.37180035972</v>
      </c>
      <c r="N101" s="195">
        <f>IF(AND(Main!$B$79="Straight Line",N$72&lt;=depr_length),$B101/depr_length,IF(AND(Main!$B$79="MACRS",N$72&lt;=depr_length+1),$B101*INDEX(MACRS_table,MATCH(N$72,recovery_year,0),MATCH(depr_length,recovery_period,0)),""))</f>
        <v>108731.99789363617</v>
      </c>
      <c r="O101" s="195">
        <f>IF(AND(Main!$B$79="Straight Line",O$72&lt;=depr_length),$B101/depr_length,IF(AND(Main!$B$79="MACRS",O$72&lt;=depr_length+1),$B101*INDEX(MACRS_table,MATCH(O$72,recovery_year,0),MATCH(depr_length,recovery_period,0)),""))</f>
        <v>108756.37180035972</v>
      </c>
      <c r="P101" s="195">
        <f>IF(AND(Main!$B$79="Straight Line",P$72&lt;=depr_length),$B101/depr_length,IF(AND(Main!$B$79="MACRS",P$72&lt;=depr_length+1),$B101*INDEX(MACRS_table,MATCH(P$72,recovery_year,0),MATCH(depr_length,recovery_period,0)),""))</f>
        <v>108731.99789363617</v>
      </c>
      <c r="Q101" s="195">
        <f>IF(AND(Main!$B$79="Straight Line",Q$72&lt;=depr_length),$B101/depr_length,IF(AND(Main!$B$79="MACRS",Q$72&lt;=depr_length+1),$B101*INDEX(MACRS_table,MATCH(Q$72,recovery_year,0),MATCH(depr_length,recovery_period,0)),""))</f>
        <v>108756.37180035972</v>
      </c>
      <c r="R101" s="195">
        <f>IF(AND(Main!$B$79="Straight Line",R$72&lt;=depr_length),$B101/depr_length,IF(AND(Main!$B$79="MACRS",R$72&lt;=depr_length+1),$B101*INDEX(MACRS_table,MATCH(R$72,recovery_year,0),MATCH(depr_length,recovery_period,0)),""))</f>
        <v>108731.99789363617</v>
      </c>
      <c r="S101" s="195">
        <f>IF(AND(Main!$B$79="Straight Line",S$72&lt;=depr_length),$B101/depr_length,IF(AND(Main!$B$79="MACRS",S$72&lt;=depr_length+1),$B101*INDEX(MACRS_table,MATCH(S$72,recovery_year,0),MATCH(depr_length,recovery_period,0)),""))</f>
        <v>108756.37180035972</v>
      </c>
      <c r="T101" s="195">
        <f>IF(AND(Main!$B$79="Straight Line",T$72&lt;=depr_length),$B101/depr_length,IF(AND(Main!$B$79="MACRS",T$72&lt;=depr_length+1),$B101*INDEX(MACRS_table,MATCH(T$72,recovery_year,0),MATCH(depr_length,recovery_period,0)),""))</f>
        <v>108731.99789363617</v>
      </c>
      <c r="U101" s="195">
        <f>IF(AND(Main!$B$79="Straight Line",U$72&lt;=depr_length),$B101/depr_length,IF(AND(Main!$B$79="MACRS",U$72&lt;=depr_length+1),$B101*INDEX(MACRS_table,MATCH(U$72,recovery_year,0),MATCH(depr_length,recovery_period,0)),""))</f>
        <v>108756.37180035972</v>
      </c>
      <c r="V101" s="195">
        <f>IF(AND(Main!$B$79="Straight Line",V$72&lt;=depr_length),$B101/depr_length,IF(AND(Main!$B$79="MACRS",V$72&lt;=depr_length+1),$B101*INDEX(MACRS_table,MATCH(V$72,recovery_year,0),MATCH(depr_length,recovery_period,0)),""))</f>
        <v>108731.99789363617</v>
      </c>
      <c r="W101" s="195">
        <f>IF(AND(Main!$B$79="Straight Line",W$72&lt;=depr_length),$B101/depr_length,IF(AND(Main!$B$79="MACRS",W$72&lt;=depr_length+1),$B101*INDEX(MACRS_table,MATCH(W$72,recovery_year,0),MATCH(depr_length,recovery_period,0)),""))</f>
        <v>54378.185900179858</v>
      </c>
      <c r="X101" s="196" cm="1">
        <f t="array" ref="X101">SUMPRODUCT((ROW($C$73:$W$113)-MIN(ROW(C101:W141))=MIN(COLUMN(C101:W141))-COLUMN($C$73:$W$113))*($C$73:$W$113))</f>
        <v>37479767.970564499</v>
      </c>
    </row>
    <row r="102" spans="1:24" x14ac:dyDescent="0.15">
      <c r="A102" s="115">
        <v>29</v>
      </c>
      <c r="B102" s="194">
        <f t="shared" si="20"/>
        <v>2483701.0951269949</v>
      </c>
      <c r="C102" s="195">
        <f>IF(AND(Main!$B$79="Straight Line",C$72&lt;=depr_length),$B102/depr_length,IF(AND(Main!$B$79="MACRS",C$72&lt;=depr_length+1),$B102*INDEX(MACRS_table,MATCH(C$72,recovery_year,0),MATCH(depr_length,recovery_period,0)),""))</f>
        <v>93138.791067262311</v>
      </c>
      <c r="D102" s="195">
        <f>IF(AND(Main!$B$79="Straight Line",D$72&lt;=depr_length),$B102/depr_length,IF(AND(Main!$B$79="MACRS",D$72&lt;=depr_length+1),$B102*INDEX(MACRS_table,MATCH(D$72,recovery_year,0),MATCH(depr_length,recovery_period,0)),""))</f>
        <v>179298.38205721776</v>
      </c>
      <c r="E102" s="195">
        <f>IF(AND(Main!$B$79="Straight Line",E$72&lt;=depr_length),$B102/depr_length,IF(AND(Main!$B$79="MACRS",E$72&lt;=depr_length+1),$B102*INDEX(MACRS_table,MATCH(E$72,recovery_year,0),MATCH(depr_length,recovery_period,0)),""))</f>
        <v>165836.72212162943</v>
      </c>
      <c r="F102" s="195">
        <f>IF(AND(Main!$B$79="Straight Line",F$72&lt;=depr_length),$B102/depr_length,IF(AND(Main!$B$79="MACRS",F$72&lt;=depr_length+1),$B102*INDEX(MACRS_table,MATCH(F$72,recovery_year,0),MATCH(depr_length,recovery_period,0)),""))</f>
        <v>153418.21664599446</v>
      </c>
      <c r="G102" s="195">
        <f>IF(AND(Main!$B$79="Straight Line",G$72&lt;=depr_length),$B102/depr_length,IF(AND(Main!$B$79="MACRS",G$72&lt;=depr_length+1),$B102*INDEX(MACRS_table,MATCH(G$72,recovery_year,0),MATCH(depr_length,recovery_period,0)),""))</f>
        <v>141893.84356460522</v>
      </c>
      <c r="H102" s="195">
        <f>IF(AND(Main!$B$79="Straight Line",H$72&lt;=depr_length),$B102/depr_length,IF(AND(Main!$B$79="MACRS",H$72&lt;=depr_length+1),$B102*INDEX(MACRS_table,MATCH(H$72,recovery_year,0),MATCH(depr_length,recovery_period,0)),""))</f>
        <v>131263.60287746167</v>
      </c>
      <c r="I102" s="195">
        <f>IF(AND(Main!$B$79="Straight Line",I$72&lt;=depr_length),$B102/depr_length,IF(AND(Main!$B$79="MACRS",I$72&lt;=depr_length+1),$B102*INDEX(MACRS_table,MATCH(I$72,recovery_year,0),MATCH(depr_length,recovery_period,0)),""))</f>
        <v>121403.30952980751</v>
      </c>
      <c r="J102" s="195">
        <f>IF(AND(Main!$B$79="Straight Line",J$72&lt;=depr_length),$B102/depr_length,IF(AND(Main!$B$79="MACRS",J$72&lt;=depr_length+1),$B102*INDEX(MACRS_table,MATCH(J$72,recovery_year,0),MATCH(depr_length,recovery_period,0)),""))</f>
        <v>112312.96352164271</v>
      </c>
      <c r="K102" s="195">
        <f>IF(AND(Main!$B$79="Straight Line",K$72&lt;=depr_length),$B102/depr_length,IF(AND(Main!$B$79="MACRS",K$72&lt;=depr_length+1),$B102*INDEX(MACRS_table,MATCH(K$72,recovery_year,0),MATCH(depr_length,recovery_period,0)),""))</f>
        <v>110822.74286456651</v>
      </c>
      <c r="L102" s="195">
        <f>IF(AND(Main!$B$79="Straight Line",L$72&lt;=depr_length),$B102/depr_length,IF(AND(Main!$B$79="MACRS",L$72&lt;=depr_length+1),$B102*INDEX(MACRS_table,MATCH(L$72,recovery_year,0),MATCH(depr_length,recovery_period,0)),""))</f>
        <v>110797.90585361523</v>
      </c>
      <c r="M102" s="195">
        <f>IF(AND(Main!$B$79="Straight Line",M$72&lt;=depr_length),$B102/depr_length,IF(AND(Main!$B$79="MACRS",M$72&lt;=depr_length+1),$B102*INDEX(MACRS_table,MATCH(M$72,recovery_year,0),MATCH(depr_length,recovery_period,0)),""))</f>
        <v>110822.74286456651</v>
      </c>
      <c r="N102" s="195">
        <f>IF(AND(Main!$B$79="Straight Line",N$72&lt;=depr_length),$B102/depr_length,IF(AND(Main!$B$79="MACRS",N$72&lt;=depr_length+1),$B102*INDEX(MACRS_table,MATCH(N$72,recovery_year,0),MATCH(depr_length,recovery_period,0)),""))</f>
        <v>110797.90585361523</v>
      </c>
      <c r="O102" s="195">
        <f>IF(AND(Main!$B$79="Straight Line",O$72&lt;=depr_length),$B102/depr_length,IF(AND(Main!$B$79="MACRS",O$72&lt;=depr_length+1),$B102*INDEX(MACRS_table,MATCH(O$72,recovery_year,0),MATCH(depr_length,recovery_period,0)),""))</f>
        <v>110822.74286456651</v>
      </c>
      <c r="P102" s="195">
        <f>IF(AND(Main!$B$79="Straight Line",P$72&lt;=depr_length),$B102/depr_length,IF(AND(Main!$B$79="MACRS",P$72&lt;=depr_length+1),$B102*INDEX(MACRS_table,MATCH(P$72,recovery_year,0),MATCH(depr_length,recovery_period,0)),""))</f>
        <v>110797.90585361523</v>
      </c>
      <c r="Q102" s="195">
        <f>IF(AND(Main!$B$79="Straight Line",Q$72&lt;=depr_length),$B102/depr_length,IF(AND(Main!$B$79="MACRS",Q$72&lt;=depr_length+1),$B102*INDEX(MACRS_table,MATCH(Q$72,recovery_year,0),MATCH(depr_length,recovery_period,0)),""))</f>
        <v>110822.74286456651</v>
      </c>
      <c r="R102" s="195">
        <f>IF(AND(Main!$B$79="Straight Line",R$72&lt;=depr_length),$B102/depr_length,IF(AND(Main!$B$79="MACRS",R$72&lt;=depr_length+1),$B102*INDEX(MACRS_table,MATCH(R$72,recovery_year,0),MATCH(depr_length,recovery_period,0)),""))</f>
        <v>110797.90585361523</v>
      </c>
      <c r="S102" s="195">
        <f>IF(AND(Main!$B$79="Straight Line",S$72&lt;=depr_length),$B102/depr_length,IF(AND(Main!$B$79="MACRS",S$72&lt;=depr_length+1),$B102*INDEX(MACRS_table,MATCH(S$72,recovery_year,0),MATCH(depr_length,recovery_period,0)),""))</f>
        <v>110822.74286456651</v>
      </c>
      <c r="T102" s="195">
        <f>IF(AND(Main!$B$79="Straight Line",T$72&lt;=depr_length),$B102/depr_length,IF(AND(Main!$B$79="MACRS",T$72&lt;=depr_length+1),$B102*INDEX(MACRS_table,MATCH(T$72,recovery_year,0),MATCH(depr_length,recovery_period,0)),""))</f>
        <v>110797.90585361523</v>
      </c>
      <c r="U102" s="195">
        <f>IF(AND(Main!$B$79="Straight Line",U$72&lt;=depr_length),$B102/depr_length,IF(AND(Main!$B$79="MACRS",U$72&lt;=depr_length+1),$B102*INDEX(MACRS_table,MATCH(U$72,recovery_year,0),MATCH(depr_length,recovery_period,0)),""))</f>
        <v>110822.74286456651</v>
      </c>
      <c r="V102" s="195">
        <f>IF(AND(Main!$B$79="Straight Line",V$72&lt;=depr_length),$B102/depr_length,IF(AND(Main!$B$79="MACRS",V$72&lt;=depr_length+1),$B102*INDEX(MACRS_table,MATCH(V$72,recovery_year,0),MATCH(depr_length,recovery_period,0)),""))</f>
        <v>110797.90585361523</v>
      </c>
      <c r="W102" s="195">
        <f>IF(AND(Main!$B$79="Straight Line",W$72&lt;=depr_length),$B102/depr_length,IF(AND(Main!$B$79="MACRS",W$72&lt;=depr_length+1),$B102*INDEX(MACRS_table,MATCH(W$72,recovery_year,0),MATCH(depr_length,recovery_period,0)),""))</f>
        <v>55411.371432283253</v>
      </c>
      <c r="X102" s="196" cm="1">
        <f t="array" ref="X102">SUMPRODUCT((ROW($C$73:$W$113)-MIN(ROW(C102:W142))=MIN(COLUMN(C102:W142))-COLUMN($C$73:$W$113))*($C$73:$W$113))</f>
        <v>36788041.641408242</v>
      </c>
    </row>
    <row r="103" spans="1:24" x14ac:dyDescent="0.15">
      <c r="A103" s="115">
        <v>30</v>
      </c>
      <c r="B103" s="194">
        <f t="shared" si="20"/>
        <v>2530891.4159344076</v>
      </c>
      <c r="C103" s="195">
        <f>IF(AND(Main!$B$79="Straight Line",C$72&lt;=depr_length),$B103/depr_length,IF(AND(Main!$B$79="MACRS",C$72&lt;=depr_length+1),$B103*INDEX(MACRS_table,MATCH(C$72,recovery_year,0),MATCH(depr_length,recovery_period,0)),""))</f>
        <v>94908.42809754028</v>
      </c>
      <c r="D103" s="195">
        <f>IF(AND(Main!$B$79="Straight Line",D$72&lt;=depr_length),$B103/depr_length,IF(AND(Main!$B$79="MACRS",D$72&lt;=depr_length+1),$B103*INDEX(MACRS_table,MATCH(D$72,recovery_year,0),MATCH(depr_length,recovery_period,0)),""))</f>
        <v>182705.05131630489</v>
      </c>
      <c r="E103" s="195">
        <f>IF(AND(Main!$B$79="Straight Line",E$72&lt;=depr_length),$B103/depr_length,IF(AND(Main!$B$79="MACRS",E$72&lt;=depr_length+1),$B103*INDEX(MACRS_table,MATCH(E$72,recovery_year,0),MATCH(depr_length,recovery_period,0)),""))</f>
        <v>168987.61984194038</v>
      </c>
      <c r="F103" s="195">
        <f>IF(AND(Main!$B$79="Straight Line",F$72&lt;=depr_length),$B103/depr_length,IF(AND(Main!$B$79="MACRS",F$72&lt;=depr_length+1),$B103*INDEX(MACRS_table,MATCH(F$72,recovery_year,0),MATCH(depr_length,recovery_period,0)),""))</f>
        <v>156333.16276226836</v>
      </c>
      <c r="G103" s="195">
        <f>IF(AND(Main!$B$79="Straight Line",G$72&lt;=depr_length),$B103/depr_length,IF(AND(Main!$B$79="MACRS",G$72&lt;=depr_length+1),$B103*INDEX(MACRS_table,MATCH(G$72,recovery_year,0),MATCH(depr_length,recovery_period,0)),""))</f>
        <v>144589.82659233271</v>
      </c>
      <c r="H103" s="195">
        <f>IF(AND(Main!$B$79="Straight Line",H$72&lt;=depr_length),$B103/depr_length,IF(AND(Main!$B$79="MACRS",H$72&lt;=depr_length+1),$B103*INDEX(MACRS_table,MATCH(H$72,recovery_year,0),MATCH(depr_length,recovery_period,0)),""))</f>
        <v>133757.61133213344</v>
      </c>
      <c r="I103" s="195">
        <f>IF(AND(Main!$B$79="Straight Line",I$72&lt;=depr_length),$B103/depr_length,IF(AND(Main!$B$79="MACRS",I$72&lt;=depr_length+1),$B103*INDEX(MACRS_table,MATCH(I$72,recovery_year,0),MATCH(depr_length,recovery_period,0)),""))</f>
        <v>123709.97241087384</v>
      </c>
      <c r="J103" s="195">
        <f>IF(AND(Main!$B$79="Straight Line",J$72&lt;=depr_length),$B103/depr_length,IF(AND(Main!$B$79="MACRS",J$72&lt;=depr_length+1),$B103*INDEX(MACRS_table,MATCH(J$72,recovery_year,0),MATCH(depr_length,recovery_period,0)),""))</f>
        <v>114446.90982855392</v>
      </c>
      <c r="K103" s="195">
        <f>IF(AND(Main!$B$79="Straight Line",K$72&lt;=depr_length),$B103/depr_length,IF(AND(Main!$B$79="MACRS",K$72&lt;=depr_length+1),$B103*INDEX(MACRS_table,MATCH(K$72,recovery_year,0),MATCH(depr_length,recovery_period,0)),""))</f>
        <v>112928.37497899326</v>
      </c>
      <c r="L103" s="195">
        <f>IF(AND(Main!$B$79="Straight Line",L$72&lt;=depr_length),$B103/depr_length,IF(AND(Main!$B$79="MACRS",L$72&lt;=depr_length+1),$B103*INDEX(MACRS_table,MATCH(L$72,recovery_year,0),MATCH(depr_length,recovery_period,0)),""))</f>
        <v>112903.06606483391</v>
      </c>
      <c r="M103" s="195">
        <f>IF(AND(Main!$B$79="Straight Line",M$72&lt;=depr_length),$B103/depr_length,IF(AND(Main!$B$79="MACRS",M$72&lt;=depr_length+1),$B103*INDEX(MACRS_table,MATCH(M$72,recovery_year,0),MATCH(depr_length,recovery_period,0)),""))</f>
        <v>112928.37497899326</v>
      </c>
      <c r="N103" s="195">
        <f>IF(AND(Main!$B$79="Straight Line",N$72&lt;=depr_length),$B103/depr_length,IF(AND(Main!$B$79="MACRS",N$72&lt;=depr_length+1),$B103*INDEX(MACRS_table,MATCH(N$72,recovery_year,0),MATCH(depr_length,recovery_period,0)),""))</f>
        <v>112903.06606483391</v>
      </c>
      <c r="O103" s="195">
        <f>IF(AND(Main!$B$79="Straight Line",O$72&lt;=depr_length),$B103/depr_length,IF(AND(Main!$B$79="MACRS",O$72&lt;=depr_length+1),$B103*INDEX(MACRS_table,MATCH(O$72,recovery_year,0),MATCH(depr_length,recovery_period,0)),""))</f>
        <v>112928.37497899326</v>
      </c>
      <c r="P103" s="195">
        <f>IF(AND(Main!$B$79="Straight Line",P$72&lt;=depr_length),$B103/depr_length,IF(AND(Main!$B$79="MACRS",P$72&lt;=depr_length+1),$B103*INDEX(MACRS_table,MATCH(P$72,recovery_year,0),MATCH(depr_length,recovery_period,0)),""))</f>
        <v>112903.06606483391</v>
      </c>
      <c r="Q103" s="195">
        <f>IF(AND(Main!$B$79="Straight Line",Q$72&lt;=depr_length),$B103/depr_length,IF(AND(Main!$B$79="MACRS",Q$72&lt;=depr_length+1),$B103*INDEX(MACRS_table,MATCH(Q$72,recovery_year,0),MATCH(depr_length,recovery_period,0)),""))</f>
        <v>112928.37497899326</v>
      </c>
      <c r="R103" s="195">
        <f>IF(AND(Main!$B$79="Straight Line",R$72&lt;=depr_length),$B103/depr_length,IF(AND(Main!$B$79="MACRS",R$72&lt;=depr_length+1),$B103*INDEX(MACRS_table,MATCH(R$72,recovery_year,0),MATCH(depr_length,recovery_period,0)),""))</f>
        <v>112903.06606483391</v>
      </c>
      <c r="S103" s="195">
        <f>IF(AND(Main!$B$79="Straight Line",S$72&lt;=depr_length),$B103/depr_length,IF(AND(Main!$B$79="MACRS",S$72&lt;=depr_length+1),$B103*INDEX(MACRS_table,MATCH(S$72,recovery_year,0),MATCH(depr_length,recovery_period,0)),""))</f>
        <v>112928.37497899326</v>
      </c>
      <c r="T103" s="195">
        <f>IF(AND(Main!$B$79="Straight Line",T$72&lt;=depr_length),$B103/depr_length,IF(AND(Main!$B$79="MACRS",T$72&lt;=depr_length+1),$B103*INDEX(MACRS_table,MATCH(T$72,recovery_year,0),MATCH(depr_length,recovery_period,0)),""))</f>
        <v>112903.06606483391</v>
      </c>
      <c r="U103" s="195">
        <f>IF(AND(Main!$B$79="Straight Line",U$72&lt;=depr_length),$B103/depr_length,IF(AND(Main!$B$79="MACRS",U$72&lt;=depr_length+1),$B103*INDEX(MACRS_table,MATCH(U$72,recovery_year,0),MATCH(depr_length,recovery_period,0)),""))</f>
        <v>112928.37497899326</v>
      </c>
      <c r="V103" s="195">
        <f>IF(AND(Main!$B$79="Straight Line",V$72&lt;=depr_length),$B103/depr_length,IF(AND(Main!$B$79="MACRS",V$72&lt;=depr_length+1),$B103*INDEX(MACRS_table,MATCH(V$72,recovery_year,0),MATCH(depr_length,recovery_period,0)),""))</f>
        <v>112903.06606483391</v>
      </c>
      <c r="W103" s="195">
        <f>IF(AND(Main!$B$79="Straight Line",W$72&lt;=depr_length),$B103/depr_length,IF(AND(Main!$B$79="MACRS",W$72&lt;=depr_length+1),$B103*INDEX(MACRS_table,MATCH(W$72,recovery_year,0),MATCH(depr_length,recovery_period,0)),""))</f>
        <v>56464.187489496631</v>
      </c>
      <c r="X103" s="196" cm="1">
        <f t="array" ref="X103">SUMPRODUCT((ROW($C$73:$W$113)-MIN(ROW(E93:Y133))=MIN(COLUMN(E93:Y133))-COLUMN($C$73:$W$113))*($C$73:$W$113))</f>
        <v>41437256.313409448</v>
      </c>
    </row>
    <row r="104" spans="1:24" x14ac:dyDescent="0.15">
      <c r="A104" s="115">
        <v>31</v>
      </c>
      <c r="B104" s="194">
        <f t="shared" si="20"/>
        <v>352618414.2781471</v>
      </c>
      <c r="C104" s="195">
        <f>IF(AND(Main!$B$79="Straight Line",C$72&lt;=depr_length),$B104/depr_length,IF(AND(Main!$B$79="MACRS",C$72&lt;=depr_length+1),$B104*INDEX(MACRS_table,MATCH(C$72,recovery_year,0),MATCH(depr_length,recovery_period,0)),""))</f>
        <v>13223190.535430515</v>
      </c>
      <c r="D104" s="195">
        <f>IF(AND(Main!$B$79="Straight Line",D$72&lt;=depr_length),$B104/depr_length,IF(AND(Main!$B$79="MACRS",D$72&lt;=depr_length+1),$B104*INDEX(MACRS_table,MATCH(D$72,recovery_year,0),MATCH(depr_length,recovery_period,0)),""))</f>
        <v>25455523.326739442</v>
      </c>
      <c r="E104" s="195">
        <f>IF(AND(Main!$B$79="Straight Line",E$72&lt;=depr_length),$B104/depr_length,IF(AND(Main!$B$79="MACRS",E$72&lt;=depr_length+1),$B104*INDEX(MACRS_table,MATCH(E$72,recovery_year,0),MATCH(depr_length,recovery_period,0)),""))</f>
        <v>23544331.521351881</v>
      </c>
      <c r="F104" s="195">
        <f>IF(AND(Main!$B$79="Straight Line",F$72&lt;=depr_length),$B104/depr_length,IF(AND(Main!$B$79="MACRS",F$72&lt;=depr_length+1),$B104*INDEX(MACRS_table,MATCH(F$72,recovery_year,0),MATCH(depr_length,recovery_period,0)),""))</f>
        <v>21781239.449961144</v>
      </c>
      <c r="G104" s="195">
        <f>IF(AND(Main!$B$79="Straight Line",G$72&lt;=depr_length),$B104/depr_length,IF(AND(Main!$B$79="MACRS",G$72&lt;=depr_length+1),$B104*INDEX(MACRS_table,MATCH(G$72,recovery_year,0),MATCH(depr_length,recovery_period,0)),""))</f>
        <v>20145090.007710543</v>
      </c>
      <c r="H104" s="195">
        <f>IF(AND(Main!$B$79="Straight Line",H$72&lt;=depr_length),$B104/depr_length,IF(AND(Main!$B$79="MACRS",H$72&lt;=depr_length+1),$B104*INDEX(MACRS_table,MATCH(H$72,recovery_year,0),MATCH(depr_length,recovery_period,0)),""))</f>
        <v>18635883.194600075</v>
      </c>
      <c r="I104" s="195">
        <f>IF(AND(Main!$B$79="Straight Line",I$72&lt;=depr_length),$B104/depr_length,IF(AND(Main!$B$79="MACRS",I$72&lt;=depr_length+1),$B104*INDEX(MACRS_table,MATCH(I$72,recovery_year,0),MATCH(depr_length,recovery_period,0)),""))</f>
        <v>17235988.089915831</v>
      </c>
      <c r="J104" s="195">
        <f>IF(AND(Main!$B$79="Straight Line",J$72&lt;=depr_length),$B104/depr_length,IF(AND(Main!$B$79="MACRS",J$72&lt;=depr_length+1),$B104*INDEX(MACRS_table,MATCH(J$72,recovery_year,0),MATCH(depr_length,recovery_period,0)),""))</f>
        <v>15945404.693657814</v>
      </c>
      <c r="K104" s="195">
        <f>IF(AND(Main!$B$79="Straight Line",K$72&lt;=depr_length),$B104/depr_length,IF(AND(Main!$B$79="MACRS",K$72&lt;=depr_length+1),$B104*INDEX(MACRS_table,MATCH(K$72,recovery_year,0),MATCH(depr_length,recovery_period,0)),""))</f>
        <v>15733833.645090923</v>
      </c>
      <c r="L104" s="195">
        <f>IF(AND(Main!$B$79="Straight Line",L$72&lt;=depr_length),$B104/depr_length,IF(AND(Main!$B$79="MACRS",L$72&lt;=depr_length+1),$B104*INDEX(MACRS_table,MATCH(L$72,recovery_year,0),MATCH(depr_length,recovery_period,0)),""))</f>
        <v>15730307.460948141</v>
      </c>
      <c r="M104" s="195">
        <f>IF(AND(Main!$B$79="Straight Line",M$72&lt;=depr_length),$B104/depr_length,IF(AND(Main!$B$79="MACRS",M$72&lt;=depr_length+1),$B104*INDEX(MACRS_table,MATCH(M$72,recovery_year,0),MATCH(depr_length,recovery_period,0)),""))</f>
        <v>15733833.645090923</v>
      </c>
      <c r="N104" s="195">
        <f>IF(AND(Main!$B$79="Straight Line",N$72&lt;=depr_length),$B104/depr_length,IF(AND(Main!$B$79="MACRS",N$72&lt;=depr_length+1),$B104*INDEX(MACRS_table,MATCH(N$72,recovery_year,0),MATCH(depr_length,recovery_period,0)),""))</f>
        <v>15730307.460948141</v>
      </c>
      <c r="O104" s="195">
        <f>IF(AND(Main!$B$79="Straight Line",O$72&lt;=depr_length),$B104/depr_length,IF(AND(Main!$B$79="MACRS",O$72&lt;=depr_length+1),$B104*INDEX(MACRS_table,MATCH(O$72,recovery_year,0),MATCH(depr_length,recovery_period,0)),""))</f>
        <v>15733833.645090923</v>
      </c>
      <c r="P104" s="195">
        <f>IF(AND(Main!$B$79="Straight Line",P$72&lt;=depr_length),$B104/depr_length,IF(AND(Main!$B$79="MACRS",P$72&lt;=depr_length+1),$B104*INDEX(MACRS_table,MATCH(P$72,recovery_year,0),MATCH(depr_length,recovery_period,0)),""))</f>
        <v>15730307.460948141</v>
      </c>
      <c r="Q104" s="195">
        <f>IF(AND(Main!$B$79="Straight Line",Q$72&lt;=depr_length),$B104/depr_length,IF(AND(Main!$B$79="MACRS",Q$72&lt;=depr_length+1),$B104*INDEX(MACRS_table,MATCH(Q$72,recovery_year,0),MATCH(depr_length,recovery_period,0)),""))</f>
        <v>15733833.645090923</v>
      </c>
      <c r="R104" s="195">
        <f>IF(AND(Main!$B$79="Straight Line",R$72&lt;=depr_length),$B104/depr_length,IF(AND(Main!$B$79="MACRS",R$72&lt;=depr_length+1),$B104*INDEX(MACRS_table,MATCH(R$72,recovery_year,0),MATCH(depr_length,recovery_period,0)),""))</f>
        <v>15730307.460948141</v>
      </c>
      <c r="S104" s="195">
        <f>IF(AND(Main!$B$79="Straight Line",S$72&lt;=depr_length),$B104/depr_length,IF(AND(Main!$B$79="MACRS",S$72&lt;=depr_length+1),$B104*INDEX(MACRS_table,MATCH(S$72,recovery_year,0),MATCH(depr_length,recovery_period,0)),""))</f>
        <v>15733833.645090923</v>
      </c>
      <c r="T104" s="195">
        <f>IF(AND(Main!$B$79="Straight Line",T$72&lt;=depr_length),$B104/depr_length,IF(AND(Main!$B$79="MACRS",T$72&lt;=depr_length+1),$B104*INDEX(MACRS_table,MATCH(T$72,recovery_year,0),MATCH(depr_length,recovery_period,0)),""))</f>
        <v>15730307.460948141</v>
      </c>
      <c r="U104" s="195">
        <f>IF(AND(Main!$B$79="Straight Line",U$72&lt;=depr_length),$B104/depr_length,IF(AND(Main!$B$79="MACRS",U$72&lt;=depr_length+1),$B104*INDEX(MACRS_table,MATCH(U$72,recovery_year,0),MATCH(depr_length,recovery_period,0)),""))</f>
        <v>15733833.645090923</v>
      </c>
      <c r="V104" s="195">
        <f>IF(AND(Main!$B$79="Straight Line",V$72&lt;=depr_length),$B104/depr_length,IF(AND(Main!$B$79="MACRS",V$72&lt;=depr_length+1),$B104*INDEX(MACRS_table,MATCH(V$72,recovery_year,0),MATCH(depr_length,recovery_period,0)),""))</f>
        <v>15730307.460948141</v>
      </c>
      <c r="W104" s="195">
        <f>IF(AND(Main!$B$79="Straight Line",W$72&lt;=depr_length),$B104/depr_length,IF(AND(Main!$B$79="MACRS",W$72&lt;=depr_length+1),$B104*INDEX(MACRS_table,MATCH(W$72,recovery_year,0),MATCH(depr_length,recovery_period,0)),""))</f>
        <v>7866916.8225454614</v>
      </c>
      <c r="X104" s="196" cm="1">
        <f t="array" ref="X104">SUMPRODUCT((ROW($C$73:$W$113)-MIN(ROW(E94:Y134))=MIN(COLUMN(E94:Y134))-COLUMN($C$73:$W$113))*($C$73:$W$113))</f>
        <v>39563564.812216714</v>
      </c>
    </row>
    <row r="105" spans="1:24" x14ac:dyDescent="0.15">
      <c r="A105" s="115">
        <v>32</v>
      </c>
      <c r="B105" s="194">
        <f t="shared" si="20"/>
        <v>2627978.9415410678</v>
      </c>
      <c r="C105" s="195">
        <f>IF(AND(Main!$B$79="Straight Line",C$72&lt;=depr_length),$B105/depr_length,IF(AND(Main!$B$79="MACRS",C$72&lt;=depr_length+1),$B105*INDEX(MACRS_table,MATCH(C$72,recovery_year,0),MATCH(depr_length,recovery_period,0)),""))</f>
        <v>98549.210307790039</v>
      </c>
      <c r="D105" s="195">
        <f>IF(AND(Main!$B$79="Straight Line",D$72&lt;=depr_length),$B105/depr_length,IF(AND(Main!$B$79="MACRS",D$72&lt;=depr_length+1),$B105*INDEX(MACRS_table,MATCH(D$72,recovery_year,0),MATCH(depr_length,recovery_period,0)),""))</f>
        <v>189713.7997898497</v>
      </c>
      <c r="E105" s="195">
        <f>IF(AND(Main!$B$79="Straight Line",E$72&lt;=depr_length),$B105/depr_length,IF(AND(Main!$B$79="MACRS",E$72&lt;=depr_length+1),$B105*INDEX(MACRS_table,MATCH(E$72,recovery_year,0),MATCH(depr_length,recovery_period,0)),""))</f>
        <v>175470.15392669709</v>
      </c>
      <c r="F105" s="195">
        <f>IF(AND(Main!$B$79="Straight Line",F$72&lt;=depr_length),$B105/depr_length,IF(AND(Main!$B$79="MACRS",F$72&lt;=depr_length+1),$B105*INDEX(MACRS_table,MATCH(F$72,recovery_year,0),MATCH(depr_length,recovery_period,0)),""))</f>
        <v>162330.25921899176</v>
      </c>
      <c r="G105" s="195">
        <f>IF(AND(Main!$B$79="Straight Line",G$72&lt;=depr_length),$B105/depr_length,IF(AND(Main!$B$79="MACRS",G$72&lt;=depr_length+1),$B105*INDEX(MACRS_table,MATCH(G$72,recovery_year,0),MATCH(depr_length,recovery_period,0)),""))</f>
        <v>150136.43693024121</v>
      </c>
      <c r="H105" s="195">
        <f>IF(AND(Main!$B$79="Straight Line",H$72&lt;=depr_length),$B105/depr_length,IF(AND(Main!$B$79="MACRS",H$72&lt;=depr_length+1),$B105*INDEX(MACRS_table,MATCH(H$72,recovery_year,0),MATCH(depr_length,recovery_period,0)),""))</f>
        <v>138888.68706044543</v>
      </c>
      <c r="I105" s="195">
        <f>IF(AND(Main!$B$79="Straight Line",I$72&lt;=depr_length),$B105/depr_length,IF(AND(Main!$B$79="MACRS",I$72&lt;=depr_length+1),$B105*INDEX(MACRS_table,MATCH(I$72,recovery_year,0),MATCH(depr_length,recovery_period,0)),""))</f>
        <v>128455.6106625274</v>
      </c>
      <c r="J105" s="195">
        <f>IF(AND(Main!$B$79="Straight Line",J$72&lt;=depr_length),$B105/depr_length,IF(AND(Main!$B$79="MACRS",J$72&lt;=depr_length+1),$B105*INDEX(MACRS_table,MATCH(J$72,recovery_year,0),MATCH(depr_length,recovery_period,0)),""))</f>
        <v>118837.20773648709</v>
      </c>
      <c r="K105" s="195">
        <f>IF(AND(Main!$B$79="Straight Line",K$72&lt;=depr_length),$B105/depr_length,IF(AND(Main!$B$79="MACRS",K$72&lt;=depr_length+1),$B105*INDEX(MACRS_table,MATCH(K$72,recovery_year,0),MATCH(depr_length,recovery_period,0)),""))</f>
        <v>117260.42037156245</v>
      </c>
      <c r="L105" s="195">
        <f>IF(AND(Main!$B$79="Straight Line",L$72&lt;=depr_length),$B105/depr_length,IF(AND(Main!$B$79="MACRS",L$72&lt;=depr_length+1),$B105*INDEX(MACRS_table,MATCH(L$72,recovery_year,0),MATCH(depr_length,recovery_period,0)),""))</f>
        <v>117234.14058214703</v>
      </c>
      <c r="M105" s="195">
        <f>IF(AND(Main!$B$79="Straight Line",M$72&lt;=depr_length),$B105/depr_length,IF(AND(Main!$B$79="MACRS",M$72&lt;=depr_length+1),$B105*INDEX(MACRS_table,MATCH(M$72,recovery_year,0),MATCH(depr_length,recovery_period,0)),""))</f>
        <v>117260.42037156245</v>
      </c>
      <c r="N105" s="195">
        <f>IF(AND(Main!$B$79="Straight Line",N$72&lt;=depr_length),$B105/depr_length,IF(AND(Main!$B$79="MACRS",N$72&lt;=depr_length+1),$B105*INDEX(MACRS_table,MATCH(N$72,recovery_year,0),MATCH(depr_length,recovery_period,0)),""))</f>
        <v>117234.14058214703</v>
      </c>
      <c r="O105" s="195">
        <f>IF(AND(Main!$B$79="Straight Line",O$72&lt;=depr_length),$B105/depr_length,IF(AND(Main!$B$79="MACRS",O$72&lt;=depr_length+1),$B105*INDEX(MACRS_table,MATCH(O$72,recovery_year,0),MATCH(depr_length,recovery_period,0)),""))</f>
        <v>117260.42037156245</v>
      </c>
      <c r="P105" s="195">
        <f>IF(AND(Main!$B$79="Straight Line",P$72&lt;=depr_length),$B105/depr_length,IF(AND(Main!$B$79="MACRS",P$72&lt;=depr_length+1),$B105*INDEX(MACRS_table,MATCH(P$72,recovery_year,0),MATCH(depr_length,recovery_period,0)),""))</f>
        <v>117234.14058214703</v>
      </c>
      <c r="Q105" s="195">
        <f>IF(AND(Main!$B$79="Straight Line",Q$72&lt;=depr_length),$B105/depr_length,IF(AND(Main!$B$79="MACRS",Q$72&lt;=depr_length+1),$B105*INDEX(MACRS_table,MATCH(Q$72,recovery_year,0),MATCH(depr_length,recovery_period,0)),""))</f>
        <v>117260.42037156245</v>
      </c>
      <c r="R105" s="195">
        <f>IF(AND(Main!$B$79="Straight Line",R$72&lt;=depr_length),$B105/depr_length,IF(AND(Main!$B$79="MACRS",R$72&lt;=depr_length+1),$B105*INDEX(MACRS_table,MATCH(R$72,recovery_year,0),MATCH(depr_length,recovery_period,0)),""))</f>
        <v>117234.14058214703</v>
      </c>
      <c r="S105" s="195">
        <f>IF(AND(Main!$B$79="Straight Line",S$72&lt;=depr_length),$B105/depr_length,IF(AND(Main!$B$79="MACRS",S$72&lt;=depr_length+1),$B105*INDEX(MACRS_table,MATCH(S$72,recovery_year,0),MATCH(depr_length,recovery_period,0)),""))</f>
        <v>117260.42037156245</v>
      </c>
      <c r="T105" s="195">
        <f>IF(AND(Main!$B$79="Straight Line",T$72&lt;=depr_length),$B105/depr_length,IF(AND(Main!$B$79="MACRS",T$72&lt;=depr_length+1),$B105*INDEX(MACRS_table,MATCH(T$72,recovery_year,0),MATCH(depr_length,recovery_period,0)),""))</f>
        <v>117234.14058214703</v>
      </c>
      <c r="U105" s="195">
        <f>IF(AND(Main!$B$79="Straight Line",U$72&lt;=depr_length),$B105/depr_length,IF(AND(Main!$B$79="MACRS",U$72&lt;=depr_length+1),$B105*INDEX(MACRS_table,MATCH(U$72,recovery_year,0),MATCH(depr_length,recovery_period,0)),""))</f>
        <v>117260.42037156245</v>
      </c>
      <c r="V105" s="195">
        <f>IF(AND(Main!$B$79="Straight Line",V$72&lt;=depr_length),$B105/depr_length,IF(AND(Main!$B$79="MACRS",V$72&lt;=depr_length+1),$B105*INDEX(MACRS_table,MATCH(V$72,recovery_year,0),MATCH(depr_length,recovery_period,0)),""))</f>
        <v>117234.14058214703</v>
      </c>
      <c r="W105" s="195">
        <f>IF(AND(Main!$B$79="Straight Line",W$72&lt;=depr_length),$B105/depr_length,IF(AND(Main!$B$79="MACRS",W$72&lt;=depr_length+1),$B105*INDEX(MACRS_table,MATCH(W$72,recovery_year,0),MATCH(depr_length,recovery_period,0)),""))</f>
        <v>58630.210185781223</v>
      </c>
      <c r="X105" s="196" cm="1">
        <f t="array" ref="X105">SUMPRODUCT((ROW($C$73:$W$113)-MIN(ROW(E95:Y135))=MIN(COLUMN(E95:Y135))-COLUMN($C$73:$W$113))*($C$73:$W$113))</f>
        <v>38092186.264443256</v>
      </c>
    </row>
    <row r="106" spans="1:24" x14ac:dyDescent="0.15">
      <c r="A106" s="115">
        <v>33</v>
      </c>
      <c r="B106" s="194">
        <f t="shared" si="20"/>
        <v>2677910.5414303481</v>
      </c>
      <c r="C106" s="195">
        <f>IF(AND(Main!$B$79="Straight Line",C$72&lt;=depr_length),$B106/depr_length,IF(AND(Main!$B$79="MACRS",C$72&lt;=depr_length+1),$B106*INDEX(MACRS_table,MATCH(C$72,recovery_year,0),MATCH(depr_length,recovery_period,0)),""))</f>
        <v>100421.64530363806</v>
      </c>
      <c r="D106" s="195">
        <f>IF(AND(Main!$B$79="Straight Line",D$72&lt;=depr_length),$B106/depr_length,IF(AND(Main!$B$79="MACRS",D$72&lt;=depr_length+1),$B106*INDEX(MACRS_table,MATCH(D$72,recovery_year,0),MATCH(depr_length,recovery_period,0)),""))</f>
        <v>193318.36198585684</v>
      </c>
      <c r="E106" s="195">
        <f>IF(AND(Main!$B$79="Straight Line",E$72&lt;=depr_length),$B106/depr_length,IF(AND(Main!$B$79="MACRS",E$72&lt;=depr_length+1),$B106*INDEX(MACRS_table,MATCH(E$72,recovery_year,0),MATCH(depr_length,recovery_period,0)),""))</f>
        <v>178804.08685130434</v>
      </c>
      <c r="F106" s="195">
        <f>IF(AND(Main!$B$79="Straight Line",F$72&lt;=depr_length),$B106/depr_length,IF(AND(Main!$B$79="MACRS",F$72&lt;=depr_length+1),$B106*INDEX(MACRS_table,MATCH(F$72,recovery_year,0),MATCH(depr_length,recovery_period,0)),""))</f>
        <v>165414.5341441526</v>
      </c>
      <c r="G106" s="195">
        <f>IF(AND(Main!$B$79="Straight Line",G$72&lt;=depr_length),$B106/depr_length,IF(AND(Main!$B$79="MACRS",G$72&lt;=depr_length+1),$B106*INDEX(MACRS_table,MATCH(G$72,recovery_year,0),MATCH(depr_length,recovery_period,0)),""))</f>
        <v>152989.02923191577</v>
      </c>
      <c r="H106" s="195">
        <f>IF(AND(Main!$B$79="Straight Line",H$72&lt;=depr_length),$B106/depr_length,IF(AND(Main!$B$79="MACRS",H$72&lt;=depr_length+1),$B106*INDEX(MACRS_table,MATCH(H$72,recovery_year,0),MATCH(depr_length,recovery_period,0)),""))</f>
        <v>141527.5721145939</v>
      </c>
      <c r="I106" s="195">
        <f>IF(AND(Main!$B$79="Straight Line",I$72&lt;=depr_length),$B106/depr_length,IF(AND(Main!$B$79="MACRS",I$72&lt;=depr_length+1),$B106*INDEX(MACRS_table,MATCH(I$72,recovery_year,0),MATCH(depr_length,recovery_period,0)),""))</f>
        <v>130896.26726511541</v>
      </c>
      <c r="J106" s="195">
        <f>IF(AND(Main!$B$79="Straight Line",J$72&lt;=depr_length),$B106/depr_length,IF(AND(Main!$B$79="MACRS",J$72&lt;=depr_length+1),$B106*INDEX(MACRS_table,MATCH(J$72,recovery_year,0),MATCH(depr_length,recovery_period,0)),""))</f>
        <v>121095.11468348035</v>
      </c>
      <c r="K106" s="195">
        <f>IF(AND(Main!$B$79="Straight Line",K$72&lt;=depr_length),$B106/depr_length,IF(AND(Main!$B$79="MACRS",K$72&lt;=depr_length+1),$B106*INDEX(MACRS_table,MATCH(K$72,recovery_year,0),MATCH(depr_length,recovery_period,0)),""))</f>
        <v>119488.36835862213</v>
      </c>
      <c r="L106" s="195">
        <f>IF(AND(Main!$B$79="Straight Line",L$72&lt;=depr_length),$B106/depr_length,IF(AND(Main!$B$79="MACRS",L$72&lt;=depr_length+1),$B106*INDEX(MACRS_table,MATCH(L$72,recovery_year,0),MATCH(depr_length,recovery_period,0)),""))</f>
        <v>119461.58925320781</v>
      </c>
      <c r="M106" s="195">
        <f>IF(AND(Main!$B$79="Straight Line",M$72&lt;=depr_length),$B106/depr_length,IF(AND(Main!$B$79="MACRS",M$72&lt;=depr_length+1),$B106*INDEX(MACRS_table,MATCH(M$72,recovery_year,0),MATCH(depr_length,recovery_period,0)),""))</f>
        <v>119488.36835862213</v>
      </c>
      <c r="N106" s="195">
        <f>IF(AND(Main!$B$79="Straight Line",N$72&lt;=depr_length),$B106/depr_length,IF(AND(Main!$B$79="MACRS",N$72&lt;=depr_length+1),$B106*INDEX(MACRS_table,MATCH(N$72,recovery_year,0),MATCH(depr_length,recovery_period,0)),""))</f>
        <v>119461.58925320781</v>
      </c>
      <c r="O106" s="195">
        <f>IF(AND(Main!$B$79="Straight Line",O$72&lt;=depr_length),$B106/depr_length,IF(AND(Main!$B$79="MACRS",O$72&lt;=depr_length+1),$B106*INDEX(MACRS_table,MATCH(O$72,recovery_year,0),MATCH(depr_length,recovery_period,0)),""))</f>
        <v>119488.36835862213</v>
      </c>
      <c r="P106" s="195">
        <f>IF(AND(Main!$B$79="Straight Line",P$72&lt;=depr_length),$B106/depr_length,IF(AND(Main!$B$79="MACRS",P$72&lt;=depr_length+1),$B106*INDEX(MACRS_table,MATCH(P$72,recovery_year,0),MATCH(depr_length,recovery_period,0)),""))</f>
        <v>119461.58925320781</v>
      </c>
      <c r="Q106" s="195">
        <f>IF(AND(Main!$B$79="Straight Line",Q$72&lt;=depr_length),$B106/depr_length,IF(AND(Main!$B$79="MACRS",Q$72&lt;=depr_length+1),$B106*INDEX(MACRS_table,MATCH(Q$72,recovery_year,0),MATCH(depr_length,recovery_period,0)),""))</f>
        <v>119488.36835862213</v>
      </c>
      <c r="R106" s="195">
        <f>IF(AND(Main!$B$79="Straight Line",R$72&lt;=depr_length),$B106/depr_length,IF(AND(Main!$B$79="MACRS",R$72&lt;=depr_length+1),$B106*INDEX(MACRS_table,MATCH(R$72,recovery_year,0),MATCH(depr_length,recovery_period,0)),""))</f>
        <v>119461.58925320781</v>
      </c>
      <c r="S106" s="195">
        <f>IF(AND(Main!$B$79="Straight Line",S$72&lt;=depr_length),$B106/depr_length,IF(AND(Main!$B$79="MACRS",S$72&lt;=depr_length+1),$B106*INDEX(MACRS_table,MATCH(S$72,recovery_year,0),MATCH(depr_length,recovery_period,0)),""))</f>
        <v>119488.36835862213</v>
      </c>
      <c r="T106" s="195">
        <f>IF(AND(Main!$B$79="Straight Line",T$72&lt;=depr_length),$B106/depr_length,IF(AND(Main!$B$79="MACRS",T$72&lt;=depr_length+1),$B106*INDEX(MACRS_table,MATCH(T$72,recovery_year,0),MATCH(depr_length,recovery_period,0)),""))</f>
        <v>119461.58925320781</v>
      </c>
      <c r="U106" s="195">
        <f>IF(AND(Main!$B$79="Straight Line",U$72&lt;=depr_length),$B106/depr_length,IF(AND(Main!$B$79="MACRS",U$72&lt;=depr_length+1),$B106*INDEX(MACRS_table,MATCH(U$72,recovery_year,0),MATCH(depr_length,recovery_period,0)),""))</f>
        <v>119488.36835862213</v>
      </c>
      <c r="V106" s="195">
        <f>IF(AND(Main!$B$79="Straight Line",V$72&lt;=depr_length),$B106/depr_length,IF(AND(Main!$B$79="MACRS",V$72&lt;=depr_length+1),$B106*INDEX(MACRS_table,MATCH(V$72,recovery_year,0),MATCH(depr_length,recovery_period,0)),""))</f>
        <v>119461.58925320781</v>
      </c>
      <c r="W106" s="195">
        <f>IF(AND(Main!$B$79="Straight Line",W$72&lt;=depr_length),$B106/depr_length,IF(AND(Main!$B$79="MACRS",W$72&lt;=depr_length+1),$B106*INDEX(MACRS_table,MATCH(W$72,recovery_year,0),MATCH(depr_length,recovery_period,0)),""))</f>
        <v>59744.184179311065</v>
      </c>
      <c r="X106" s="196" cm="1">
        <f t="array" ref="X106">SUMPRODUCT((ROW($C$73:$W$113)-MIN(ROW(E96:Y136))=MIN(COLUMN(E96:Y136))-COLUMN($C$73:$W$113))*($C$73:$W$113))</f>
        <v>36783741.641575038</v>
      </c>
    </row>
    <row r="107" spans="1:24" x14ac:dyDescent="0.15">
      <c r="A107" s="115">
        <v>34</v>
      </c>
      <c r="B107" s="194">
        <f t="shared" si="20"/>
        <v>2728790.8417175245</v>
      </c>
      <c r="C107" s="195">
        <f>IF(AND(Main!$B$79="Straight Line",C$72&lt;=depr_length),$B107/depr_length,IF(AND(Main!$B$79="MACRS",C$72&lt;=depr_length+1),$B107*INDEX(MACRS_table,MATCH(C$72,recovery_year,0),MATCH(depr_length,recovery_period,0)),""))</f>
        <v>102329.65656440717</v>
      </c>
      <c r="D107" s="195">
        <f>IF(AND(Main!$B$79="Straight Line",D$72&lt;=depr_length),$B107/depr_length,IF(AND(Main!$B$79="MACRS",D$72&lt;=depr_length+1),$B107*INDEX(MACRS_table,MATCH(D$72,recovery_year,0),MATCH(depr_length,recovery_period,0)),""))</f>
        <v>196991.4108635881</v>
      </c>
      <c r="E107" s="195">
        <f>IF(AND(Main!$B$79="Straight Line",E$72&lt;=depr_length),$B107/depr_length,IF(AND(Main!$B$79="MACRS",E$72&lt;=depr_length+1),$B107*INDEX(MACRS_table,MATCH(E$72,recovery_year,0),MATCH(depr_length,recovery_period,0)),""))</f>
        <v>182201.36450147911</v>
      </c>
      <c r="F107" s="195">
        <f>IF(AND(Main!$B$79="Straight Line",F$72&lt;=depr_length),$B107/depr_length,IF(AND(Main!$B$79="MACRS",F$72&lt;=depr_length+1),$B107*INDEX(MACRS_table,MATCH(F$72,recovery_year,0),MATCH(depr_length,recovery_period,0)),""))</f>
        <v>168557.41029289149</v>
      </c>
      <c r="G107" s="195">
        <f>IF(AND(Main!$B$79="Straight Line",G$72&lt;=depr_length),$B107/depr_length,IF(AND(Main!$B$79="MACRS",G$72&lt;=depr_length+1),$B107*INDEX(MACRS_table,MATCH(G$72,recovery_year,0),MATCH(depr_length,recovery_period,0)),""))</f>
        <v>155895.82078732218</v>
      </c>
      <c r="H107" s="195">
        <f>IF(AND(Main!$B$79="Straight Line",H$72&lt;=depr_length),$B107/depr_length,IF(AND(Main!$B$79="MACRS",H$72&lt;=depr_length+1),$B107*INDEX(MACRS_table,MATCH(H$72,recovery_year,0),MATCH(depr_length,recovery_period,0)),""))</f>
        <v>144216.59598477118</v>
      </c>
      <c r="I107" s="195">
        <f>IF(AND(Main!$B$79="Straight Line",I$72&lt;=depr_length),$B107/depr_length,IF(AND(Main!$B$79="MACRS",I$72&lt;=depr_length+1),$B107*INDEX(MACRS_table,MATCH(I$72,recovery_year,0),MATCH(depr_length,recovery_period,0)),""))</f>
        <v>133383.29634315259</v>
      </c>
      <c r="J107" s="195">
        <f>IF(AND(Main!$B$79="Straight Line",J$72&lt;=depr_length),$B107/depr_length,IF(AND(Main!$B$79="MACRS",J$72&lt;=depr_length+1),$B107*INDEX(MACRS_table,MATCH(J$72,recovery_year,0),MATCH(depr_length,recovery_period,0)),""))</f>
        <v>123395.92186246646</v>
      </c>
      <c r="K107" s="195">
        <f>IF(AND(Main!$B$79="Straight Line",K$72&lt;=depr_length),$B107/depr_length,IF(AND(Main!$B$79="MACRS",K$72&lt;=depr_length+1),$B107*INDEX(MACRS_table,MATCH(K$72,recovery_year,0),MATCH(depr_length,recovery_period,0)),""))</f>
        <v>121758.64735743594</v>
      </c>
      <c r="L107" s="195">
        <f>IF(AND(Main!$B$79="Straight Line",L$72&lt;=depr_length),$B107/depr_length,IF(AND(Main!$B$79="MACRS",L$72&lt;=depr_length+1),$B107*INDEX(MACRS_table,MATCH(L$72,recovery_year,0),MATCH(depr_length,recovery_period,0)),""))</f>
        <v>121731.35944901875</v>
      </c>
      <c r="M107" s="195">
        <f>IF(AND(Main!$B$79="Straight Line",M$72&lt;=depr_length),$B107/depr_length,IF(AND(Main!$B$79="MACRS",M$72&lt;=depr_length+1),$B107*INDEX(MACRS_table,MATCH(M$72,recovery_year,0),MATCH(depr_length,recovery_period,0)),""))</f>
        <v>121758.64735743594</v>
      </c>
      <c r="N107" s="195">
        <f>IF(AND(Main!$B$79="Straight Line",N$72&lt;=depr_length),$B107/depr_length,IF(AND(Main!$B$79="MACRS",N$72&lt;=depr_length+1),$B107*INDEX(MACRS_table,MATCH(N$72,recovery_year,0),MATCH(depr_length,recovery_period,0)),""))</f>
        <v>121731.35944901875</v>
      </c>
      <c r="O107" s="195">
        <f>IF(AND(Main!$B$79="Straight Line",O$72&lt;=depr_length),$B107/depr_length,IF(AND(Main!$B$79="MACRS",O$72&lt;=depr_length+1),$B107*INDEX(MACRS_table,MATCH(O$72,recovery_year,0),MATCH(depr_length,recovery_period,0)),""))</f>
        <v>121758.64735743594</v>
      </c>
      <c r="P107" s="195">
        <f>IF(AND(Main!$B$79="Straight Line",P$72&lt;=depr_length),$B107/depr_length,IF(AND(Main!$B$79="MACRS",P$72&lt;=depr_length+1),$B107*INDEX(MACRS_table,MATCH(P$72,recovery_year,0),MATCH(depr_length,recovery_period,0)),""))</f>
        <v>121731.35944901875</v>
      </c>
      <c r="Q107" s="195">
        <f>IF(AND(Main!$B$79="Straight Line",Q$72&lt;=depr_length),$B107/depr_length,IF(AND(Main!$B$79="MACRS",Q$72&lt;=depr_length+1),$B107*INDEX(MACRS_table,MATCH(Q$72,recovery_year,0),MATCH(depr_length,recovery_period,0)),""))</f>
        <v>121758.64735743594</v>
      </c>
      <c r="R107" s="195">
        <f>IF(AND(Main!$B$79="Straight Line",R$72&lt;=depr_length),$B107/depr_length,IF(AND(Main!$B$79="MACRS",R$72&lt;=depr_length+1),$B107*INDEX(MACRS_table,MATCH(R$72,recovery_year,0),MATCH(depr_length,recovery_period,0)),""))</f>
        <v>121731.35944901875</v>
      </c>
      <c r="S107" s="195">
        <f>IF(AND(Main!$B$79="Straight Line",S$72&lt;=depr_length),$B107/depr_length,IF(AND(Main!$B$79="MACRS",S$72&lt;=depr_length+1),$B107*INDEX(MACRS_table,MATCH(S$72,recovery_year,0),MATCH(depr_length,recovery_period,0)),""))</f>
        <v>121758.64735743594</v>
      </c>
      <c r="T107" s="195">
        <f>IF(AND(Main!$B$79="Straight Line",T$72&lt;=depr_length),$B107/depr_length,IF(AND(Main!$B$79="MACRS",T$72&lt;=depr_length+1),$B107*INDEX(MACRS_table,MATCH(T$72,recovery_year,0),MATCH(depr_length,recovery_period,0)),""))</f>
        <v>121731.35944901875</v>
      </c>
      <c r="U107" s="195">
        <f>IF(AND(Main!$B$79="Straight Line",U$72&lt;=depr_length),$B107/depr_length,IF(AND(Main!$B$79="MACRS",U$72&lt;=depr_length+1),$B107*INDEX(MACRS_table,MATCH(U$72,recovery_year,0),MATCH(depr_length,recovery_period,0)),""))</f>
        <v>121758.64735743594</v>
      </c>
      <c r="V107" s="195">
        <f>IF(AND(Main!$B$79="Straight Line",V$72&lt;=depr_length),$B107/depr_length,IF(AND(Main!$B$79="MACRS",V$72&lt;=depr_length+1),$B107*INDEX(MACRS_table,MATCH(V$72,recovery_year,0),MATCH(depr_length,recovery_period,0)),""))</f>
        <v>121731.35944901875</v>
      </c>
      <c r="W107" s="195">
        <f>IF(AND(Main!$B$79="Straight Line",W$72&lt;=depr_length),$B107/depr_length,IF(AND(Main!$B$79="MACRS",W$72&lt;=depr_length+1),$B107*INDEX(MACRS_table,MATCH(W$72,recovery_year,0),MATCH(depr_length,recovery_period,0)),""))</f>
        <v>60879.32367871797</v>
      </c>
      <c r="X107" s="196" cm="1">
        <f t="array" ref="X107">SUMPRODUCT((ROW($C$73:$W$113)-MIN(ROW(E97:Y137))=MIN(COLUMN(E97:Y137))-COLUMN($C$73:$W$113))*($C$73:$W$113))</f>
        <v>38057116.871713333</v>
      </c>
    </row>
    <row r="108" spans="1:24" x14ac:dyDescent="0.15">
      <c r="A108" s="115">
        <v>35</v>
      </c>
      <c r="B108" s="194">
        <f t="shared" si="20"/>
        <v>2780637.8677101573</v>
      </c>
      <c r="C108" s="195">
        <f>IF(AND(Main!$B$79="Straight Line",C$72&lt;=depr_length),$B108/depr_length,IF(AND(Main!$B$79="MACRS",C$72&lt;=depr_length+1),$B108*INDEX(MACRS_table,MATCH(C$72,recovery_year,0),MATCH(depr_length,recovery_period,0)),""))</f>
        <v>104273.9200391309</v>
      </c>
      <c r="D108" s="195">
        <f>IF(AND(Main!$B$79="Straight Line",D$72&lt;=depr_length),$B108/depr_length,IF(AND(Main!$B$79="MACRS",D$72&lt;=depr_length+1),$B108*INDEX(MACRS_table,MATCH(D$72,recovery_year,0),MATCH(depr_length,recovery_period,0)),""))</f>
        <v>200734.24766999626</v>
      </c>
      <c r="E108" s="195">
        <f>IF(AND(Main!$B$79="Straight Line",E$72&lt;=depr_length),$B108/depr_length,IF(AND(Main!$B$79="MACRS",E$72&lt;=depr_length+1),$B108*INDEX(MACRS_table,MATCH(E$72,recovery_year,0),MATCH(depr_length,recovery_period,0)),""))</f>
        <v>185663.19042700718</v>
      </c>
      <c r="F108" s="195">
        <f>IF(AND(Main!$B$79="Straight Line",F$72&lt;=depr_length),$B108/depr_length,IF(AND(Main!$B$79="MACRS",F$72&lt;=depr_length+1),$B108*INDEX(MACRS_table,MATCH(F$72,recovery_year,0),MATCH(depr_length,recovery_period,0)),""))</f>
        <v>171760.00108845643</v>
      </c>
      <c r="G108" s="195">
        <f>IF(AND(Main!$B$79="Straight Line",G$72&lt;=depr_length),$B108/depr_length,IF(AND(Main!$B$79="MACRS",G$72&lt;=depr_length+1),$B108*INDEX(MACRS_table,MATCH(G$72,recovery_year,0),MATCH(depr_length,recovery_period,0)),""))</f>
        <v>158857.84138228127</v>
      </c>
      <c r="H108" s="195">
        <f>IF(AND(Main!$B$79="Straight Line",H$72&lt;=depr_length),$B108/depr_length,IF(AND(Main!$B$79="MACRS",H$72&lt;=depr_length+1),$B108*INDEX(MACRS_table,MATCH(H$72,recovery_year,0),MATCH(depr_length,recovery_period,0)),""))</f>
        <v>146956.71130848181</v>
      </c>
      <c r="I108" s="195">
        <f>IF(AND(Main!$B$79="Straight Line",I$72&lt;=depr_length),$B108/depr_length,IF(AND(Main!$B$79="MACRS",I$72&lt;=depr_length+1),$B108*INDEX(MACRS_table,MATCH(I$72,recovery_year,0),MATCH(depr_length,recovery_period,0)),""))</f>
        <v>135917.5789736725</v>
      </c>
      <c r="J108" s="195">
        <f>IF(AND(Main!$B$79="Straight Line",J$72&lt;=depr_length),$B108/depr_length,IF(AND(Main!$B$79="MACRS",J$72&lt;=depr_length+1),$B108*INDEX(MACRS_table,MATCH(J$72,recovery_year,0),MATCH(depr_length,recovery_period,0)),""))</f>
        <v>125740.44437785332</v>
      </c>
      <c r="K108" s="195">
        <f>IF(AND(Main!$B$79="Straight Line",K$72&lt;=depr_length),$B108/depr_length,IF(AND(Main!$B$79="MACRS",K$72&lt;=depr_length+1),$B108*INDEX(MACRS_table,MATCH(K$72,recovery_year,0),MATCH(depr_length,recovery_period,0)),""))</f>
        <v>124072.06165722721</v>
      </c>
      <c r="L108" s="195">
        <f>IF(AND(Main!$B$79="Straight Line",L$72&lt;=depr_length),$B108/depr_length,IF(AND(Main!$B$79="MACRS",L$72&lt;=depr_length+1),$B108*INDEX(MACRS_table,MATCH(L$72,recovery_year,0),MATCH(depr_length,recovery_period,0)),""))</f>
        <v>124044.2552785501</v>
      </c>
      <c r="M108" s="195">
        <f>IF(AND(Main!$B$79="Straight Line",M$72&lt;=depr_length),$B108/depr_length,IF(AND(Main!$B$79="MACRS",M$72&lt;=depr_length+1),$B108*INDEX(MACRS_table,MATCH(M$72,recovery_year,0),MATCH(depr_length,recovery_period,0)),""))</f>
        <v>124072.06165722721</v>
      </c>
      <c r="N108" s="195">
        <f>IF(AND(Main!$B$79="Straight Line",N$72&lt;=depr_length),$B108/depr_length,IF(AND(Main!$B$79="MACRS",N$72&lt;=depr_length+1),$B108*INDEX(MACRS_table,MATCH(N$72,recovery_year,0),MATCH(depr_length,recovery_period,0)),""))</f>
        <v>124044.2552785501</v>
      </c>
      <c r="O108" s="195">
        <f>IF(AND(Main!$B$79="Straight Line",O$72&lt;=depr_length),$B108/depr_length,IF(AND(Main!$B$79="MACRS",O$72&lt;=depr_length+1),$B108*INDEX(MACRS_table,MATCH(O$72,recovery_year,0),MATCH(depr_length,recovery_period,0)),""))</f>
        <v>124072.06165722721</v>
      </c>
      <c r="P108" s="195">
        <f>IF(AND(Main!$B$79="Straight Line",P$72&lt;=depr_length),$B108/depr_length,IF(AND(Main!$B$79="MACRS",P$72&lt;=depr_length+1),$B108*INDEX(MACRS_table,MATCH(P$72,recovery_year,0),MATCH(depr_length,recovery_period,0)),""))</f>
        <v>124044.2552785501</v>
      </c>
      <c r="Q108" s="195">
        <f>IF(AND(Main!$B$79="Straight Line",Q$72&lt;=depr_length),$B108/depr_length,IF(AND(Main!$B$79="MACRS",Q$72&lt;=depr_length+1),$B108*INDEX(MACRS_table,MATCH(Q$72,recovery_year,0),MATCH(depr_length,recovery_period,0)),""))</f>
        <v>124072.06165722721</v>
      </c>
      <c r="R108" s="195">
        <f>IF(AND(Main!$B$79="Straight Line",R$72&lt;=depr_length),$B108/depr_length,IF(AND(Main!$B$79="MACRS",R$72&lt;=depr_length+1),$B108*INDEX(MACRS_table,MATCH(R$72,recovery_year,0),MATCH(depr_length,recovery_period,0)),""))</f>
        <v>124044.2552785501</v>
      </c>
      <c r="S108" s="195">
        <f>IF(AND(Main!$B$79="Straight Line",S$72&lt;=depr_length),$B108/depr_length,IF(AND(Main!$B$79="MACRS",S$72&lt;=depr_length+1),$B108*INDEX(MACRS_table,MATCH(S$72,recovery_year,0),MATCH(depr_length,recovery_period,0)),""))</f>
        <v>124072.06165722721</v>
      </c>
      <c r="T108" s="195">
        <f>IF(AND(Main!$B$79="Straight Line",T$72&lt;=depr_length),$B108/depr_length,IF(AND(Main!$B$79="MACRS",T$72&lt;=depr_length+1),$B108*INDEX(MACRS_table,MATCH(T$72,recovery_year,0),MATCH(depr_length,recovery_period,0)),""))</f>
        <v>124044.2552785501</v>
      </c>
      <c r="U108" s="195">
        <f>IF(AND(Main!$B$79="Straight Line",U$72&lt;=depr_length),$B108/depr_length,IF(AND(Main!$B$79="MACRS",U$72&lt;=depr_length+1),$B108*INDEX(MACRS_table,MATCH(U$72,recovery_year,0),MATCH(depr_length,recovery_period,0)),""))</f>
        <v>124072.06165722721</v>
      </c>
      <c r="V108" s="195">
        <f>IF(AND(Main!$B$79="Straight Line",V$72&lt;=depr_length),$B108/depr_length,IF(AND(Main!$B$79="MACRS",V$72&lt;=depr_length+1),$B108*INDEX(MACRS_table,MATCH(V$72,recovery_year,0),MATCH(depr_length,recovery_period,0)),""))</f>
        <v>124044.2552785501</v>
      </c>
      <c r="W108" s="195">
        <f>IF(AND(Main!$B$79="Straight Line",W$72&lt;=depr_length),$B108/depr_length,IF(AND(Main!$B$79="MACRS",W$72&lt;=depr_length+1),$B108*INDEX(MACRS_table,MATCH(W$72,recovery_year,0),MATCH(depr_length,recovery_period,0)),""))</f>
        <v>62036.030828613606</v>
      </c>
      <c r="X108" s="196" cm="1">
        <f t="array" ref="X108">SUMPRODUCT((ROW($C$73:$W$113)-MIN(ROW(E98:Y138))=MIN(COLUMN(E98:Y138))-COLUMN($C$73:$W$113))*($C$73:$W$113))</f>
        <v>39109441.193485297</v>
      </c>
    </row>
    <row r="109" spans="1:24" x14ac:dyDescent="0.15">
      <c r="A109" s="115">
        <v>36</v>
      </c>
      <c r="B109" s="194">
        <f t="shared" si="20"/>
        <v>137649383.29073715</v>
      </c>
      <c r="C109" s="195">
        <f>IF(AND(Main!$B$79="Straight Line",C$72&lt;=depr_length),$B109/depr_length,IF(AND(Main!$B$79="MACRS",C$72&lt;=depr_length+1),$B109*INDEX(MACRS_table,MATCH(C$72,recovery_year,0),MATCH(depr_length,recovery_period,0)),""))</f>
        <v>5161851.873402643</v>
      </c>
      <c r="D109" s="195">
        <f>IF(AND(Main!$B$79="Straight Line",D$72&lt;=depr_length),$B109/depr_length,IF(AND(Main!$B$79="MACRS",D$72&lt;=depr_length+1),$B109*INDEX(MACRS_table,MATCH(D$72,recovery_year,0),MATCH(depr_length,recovery_period,0)),""))</f>
        <v>9936908.9797583148</v>
      </c>
      <c r="E109" s="195">
        <f>IF(AND(Main!$B$79="Straight Line",E$72&lt;=depr_length),$B109/depr_length,IF(AND(Main!$B$79="MACRS",E$72&lt;=depr_length+1),$B109*INDEX(MACRS_table,MATCH(E$72,recovery_year,0),MATCH(depr_length,recovery_period,0)),""))</f>
        <v>9190849.3223225195</v>
      </c>
      <c r="F109" s="195">
        <f>IF(AND(Main!$B$79="Straight Line",F$72&lt;=depr_length),$B109/depr_length,IF(AND(Main!$B$79="MACRS",F$72&lt;=depr_length+1),$B109*INDEX(MACRS_table,MATCH(F$72,recovery_year,0),MATCH(depr_length,recovery_period,0)),""))</f>
        <v>8502602.4058688339</v>
      </c>
      <c r="G109" s="195">
        <f>IF(AND(Main!$B$79="Straight Line",G$72&lt;=depr_length),$B109/depr_length,IF(AND(Main!$B$79="MACRS",G$72&lt;=depr_length+1),$B109*INDEX(MACRS_table,MATCH(G$72,recovery_year,0),MATCH(depr_length,recovery_period,0)),""))</f>
        <v>7863909.267399814</v>
      </c>
      <c r="H109" s="195">
        <f>IF(AND(Main!$B$79="Straight Line",H$72&lt;=depr_length),$B109/depr_length,IF(AND(Main!$B$79="MACRS",H$72&lt;=depr_length+1),$B109*INDEX(MACRS_table,MATCH(H$72,recovery_year,0),MATCH(depr_length,recovery_period,0)),""))</f>
        <v>7274769.9069154589</v>
      </c>
      <c r="I109" s="195">
        <f>IF(AND(Main!$B$79="Straight Line",I$72&lt;=depr_length),$B109/depr_length,IF(AND(Main!$B$79="MACRS",I$72&lt;=depr_length+1),$B109*INDEX(MACRS_table,MATCH(I$72,recovery_year,0),MATCH(depr_length,recovery_period,0)),""))</f>
        <v>6728301.8552512322</v>
      </c>
      <c r="J109" s="195">
        <f>IF(AND(Main!$B$79="Straight Line",J$72&lt;=depr_length),$B109/depr_length,IF(AND(Main!$B$79="MACRS",J$72&lt;=depr_length+1),$B109*INDEX(MACRS_table,MATCH(J$72,recovery_year,0),MATCH(depr_length,recovery_period,0)),""))</f>
        <v>6224505.1124071348</v>
      </c>
      <c r="K109" s="195">
        <f>IF(AND(Main!$B$79="Straight Line",K$72&lt;=depr_length),$B109/depr_length,IF(AND(Main!$B$79="MACRS",K$72&lt;=depr_length+1),$B109*INDEX(MACRS_table,MATCH(K$72,recovery_year,0),MATCH(depr_length,recovery_period,0)),""))</f>
        <v>6141915.4824326914</v>
      </c>
      <c r="L109" s="195">
        <f>IF(AND(Main!$B$79="Straight Line",L$72&lt;=depr_length),$B109/depr_length,IF(AND(Main!$B$79="MACRS",L$72&lt;=depr_length+1),$B109*INDEX(MACRS_table,MATCH(L$72,recovery_year,0),MATCH(depr_length,recovery_period,0)),""))</f>
        <v>6140538.9885997837</v>
      </c>
      <c r="M109" s="195">
        <f>IF(AND(Main!$B$79="Straight Line",M$72&lt;=depr_length),$B109/depr_length,IF(AND(Main!$B$79="MACRS",M$72&lt;=depr_length+1),$B109*INDEX(MACRS_table,MATCH(M$72,recovery_year,0),MATCH(depr_length,recovery_period,0)),""))</f>
        <v>6141915.4824326914</v>
      </c>
      <c r="N109" s="195">
        <f>IF(AND(Main!$B$79="Straight Line",N$72&lt;=depr_length),$B109/depr_length,IF(AND(Main!$B$79="MACRS",N$72&lt;=depr_length+1),$B109*INDEX(MACRS_table,MATCH(N$72,recovery_year,0),MATCH(depr_length,recovery_period,0)),""))</f>
        <v>6140538.9885997837</v>
      </c>
      <c r="O109" s="195">
        <f>IF(AND(Main!$B$79="Straight Line",O$72&lt;=depr_length),$B109/depr_length,IF(AND(Main!$B$79="MACRS",O$72&lt;=depr_length+1),$B109*INDEX(MACRS_table,MATCH(O$72,recovery_year,0),MATCH(depr_length,recovery_period,0)),""))</f>
        <v>6141915.4824326914</v>
      </c>
      <c r="P109" s="195">
        <f>IF(AND(Main!$B$79="Straight Line",P$72&lt;=depr_length),$B109/depr_length,IF(AND(Main!$B$79="MACRS",P$72&lt;=depr_length+1),$B109*INDEX(MACRS_table,MATCH(P$72,recovery_year,0),MATCH(depr_length,recovery_period,0)),""))</f>
        <v>6140538.9885997837</v>
      </c>
      <c r="Q109" s="195">
        <f>IF(AND(Main!$B$79="Straight Line",Q$72&lt;=depr_length),$B109/depr_length,IF(AND(Main!$B$79="MACRS",Q$72&lt;=depr_length+1),$B109*INDEX(MACRS_table,MATCH(Q$72,recovery_year,0),MATCH(depr_length,recovery_period,0)),""))</f>
        <v>6141915.4824326914</v>
      </c>
      <c r="R109" s="195">
        <f>IF(AND(Main!$B$79="Straight Line",R$72&lt;=depr_length),$B109/depr_length,IF(AND(Main!$B$79="MACRS",R$72&lt;=depr_length+1),$B109*INDEX(MACRS_table,MATCH(R$72,recovery_year,0),MATCH(depr_length,recovery_period,0)),""))</f>
        <v>6140538.9885997837</v>
      </c>
      <c r="S109" s="195">
        <f>IF(AND(Main!$B$79="Straight Line",S$72&lt;=depr_length),$B109/depr_length,IF(AND(Main!$B$79="MACRS",S$72&lt;=depr_length+1),$B109*INDEX(MACRS_table,MATCH(S$72,recovery_year,0),MATCH(depr_length,recovery_period,0)),""))</f>
        <v>6141915.4824326914</v>
      </c>
      <c r="T109" s="195">
        <f>IF(AND(Main!$B$79="Straight Line",T$72&lt;=depr_length),$B109/depr_length,IF(AND(Main!$B$79="MACRS",T$72&lt;=depr_length+1),$B109*INDEX(MACRS_table,MATCH(T$72,recovery_year,0),MATCH(depr_length,recovery_period,0)),""))</f>
        <v>6140538.9885997837</v>
      </c>
      <c r="U109" s="195">
        <f>IF(AND(Main!$B$79="Straight Line",U$72&lt;=depr_length),$B109/depr_length,IF(AND(Main!$B$79="MACRS",U$72&lt;=depr_length+1),$B109*INDEX(MACRS_table,MATCH(U$72,recovery_year,0),MATCH(depr_length,recovery_period,0)),""))</f>
        <v>6141915.4824326914</v>
      </c>
      <c r="V109" s="195">
        <f>IF(AND(Main!$B$79="Straight Line",V$72&lt;=depr_length),$B109/depr_length,IF(AND(Main!$B$79="MACRS",V$72&lt;=depr_length+1),$B109*INDEX(MACRS_table,MATCH(V$72,recovery_year,0),MATCH(depr_length,recovery_period,0)),""))</f>
        <v>6140538.9885997837</v>
      </c>
      <c r="W109" s="195">
        <f>IF(AND(Main!$B$79="Straight Line",W$72&lt;=depr_length),$B109/depr_length,IF(AND(Main!$B$79="MACRS",W$72&lt;=depr_length+1),$B109*INDEX(MACRS_table,MATCH(W$72,recovery_year,0),MATCH(depr_length,recovery_period,0)),""))</f>
        <v>3070957.7412163457</v>
      </c>
      <c r="X109" s="196" cm="1">
        <f t="array" ref="X109">SUMPRODUCT((ROW($C$73:$W$113)-MIN(ROW(E99:Y139))=MIN(COLUMN(E99:Y139))-COLUMN($C$73:$W$113))*($C$73:$W$113))</f>
        <v>37479767.970564499</v>
      </c>
    </row>
    <row r="110" spans="1:24" x14ac:dyDescent="0.15">
      <c r="A110" s="115">
        <v>37</v>
      </c>
      <c r="B110" s="194">
        <f t="shared" si="20"/>
        <v>2887305.9169533867</v>
      </c>
      <c r="C110" s="195">
        <f>IF(AND(Main!$B$79="Straight Line",C$72&lt;=depr_length),$B110/depr_length,IF(AND(Main!$B$79="MACRS",C$72&lt;=depr_length+1),$B110*INDEX(MACRS_table,MATCH(C$72,recovery_year,0),MATCH(depr_length,recovery_period,0)),""))</f>
        <v>108273.97188575201</v>
      </c>
      <c r="D110" s="195">
        <f>IF(AND(Main!$B$79="Straight Line",D$72&lt;=depr_length),$B110/depr_length,IF(AND(Main!$B$79="MACRS",D$72&lt;=depr_length+1),$B110*INDEX(MACRS_table,MATCH(D$72,recovery_year,0),MATCH(depr_length,recovery_period,0)),""))</f>
        <v>208434.61414486499</v>
      </c>
      <c r="E110" s="195">
        <f>IF(AND(Main!$B$79="Straight Line",E$72&lt;=depr_length),$B110/depr_length,IF(AND(Main!$B$79="MACRS",E$72&lt;=depr_length+1),$B110*INDEX(MACRS_table,MATCH(E$72,recovery_year,0),MATCH(depr_length,recovery_period,0)),""))</f>
        <v>192785.41607497763</v>
      </c>
      <c r="F110" s="195">
        <f>IF(AND(Main!$B$79="Straight Line",F$72&lt;=depr_length),$B110/depr_length,IF(AND(Main!$B$79="MACRS",F$72&lt;=depr_length+1),$B110*INDEX(MACRS_table,MATCH(F$72,recovery_year,0),MATCH(depr_length,recovery_period,0)),""))</f>
        <v>178348.88649021069</v>
      </c>
      <c r="G110" s="195">
        <f>IF(AND(Main!$B$79="Straight Line",G$72&lt;=depr_length),$B110/depr_length,IF(AND(Main!$B$79="MACRS",G$72&lt;=depr_length+1),$B110*INDEX(MACRS_table,MATCH(G$72,recovery_year,0),MATCH(depr_length,recovery_period,0)),""))</f>
        <v>164951.78703554699</v>
      </c>
      <c r="H110" s="195">
        <f>IF(AND(Main!$B$79="Straight Line",H$72&lt;=depr_length),$B110/depr_length,IF(AND(Main!$B$79="MACRS",H$72&lt;=depr_length+1),$B110*INDEX(MACRS_table,MATCH(H$72,recovery_year,0),MATCH(depr_length,recovery_period,0)),""))</f>
        <v>152594.11771098649</v>
      </c>
      <c r="I110" s="195">
        <f>IF(AND(Main!$B$79="Straight Line",I$72&lt;=depr_length),$B110/depr_length,IF(AND(Main!$B$79="MACRS",I$72&lt;=depr_length+1),$B110*INDEX(MACRS_table,MATCH(I$72,recovery_year,0),MATCH(depr_length,recovery_period,0)),""))</f>
        <v>141131.51322068155</v>
      </c>
      <c r="J110" s="195">
        <f>IF(AND(Main!$B$79="Straight Line",J$72&lt;=depr_length),$B110/depr_length,IF(AND(Main!$B$79="MACRS",J$72&lt;=depr_length+1),$B110*INDEX(MACRS_table,MATCH(J$72,recovery_year,0),MATCH(depr_length,recovery_period,0)),""))</f>
        <v>130563.97356463216</v>
      </c>
      <c r="K110" s="195">
        <f>IF(AND(Main!$B$79="Straight Line",K$72&lt;=depr_length),$B110/depr_length,IF(AND(Main!$B$79="MACRS",K$72&lt;=depr_length+1),$B110*INDEX(MACRS_table,MATCH(K$72,recovery_year,0),MATCH(depr_length,recovery_period,0)),""))</f>
        <v>128831.59001446012</v>
      </c>
      <c r="L110" s="195">
        <f>IF(AND(Main!$B$79="Straight Line",L$72&lt;=depr_length),$B110/depr_length,IF(AND(Main!$B$79="MACRS",L$72&lt;=depr_length+1),$B110*INDEX(MACRS_table,MATCH(L$72,recovery_year,0),MATCH(depr_length,recovery_period,0)),""))</f>
        <v>128802.71695529057</v>
      </c>
      <c r="M110" s="195">
        <f>IF(AND(Main!$B$79="Straight Line",M$72&lt;=depr_length),$B110/depr_length,IF(AND(Main!$B$79="MACRS",M$72&lt;=depr_length+1),$B110*INDEX(MACRS_table,MATCH(M$72,recovery_year,0),MATCH(depr_length,recovery_period,0)),""))</f>
        <v>128831.59001446012</v>
      </c>
      <c r="N110" s="195">
        <f>IF(AND(Main!$B$79="Straight Line",N$72&lt;=depr_length),$B110/depr_length,IF(AND(Main!$B$79="MACRS",N$72&lt;=depr_length+1),$B110*INDEX(MACRS_table,MATCH(N$72,recovery_year,0),MATCH(depr_length,recovery_period,0)),""))</f>
        <v>128802.71695529057</v>
      </c>
      <c r="O110" s="195">
        <f>IF(AND(Main!$B$79="Straight Line",O$72&lt;=depr_length),$B110/depr_length,IF(AND(Main!$B$79="MACRS",O$72&lt;=depr_length+1),$B110*INDEX(MACRS_table,MATCH(O$72,recovery_year,0),MATCH(depr_length,recovery_period,0)),""))</f>
        <v>128831.59001446012</v>
      </c>
      <c r="P110" s="195">
        <f>IF(AND(Main!$B$79="Straight Line",P$72&lt;=depr_length),$B110/depr_length,IF(AND(Main!$B$79="MACRS",P$72&lt;=depr_length+1),$B110*INDEX(MACRS_table,MATCH(P$72,recovery_year,0),MATCH(depr_length,recovery_period,0)),""))</f>
        <v>128802.71695529057</v>
      </c>
      <c r="Q110" s="195">
        <f>IF(AND(Main!$B$79="Straight Line",Q$72&lt;=depr_length),$B110/depr_length,IF(AND(Main!$B$79="MACRS",Q$72&lt;=depr_length+1),$B110*INDEX(MACRS_table,MATCH(Q$72,recovery_year,0),MATCH(depr_length,recovery_period,0)),""))</f>
        <v>128831.59001446012</v>
      </c>
      <c r="R110" s="195">
        <f>IF(AND(Main!$B$79="Straight Line",R$72&lt;=depr_length),$B110/depr_length,IF(AND(Main!$B$79="MACRS",R$72&lt;=depr_length+1),$B110*INDEX(MACRS_table,MATCH(R$72,recovery_year,0),MATCH(depr_length,recovery_period,0)),""))</f>
        <v>128802.71695529057</v>
      </c>
      <c r="S110" s="195">
        <f>IF(AND(Main!$B$79="Straight Line",S$72&lt;=depr_length),$B110/depr_length,IF(AND(Main!$B$79="MACRS",S$72&lt;=depr_length+1),$B110*INDEX(MACRS_table,MATCH(S$72,recovery_year,0),MATCH(depr_length,recovery_period,0)),""))</f>
        <v>128831.59001446012</v>
      </c>
      <c r="T110" s="195">
        <f>IF(AND(Main!$B$79="Straight Line",T$72&lt;=depr_length),$B110/depr_length,IF(AND(Main!$B$79="MACRS",T$72&lt;=depr_length+1),$B110*INDEX(MACRS_table,MATCH(T$72,recovery_year,0),MATCH(depr_length,recovery_period,0)),""))</f>
        <v>128802.71695529057</v>
      </c>
      <c r="U110" s="195">
        <f>IF(AND(Main!$B$79="Straight Line",U$72&lt;=depr_length),$B110/depr_length,IF(AND(Main!$B$79="MACRS",U$72&lt;=depr_length+1),$B110*INDEX(MACRS_table,MATCH(U$72,recovery_year,0),MATCH(depr_length,recovery_period,0)),""))</f>
        <v>128831.59001446012</v>
      </c>
      <c r="V110" s="195">
        <f>IF(AND(Main!$B$79="Straight Line",V$72&lt;=depr_length),$B110/depr_length,IF(AND(Main!$B$79="MACRS",V$72&lt;=depr_length+1),$B110*INDEX(MACRS_table,MATCH(V$72,recovery_year,0),MATCH(depr_length,recovery_period,0)),""))</f>
        <v>128802.71695529057</v>
      </c>
      <c r="W110" s="195">
        <f>IF(AND(Main!$B$79="Straight Line",W$72&lt;=depr_length),$B110/depr_length,IF(AND(Main!$B$79="MACRS",W$72&lt;=depr_length+1),$B110*INDEX(MACRS_table,MATCH(W$72,recovery_year,0),MATCH(depr_length,recovery_period,0)),""))</f>
        <v>64415.795007230059</v>
      </c>
      <c r="X110" s="196" cm="1">
        <f t="array" ref="X110">SUMPRODUCT((ROW($C$73:$W$113)-MIN(ROW(E100:Y140))=MIN(COLUMN(E100:Y140))-COLUMN($C$73:$W$113))*($C$73:$W$113))</f>
        <v>36788041.641408242</v>
      </c>
    </row>
    <row r="111" spans="1:24" x14ac:dyDescent="0.15">
      <c r="A111" s="115">
        <v>38</v>
      </c>
      <c r="B111" s="194">
        <f t="shared" si="20"/>
        <v>2942164.7293755002</v>
      </c>
      <c r="C111" s="195">
        <f>IF(AND(Main!$B$79="Straight Line",C$72&lt;=depr_length),$B111/depr_length,IF(AND(Main!$B$79="MACRS",C$72&lt;=depr_length+1),$B111*INDEX(MACRS_table,MATCH(C$72,recovery_year,0),MATCH(depr_length,recovery_period,0)),""))</f>
        <v>110331.17735158125</v>
      </c>
      <c r="D111" s="195">
        <f>IF(AND(Main!$B$79="Straight Line",D$72&lt;=depr_length),$B111/depr_length,IF(AND(Main!$B$79="MACRS",D$72&lt;=depr_length+1),$B111*INDEX(MACRS_table,MATCH(D$72,recovery_year,0),MATCH(depr_length,recovery_period,0)),""))</f>
        <v>212394.87181361738</v>
      </c>
      <c r="E111" s="195">
        <f>IF(AND(Main!$B$79="Straight Line",E$72&lt;=depr_length),$B111/depr_length,IF(AND(Main!$B$79="MACRS",E$72&lt;=depr_length+1),$B111*INDEX(MACRS_table,MATCH(E$72,recovery_year,0),MATCH(depr_length,recovery_period,0)),""))</f>
        <v>196448.33898040213</v>
      </c>
      <c r="F111" s="195">
        <f>IF(AND(Main!$B$79="Straight Line",F$72&lt;=depr_length),$B111/depr_length,IF(AND(Main!$B$79="MACRS",F$72&lt;=depr_length+1),$B111*INDEX(MACRS_table,MATCH(F$72,recovery_year,0),MATCH(depr_length,recovery_period,0)),""))</f>
        <v>181737.51533352464</v>
      </c>
      <c r="G111" s="195">
        <f>IF(AND(Main!$B$79="Straight Line",G$72&lt;=depr_length),$B111/depr_length,IF(AND(Main!$B$79="MACRS",G$72&lt;=depr_length+1),$B111*INDEX(MACRS_table,MATCH(G$72,recovery_year,0),MATCH(depr_length,recovery_period,0)),""))</f>
        <v>168085.87098922234</v>
      </c>
      <c r="H111" s="195">
        <f>IF(AND(Main!$B$79="Straight Line",H$72&lt;=depr_length),$B111/depr_length,IF(AND(Main!$B$79="MACRS",H$72&lt;=depr_length+1),$B111*INDEX(MACRS_table,MATCH(H$72,recovery_year,0),MATCH(depr_length,recovery_period,0)),""))</f>
        <v>155493.40594749519</v>
      </c>
      <c r="I111" s="195">
        <f>IF(AND(Main!$B$79="Straight Line",I$72&lt;=depr_length),$B111/depr_length,IF(AND(Main!$B$79="MACRS",I$72&lt;=depr_length+1),$B111*INDEX(MACRS_table,MATCH(I$72,recovery_year,0),MATCH(depr_length,recovery_period,0)),""))</f>
        <v>143813.01197187445</v>
      </c>
      <c r="J111" s="195">
        <f>IF(AND(Main!$B$79="Straight Line",J$72&lt;=depr_length),$B111/depr_length,IF(AND(Main!$B$79="MACRS",J$72&lt;=depr_length+1),$B111*INDEX(MACRS_table,MATCH(J$72,recovery_year,0),MATCH(depr_length,recovery_period,0)),""))</f>
        <v>133044.68906236012</v>
      </c>
      <c r="K111" s="195">
        <f>IF(AND(Main!$B$79="Straight Line",K$72&lt;=depr_length),$B111/depr_length,IF(AND(Main!$B$79="MACRS",K$72&lt;=depr_length+1),$B111*INDEX(MACRS_table,MATCH(K$72,recovery_year,0),MATCH(depr_length,recovery_period,0)),""))</f>
        <v>131279.39022473482</v>
      </c>
      <c r="L111" s="195">
        <f>IF(AND(Main!$B$79="Straight Line",L$72&lt;=depr_length),$B111/depr_length,IF(AND(Main!$B$79="MACRS",L$72&lt;=depr_length+1),$B111*INDEX(MACRS_table,MATCH(L$72,recovery_year,0),MATCH(depr_length,recovery_period,0)),""))</f>
        <v>131249.96857744106</v>
      </c>
      <c r="M111" s="195">
        <f>IF(AND(Main!$B$79="Straight Line",M$72&lt;=depr_length),$B111/depr_length,IF(AND(Main!$B$79="MACRS",M$72&lt;=depr_length+1),$B111*INDEX(MACRS_table,MATCH(M$72,recovery_year,0),MATCH(depr_length,recovery_period,0)),""))</f>
        <v>131279.39022473482</v>
      </c>
      <c r="N111" s="195">
        <f>IF(AND(Main!$B$79="Straight Line",N$72&lt;=depr_length),$B111/depr_length,IF(AND(Main!$B$79="MACRS",N$72&lt;=depr_length+1),$B111*INDEX(MACRS_table,MATCH(N$72,recovery_year,0),MATCH(depr_length,recovery_period,0)),""))</f>
        <v>131249.96857744106</v>
      </c>
      <c r="O111" s="195">
        <f>IF(AND(Main!$B$79="Straight Line",O$72&lt;=depr_length),$B111/depr_length,IF(AND(Main!$B$79="MACRS",O$72&lt;=depr_length+1),$B111*INDEX(MACRS_table,MATCH(O$72,recovery_year,0),MATCH(depr_length,recovery_period,0)),""))</f>
        <v>131279.39022473482</v>
      </c>
      <c r="P111" s="195">
        <f>IF(AND(Main!$B$79="Straight Line",P$72&lt;=depr_length),$B111/depr_length,IF(AND(Main!$B$79="MACRS",P$72&lt;=depr_length+1),$B111*INDEX(MACRS_table,MATCH(P$72,recovery_year,0),MATCH(depr_length,recovery_period,0)),""))</f>
        <v>131249.96857744106</v>
      </c>
      <c r="Q111" s="195">
        <f>IF(AND(Main!$B$79="Straight Line",Q$72&lt;=depr_length),$B111/depr_length,IF(AND(Main!$B$79="MACRS",Q$72&lt;=depr_length+1),$B111*INDEX(MACRS_table,MATCH(Q$72,recovery_year,0),MATCH(depr_length,recovery_period,0)),""))</f>
        <v>131279.39022473482</v>
      </c>
      <c r="R111" s="195">
        <f>IF(AND(Main!$B$79="Straight Line",R$72&lt;=depr_length),$B111/depr_length,IF(AND(Main!$B$79="MACRS",R$72&lt;=depr_length+1),$B111*INDEX(MACRS_table,MATCH(R$72,recovery_year,0),MATCH(depr_length,recovery_period,0)),""))</f>
        <v>131249.96857744106</v>
      </c>
      <c r="S111" s="195">
        <f>IF(AND(Main!$B$79="Straight Line",S$72&lt;=depr_length),$B111/depr_length,IF(AND(Main!$B$79="MACRS",S$72&lt;=depr_length+1),$B111*INDEX(MACRS_table,MATCH(S$72,recovery_year,0),MATCH(depr_length,recovery_period,0)),""))</f>
        <v>131279.39022473482</v>
      </c>
      <c r="T111" s="195">
        <f>IF(AND(Main!$B$79="Straight Line",T$72&lt;=depr_length),$B111/depr_length,IF(AND(Main!$B$79="MACRS",T$72&lt;=depr_length+1),$B111*INDEX(MACRS_table,MATCH(T$72,recovery_year,0),MATCH(depr_length,recovery_period,0)),""))</f>
        <v>131249.96857744106</v>
      </c>
      <c r="U111" s="195">
        <f>IF(AND(Main!$B$79="Straight Line",U$72&lt;=depr_length),$B111/depr_length,IF(AND(Main!$B$79="MACRS",U$72&lt;=depr_length+1),$B111*INDEX(MACRS_table,MATCH(U$72,recovery_year,0),MATCH(depr_length,recovery_period,0)),""))</f>
        <v>131279.39022473482</v>
      </c>
      <c r="V111" s="195">
        <f>IF(AND(Main!$B$79="Straight Line",V$72&lt;=depr_length),$B111/depr_length,IF(AND(Main!$B$79="MACRS",V$72&lt;=depr_length+1),$B111*INDEX(MACRS_table,MATCH(V$72,recovery_year,0),MATCH(depr_length,recovery_period,0)),""))</f>
        <v>131249.96857744106</v>
      </c>
      <c r="W111" s="195">
        <f>IF(AND(Main!$B$79="Straight Line",W$72&lt;=depr_length),$B111/depr_length,IF(AND(Main!$B$79="MACRS",W$72&lt;=depr_length+1),$B111*INDEX(MACRS_table,MATCH(W$72,recovery_year,0),MATCH(depr_length,recovery_period,0)),""))</f>
        <v>65639.695112367408</v>
      </c>
      <c r="X111" s="196" cm="1">
        <f t="array" ref="X111">SUMPRODUCT((ROW($C$73:$W$113)-MIN(ROW(E101:Y141))=MIN(COLUMN(E101:Y141))-COLUMN($C$73:$W$113))*($C$73:$W$113))</f>
        <v>36305404.290426739</v>
      </c>
    </row>
    <row r="112" spans="1:24" x14ac:dyDescent="0.15">
      <c r="A112" s="115">
        <v>39</v>
      </c>
      <c r="B112" s="194">
        <f t="shared" si="20"/>
        <v>2998065.859233635</v>
      </c>
      <c r="C112" s="195">
        <f>IF(AND(Main!$B$79="Straight Line",C$72&lt;=depr_length),$B112/depr_length,IF(AND(Main!$B$79="MACRS",C$72&lt;=depr_length+1),$B112*INDEX(MACRS_table,MATCH(C$72,recovery_year,0),MATCH(depr_length,recovery_period,0)),""))</f>
        <v>112427.46972126131</v>
      </c>
      <c r="D112" s="195">
        <f>IF(AND(Main!$B$79="Straight Line",D$72&lt;=depr_length),$B112/depr_length,IF(AND(Main!$B$79="MACRS",D$72&lt;=depr_length+1),$B112*INDEX(MACRS_table,MATCH(D$72,recovery_year,0),MATCH(depr_length,recovery_period,0)),""))</f>
        <v>216430.37437807611</v>
      </c>
      <c r="E112" s="195">
        <f>IF(AND(Main!$B$79="Straight Line",E$72&lt;=depr_length),$B112/depr_length,IF(AND(Main!$B$79="MACRS",E$72&lt;=depr_length+1),$B112*INDEX(MACRS_table,MATCH(E$72,recovery_year,0),MATCH(depr_length,recovery_period,0)),""))</f>
        <v>200180.8574210298</v>
      </c>
      <c r="F112" s="195">
        <f>IF(AND(Main!$B$79="Straight Line",F$72&lt;=depr_length),$B112/depr_length,IF(AND(Main!$B$79="MACRS",F$72&lt;=depr_length+1),$B112*INDEX(MACRS_table,MATCH(F$72,recovery_year,0),MATCH(depr_length,recovery_period,0)),""))</f>
        <v>185190.52812486162</v>
      </c>
      <c r="G112" s="195">
        <f>IF(AND(Main!$B$79="Straight Line",G$72&lt;=depr_length),$B112/depr_length,IF(AND(Main!$B$79="MACRS",G$72&lt;=depr_length+1),$B112*INDEX(MACRS_table,MATCH(G$72,recovery_year,0),MATCH(depr_length,recovery_period,0)),""))</f>
        <v>171279.50253801758</v>
      </c>
      <c r="H112" s="195">
        <f>IF(AND(Main!$B$79="Straight Line",H$72&lt;=depr_length),$B112/depr_length,IF(AND(Main!$B$79="MACRS",H$72&lt;=depr_length+1),$B112*INDEX(MACRS_table,MATCH(H$72,recovery_year,0),MATCH(depr_length,recovery_period,0)),""))</f>
        <v>158447.78066049761</v>
      </c>
      <c r="I112" s="195">
        <f>IF(AND(Main!$B$79="Straight Line",I$72&lt;=depr_length),$B112/depr_length,IF(AND(Main!$B$79="MACRS",I$72&lt;=depr_length+1),$B112*INDEX(MACRS_table,MATCH(I$72,recovery_year,0),MATCH(depr_length,recovery_period,0)),""))</f>
        <v>146545.45919934008</v>
      </c>
      <c r="J112" s="195">
        <f>IF(AND(Main!$B$79="Straight Line",J$72&lt;=depr_length),$B112/depr_length,IF(AND(Main!$B$79="MACRS",J$72&lt;=depr_length+1),$B112*INDEX(MACRS_table,MATCH(J$72,recovery_year,0),MATCH(depr_length,recovery_period,0)),""))</f>
        <v>135572.53815454498</v>
      </c>
      <c r="K112" s="195">
        <f>IF(AND(Main!$B$79="Straight Line",K$72&lt;=depr_length),$B112/depr_length,IF(AND(Main!$B$79="MACRS",K$72&lt;=depr_length+1),$B112*INDEX(MACRS_table,MATCH(K$72,recovery_year,0),MATCH(depr_length,recovery_period,0)),""))</f>
        <v>133773.69863900478</v>
      </c>
      <c r="L112" s="195">
        <f>IF(AND(Main!$B$79="Straight Line",L$72&lt;=depr_length),$B112/depr_length,IF(AND(Main!$B$79="MACRS",L$72&lt;=depr_length+1),$B112*INDEX(MACRS_table,MATCH(L$72,recovery_year,0),MATCH(depr_length,recovery_period,0)),""))</f>
        <v>133743.71798041245</v>
      </c>
      <c r="M112" s="195">
        <f>IF(AND(Main!$B$79="Straight Line",M$72&lt;=depr_length),$B112/depr_length,IF(AND(Main!$B$79="MACRS",M$72&lt;=depr_length+1),$B112*INDEX(MACRS_table,MATCH(M$72,recovery_year,0),MATCH(depr_length,recovery_period,0)),""))</f>
        <v>133773.69863900478</v>
      </c>
      <c r="N112" s="195">
        <f>IF(AND(Main!$B$79="Straight Line",N$72&lt;=depr_length),$B112/depr_length,IF(AND(Main!$B$79="MACRS",N$72&lt;=depr_length+1),$B112*INDEX(MACRS_table,MATCH(N$72,recovery_year,0),MATCH(depr_length,recovery_period,0)),""))</f>
        <v>133743.71798041245</v>
      </c>
      <c r="O112" s="195">
        <f>IF(AND(Main!$B$79="Straight Line",O$72&lt;=depr_length),$B112/depr_length,IF(AND(Main!$B$79="MACRS",O$72&lt;=depr_length+1),$B112*INDEX(MACRS_table,MATCH(O$72,recovery_year,0),MATCH(depr_length,recovery_period,0)),""))</f>
        <v>133773.69863900478</v>
      </c>
      <c r="P112" s="195">
        <f>IF(AND(Main!$B$79="Straight Line",P$72&lt;=depr_length),$B112/depr_length,IF(AND(Main!$B$79="MACRS",P$72&lt;=depr_length+1),$B112*INDEX(MACRS_table,MATCH(P$72,recovery_year,0),MATCH(depr_length,recovery_period,0)),""))</f>
        <v>133743.71798041245</v>
      </c>
      <c r="Q112" s="195">
        <f>IF(AND(Main!$B$79="Straight Line",Q$72&lt;=depr_length),$B112/depr_length,IF(AND(Main!$B$79="MACRS",Q$72&lt;=depr_length+1),$B112*INDEX(MACRS_table,MATCH(Q$72,recovery_year,0),MATCH(depr_length,recovery_period,0)),""))</f>
        <v>133773.69863900478</v>
      </c>
      <c r="R112" s="195">
        <f>IF(AND(Main!$B$79="Straight Line",R$72&lt;=depr_length),$B112/depr_length,IF(AND(Main!$B$79="MACRS",R$72&lt;=depr_length+1),$B112*INDEX(MACRS_table,MATCH(R$72,recovery_year,0),MATCH(depr_length,recovery_period,0)),""))</f>
        <v>133743.71798041245</v>
      </c>
      <c r="S112" s="195">
        <f>IF(AND(Main!$B$79="Straight Line",S$72&lt;=depr_length),$B112/depr_length,IF(AND(Main!$B$79="MACRS",S$72&lt;=depr_length+1),$B112*INDEX(MACRS_table,MATCH(S$72,recovery_year,0),MATCH(depr_length,recovery_period,0)),""))</f>
        <v>133773.69863900478</v>
      </c>
      <c r="T112" s="195">
        <f>IF(AND(Main!$B$79="Straight Line",T$72&lt;=depr_length),$B112/depr_length,IF(AND(Main!$B$79="MACRS",T$72&lt;=depr_length+1),$B112*INDEX(MACRS_table,MATCH(T$72,recovery_year,0),MATCH(depr_length,recovery_period,0)),""))</f>
        <v>133743.71798041245</v>
      </c>
      <c r="U112" s="195">
        <f>IF(AND(Main!$B$79="Straight Line",U$72&lt;=depr_length),$B112/depr_length,IF(AND(Main!$B$79="MACRS",U$72&lt;=depr_length+1),$B112*INDEX(MACRS_table,MATCH(U$72,recovery_year,0),MATCH(depr_length,recovery_period,0)),""))</f>
        <v>133773.69863900478</v>
      </c>
      <c r="V112" s="195">
        <f>IF(AND(Main!$B$79="Straight Line",V$72&lt;=depr_length),$B112/depr_length,IF(AND(Main!$B$79="MACRS",V$72&lt;=depr_length+1),$B112*INDEX(MACRS_table,MATCH(V$72,recovery_year,0),MATCH(depr_length,recovery_period,0)),""))</f>
        <v>133743.71798041245</v>
      </c>
      <c r="W112" s="195">
        <f>IF(AND(Main!$B$79="Straight Line",W$72&lt;=depr_length),$B112/depr_length,IF(AND(Main!$B$79="MACRS",W$72&lt;=depr_length+1),$B112*INDEX(MACRS_table,MATCH(W$72,recovery_year,0),MATCH(depr_length,recovery_period,0)),""))</f>
        <v>66886.849319502391</v>
      </c>
      <c r="X112" s="196" cm="1">
        <f t="array" ref="X112">SUMPRODUCT((ROW($C$73:$W$113)-MIN(ROW(E102:Y142))=MIN(COLUMN(E102:Y142))-COLUMN($C$73:$W$113))*($C$73:$W$113))</f>
        <v>43639359.961583667</v>
      </c>
    </row>
    <row r="113" spans="1:24" x14ac:dyDescent="0.15">
      <c r="A113" s="115">
        <v>40</v>
      </c>
      <c r="B113" s="194">
        <f t="shared" si="20"/>
        <v>3055029.1105590742</v>
      </c>
      <c r="C113" s="195">
        <f>IF(AND(Main!$B$79="Straight Line",C$72&lt;=depr_length),$B113/depr_length,IF(AND(Main!$B$79="MACRS",C$72&lt;=depr_length+1),$B113*INDEX(MACRS_table,MATCH(C$72,recovery_year,0),MATCH(depr_length,recovery_period,0)),""))</f>
        <v>114563.59164596528</v>
      </c>
      <c r="D113" s="195">
        <f>IF(AND(Main!$B$79="Straight Line",D$72&lt;=depr_length),$B113/depr_length,IF(AND(Main!$B$79="MACRS",D$72&lt;=depr_length+1),$B113*INDEX(MACRS_table,MATCH(D$72,recovery_year,0),MATCH(depr_length,recovery_period,0)),""))</f>
        <v>220542.55149125957</v>
      </c>
      <c r="E113" s="195">
        <f>IF(AND(Main!$B$79="Straight Line",E$72&lt;=depr_length),$B113/depr_length,IF(AND(Main!$B$79="MACRS",E$72&lt;=depr_length+1),$B113*INDEX(MACRS_table,MATCH(E$72,recovery_year,0),MATCH(depr_length,recovery_period,0)),""))</f>
        <v>203984.29371202938</v>
      </c>
      <c r="F113" s="195">
        <f>IF(AND(Main!$B$79="Straight Line",F$72&lt;=depr_length),$B113/depr_length,IF(AND(Main!$B$79="MACRS",F$72&lt;=depr_length+1),$B113*INDEX(MACRS_table,MATCH(F$72,recovery_year,0),MATCH(depr_length,recovery_period,0)),""))</f>
        <v>188709.148159234</v>
      </c>
      <c r="G113" s="195">
        <f>IF(AND(Main!$B$79="Straight Line",G$72&lt;=depr_length),$B113/depr_length,IF(AND(Main!$B$79="MACRS",G$72&lt;=depr_length+1),$B113*INDEX(MACRS_table,MATCH(G$72,recovery_year,0),MATCH(depr_length,recovery_period,0)),""))</f>
        <v>174533.81308623991</v>
      </c>
      <c r="H113" s="195">
        <f>IF(AND(Main!$B$79="Straight Line",H$72&lt;=depr_length),$B113/depr_length,IF(AND(Main!$B$79="MACRS",H$72&lt;=depr_length+1),$B113*INDEX(MACRS_table,MATCH(H$72,recovery_year,0),MATCH(depr_length,recovery_period,0)),""))</f>
        <v>161458.28849304706</v>
      </c>
      <c r="I113" s="195">
        <f>IF(AND(Main!$B$79="Straight Line",I$72&lt;=depr_length),$B113/depr_length,IF(AND(Main!$B$79="MACRS",I$72&lt;=depr_length+1),$B113*INDEX(MACRS_table,MATCH(I$72,recovery_year,0),MATCH(depr_length,recovery_period,0)),""))</f>
        <v>149329.82292412754</v>
      </c>
      <c r="J113" s="195">
        <f>IF(AND(Main!$B$79="Straight Line",J$72&lt;=depr_length),$B113/depr_length,IF(AND(Main!$B$79="MACRS",J$72&lt;=depr_length+1),$B113*INDEX(MACRS_table,MATCH(J$72,recovery_year,0),MATCH(depr_length,recovery_period,0)),""))</f>
        <v>138148.41637948135</v>
      </c>
      <c r="K113" s="195">
        <f>IF(AND(Main!$B$79="Straight Line",K$72&lt;=depr_length),$B113/depr_length,IF(AND(Main!$B$79="MACRS",K$72&lt;=depr_length+1),$B113*INDEX(MACRS_table,MATCH(K$72,recovery_year,0),MATCH(depr_length,recovery_period,0)),""))</f>
        <v>136315.39891314588</v>
      </c>
      <c r="L113" s="195">
        <f>IF(AND(Main!$B$79="Straight Line",L$72&lt;=depr_length),$B113/depr_length,IF(AND(Main!$B$79="MACRS",L$72&lt;=depr_length+1),$B113*INDEX(MACRS_table,MATCH(L$72,recovery_year,0),MATCH(depr_length,recovery_period,0)),""))</f>
        <v>136284.8486220403</v>
      </c>
      <c r="M113" s="195">
        <f>IF(AND(Main!$B$79="Straight Line",M$72&lt;=depr_length),$B113/depr_length,IF(AND(Main!$B$79="MACRS",M$72&lt;=depr_length+1),$B113*INDEX(MACRS_table,MATCH(M$72,recovery_year,0),MATCH(depr_length,recovery_period,0)),""))</f>
        <v>136315.39891314588</v>
      </c>
      <c r="N113" s="195">
        <f>IF(AND(Main!$B$79="Straight Line",N$72&lt;=depr_length),$B113/depr_length,IF(AND(Main!$B$79="MACRS",N$72&lt;=depr_length+1),$B113*INDEX(MACRS_table,MATCH(N$72,recovery_year,0),MATCH(depr_length,recovery_period,0)),""))</f>
        <v>136284.8486220403</v>
      </c>
      <c r="O113" s="195">
        <f>IF(AND(Main!$B$79="Straight Line",O$72&lt;=depr_length),$B113/depr_length,IF(AND(Main!$B$79="MACRS",O$72&lt;=depr_length+1),$B113*INDEX(MACRS_table,MATCH(O$72,recovery_year,0),MATCH(depr_length,recovery_period,0)),""))</f>
        <v>136315.39891314588</v>
      </c>
      <c r="P113" s="195">
        <f>IF(AND(Main!$B$79="Straight Line",P$72&lt;=depr_length),$B113/depr_length,IF(AND(Main!$B$79="MACRS",P$72&lt;=depr_length+1),$B113*INDEX(MACRS_table,MATCH(P$72,recovery_year,0),MATCH(depr_length,recovery_period,0)),""))</f>
        <v>136284.8486220403</v>
      </c>
      <c r="Q113" s="195">
        <f>IF(AND(Main!$B$79="Straight Line",Q$72&lt;=depr_length),$B113/depr_length,IF(AND(Main!$B$79="MACRS",Q$72&lt;=depr_length+1),$B113*INDEX(MACRS_table,MATCH(Q$72,recovery_year,0),MATCH(depr_length,recovery_period,0)),""))</f>
        <v>136315.39891314588</v>
      </c>
      <c r="R113" s="195">
        <f>IF(AND(Main!$B$79="Straight Line",R$72&lt;=depr_length),$B113/depr_length,IF(AND(Main!$B$79="MACRS",R$72&lt;=depr_length+1),$B113*INDEX(MACRS_table,MATCH(R$72,recovery_year,0),MATCH(depr_length,recovery_period,0)),""))</f>
        <v>136284.8486220403</v>
      </c>
      <c r="S113" s="195">
        <f>IF(AND(Main!$B$79="Straight Line",S$72&lt;=depr_length),$B113/depr_length,IF(AND(Main!$B$79="MACRS",S$72&lt;=depr_length+1),$B113*INDEX(MACRS_table,MATCH(S$72,recovery_year,0),MATCH(depr_length,recovery_period,0)),""))</f>
        <v>136315.39891314588</v>
      </c>
      <c r="T113" s="195">
        <f>IF(AND(Main!$B$79="Straight Line",T$72&lt;=depr_length),$B113/depr_length,IF(AND(Main!$B$79="MACRS",T$72&lt;=depr_length+1),$B113*INDEX(MACRS_table,MATCH(T$72,recovery_year,0),MATCH(depr_length,recovery_period,0)),""))</f>
        <v>136284.8486220403</v>
      </c>
      <c r="U113" s="195">
        <f>IF(AND(Main!$B$79="Straight Line",U$72&lt;=depr_length),$B113/depr_length,IF(AND(Main!$B$79="MACRS",U$72&lt;=depr_length+1),$B113*INDEX(MACRS_table,MATCH(U$72,recovery_year,0),MATCH(depr_length,recovery_period,0)),""))</f>
        <v>136315.39891314588</v>
      </c>
      <c r="V113" s="195">
        <f>IF(AND(Main!$B$79="Straight Line",V$72&lt;=depr_length),$B113/depr_length,IF(AND(Main!$B$79="MACRS",V$72&lt;=depr_length+1),$B113*INDEX(MACRS_table,MATCH(V$72,recovery_year,0),MATCH(depr_length,recovery_period,0)),""))</f>
        <v>136284.8486220403</v>
      </c>
      <c r="W113" s="195">
        <f>IF(AND(Main!$B$79="Straight Line",W$72&lt;=depr_length),$B113/depr_length,IF(AND(Main!$B$79="MACRS",W$72&lt;=depr_length+1),$B113*INDEX(MACRS_table,MATCH(W$72,recovery_year,0),MATCH(depr_length,recovery_period,0)),""))</f>
        <v>68157.69945657294</v>
      </c>
      <c r="X113" s="196" cm="1">
        <f t="array" ref="X113">SUMPRODUCT((ROW($C$73:$W$113)-MIN(ROW(E103:Y143))=MIN(COLUMN(E103:Y143))-COLUMN($C$73:$W$113))*($C$73:$W$113))</f>
        <v>50018749.718832061</v>
      </c>
    </row>
    <row r="114" spans="1:24" x14ac:dyDescent="0.15">
      <c r="A114" s="192"/>
      <c r="B114" s="192"/>
      <c r="C114" s="192"/>
      <c r="D114" s="192"/>
      <c r="E114" s="192"/>
      <c r="F114" s="192"/>
      <c r="G114" s="192"/>
      <c r="H114" s="192"/>
      <c r="I114" s="192"/>
      <c r="J114" s="192"/>
      <c r="K114" s="192"/>
      <c r="L114" s="192"/>
      <c r="M114" s="192"/>
      <c r="N114" s="192"/>
      <c r="O114" s="192"/>
      <c r="P114" s="192"/>
      <c r="Q114" s="192"/>
      <c r="R114" s="192"/>
      <c r="S114" s="192"/>
      <c r="T114" s="192"/>
      <c r="U114" s="192"/>
      <c r="V114" s="192"/>
      <c r="W114" s="192"/>
      <c r="X114" s="196" cm="1">
        <f t="array" ref="X114">SUMPRODUCT((ROW($C$73:$W$113)-MIN(ROW(E104:Y144))=MIN(COLUMN(E104:Y144))-COLUMN($C$73:$W$113))*($C$73:$W$113))</f>
        <v>47757024.050037391</v>
      </c>
    </row>
    <row r="115" spans="1:24" x14ac:dyDescent="0.15">
      <c r="A115" s="192"/>
      <c r="B115" s="192"/>
      <c r="C115" s="192"/>
      <c r="D115" s="192"/>
      <c r="E115" s="192"/>
      <c r="F115" s="192"/>
      <c r="G115" s="192"/>
      <c r="H115" s="192"/>
      <c r="I115" s="192"/>
      <c r="J115" s="192"/>
      <c r="K115" s="192"/>
      <c r="L115" s="192"/>
      <c r="M115" s="192"/>
      <c r="N115" s="192"/>
      <c r="O115" s="192"/>
      <c r="P115" s="192"/>
      <c r="Q115" s="192"/>
      <c r="R115" s="192"/>
      <c r="S115" s="192"/>
      <c r="T115" s="192"/>
      <c r="U115" s="192"/>
      <c r="V115" s="192"/>
      <c r="W115" s="192"/>
      <c r="X115" s="196" cm="1">
        <f t="array" ref="X115">SUMPRODUCT((ROW($C$73:$W$113)-MIN(ROW(E105:Y145))=MIN(COLUMN(E105:Y145))-COLUMN($C$73:$W$113))*($C$73:$W$113))</f>
        <v>45980928.770801365</v>
      </c>
    </row>
    <row r="116" spans="1:24" x14ac:dyDescent="0.15">
      <c r="A116" s="192"/>
      <c r="B116" s="192"/>
      <c r="C116" s="192"/>
      <c r="D116" s="192"/>
      <c r="E116" s="192"/>
      <c r="F116" s="192"/>
      <c r="G116" s="192"/>
      <c r="H116" s="192"/>
      <c r="I116" s="192"/>
      <c r="J116" s="192"/>
      <c r="K116" s="192"/>
      <c r="L116" s="192"/>
      <c r="M116" s="192"/>
      <c r="N116" s="192"/>
      <c r="O116" s="192"/>
      <c r="P116" s="192"/>
      <c r="Q116" s="192"/>
      <c r="R116" s="192"/>
      <c r="S116" s="192"/>
      <c r="T116" s="192"/>
      <c r="U116" s="192"/>
      <c r="V116" s="192"/>
      <c r="W116" s="192"/>
      <c r="X116" s="196" cm="1">
        <f t="array" ref="X116">SUMPRODUCT((ROW($C$73:$W$113)-MIN(ROW(E106:Y146))=MIN(COLUMN(E106:Y146))-COLUMN($C$73:$W$113))*($C$73:$W$113))</f>
        <v>44401510.39384146</v>
      </c>
    </row>
    <row r="117" spans="1:24" x14ac:dyDescent="0.15">
      <c r="A117" s="197"/>
      <c r="B117" s="197"/>
      <c r="C117" s="197"/>
      <c r="D117" s="197"/>
      <c r="E117" s="197"/>
      <c r="F117" s="197"/>
      <c r="G117" s="197"/>
      <c r="H117" s="192"/>
      <c r="I117" s="192"/>
      <c r="J117" s="192"/>
      <c r="K117" s="192"/>
      <c r="L117" s="192"/>
      <c r="M117" s="192"/>
      <c r="N117" s="192"/>
      <c r="O117" s="192"/>
      <c r="P117" s="192"/>
      <c r="Q117" s="192"/>
      <c r="R117" s="192"/>
      <c r="S117" s="192"/>
      <c r="T117" s="192"/>
      <c r="U117" s="192"/>
      <c r="V117" s="192"/>
      <c r="W117" s="192"/>
      <c r="X117" s="196" cm="1">
        <f t="array" ref="X117">SUMPRODUCT((ROW($C$73:$W$113)-MIN(ROW(E107:Y147))=MIN(COLUMN(E107:Y147))-COLUMN($C$73:$W$113))*($C$73:$W$113))</f>
        <v>45938596.644260883</v>
      </c>
    </row>
    <row r="118" spans="1:24" x14ac:dyDescent="0.15">
      <c r="A118" s="197"/>
      <c r="B118" s="197"/>
      <c r="C118" s="197"/>
      <c r="D118" s="197"/>
      <c r="E118" s="197"/>
      <c r="F118" s="197"/>
      <c r="G118" s="197"/>
      <c r="H118" s="192"/>
      <c r="I118" s="192"/>
      <c r="J118" s="192"/>
      <c r="K118" s="192"/>
      <c r="L118" s="192"/>
      <c r="M118" s="192"/>
      <c r="N118" s="192"/>
      <c r="O118" s="192"/>
      <c r="P118" s="192"/>
      <c r="Q118" s="192"/>
      <c r="R118" s="192"/>
      <c r="S118" s="192"/>
      <c r="T118" s="192"/>
      <c r="U118" s="192"/>
      <c r="V118" s="192"/>
      <c r="W118" s="192"/>
      <c r="X118" s="196" cm="1">
        <f t="array" ref="X118">SUMPRODUCT((ROW($C$73:$W$113)-MIN(ROW(E108:Y148))=MIN(COLUMN(E108:Y148))-COLUMN($C$73:$W$113))*($C$73:$W$113))</f>
        <v>47208853.209407039</v>
      </c>
    </row>
    <row r="119" spans="1:24" x14ac:dyDescent="0.15">
      <c r="A119" s="197"/>
      <c r="B119" s="197"/>
      <c r="C119" s="197"/>
      <c r="D119" s="197"/>
      <c r="E119" s="197"/>
      <c r="F119" s="197"/>
      <c r="G119" s="197"/>
      <c r="H119" s="192"/>
      <c r="I119" s="192"/>
      <c r="J119" s="192"/>
      <c r="K119" s="192"/>
      <c r="L119" s="192"/>
      <c r="M119" s="192"/>
      <c r="N119" s="192"/>
      <c r="O119" s="192"/>
      <c r="P119" s="192"/>
      <c r="Q119" s="192"/>
      <c r="R119" s="192"/>
      <c r="S119" s="192"/>
      <c r="T119" s="192"/>
      <c r="U119" s="192"/>
      <c r="V119" s="192"/>
      <c r="W119" s="192"/>
      <c r="X119" s="196" cm="1">
        <f t="array" ref="X119">SUMPRODUCT((ROW($C$73:$W$113)-MIN(ROW(E109:Y149))=MIN(COLUMN(E109:Y149))-COLUMN($C$73:$W$113))*($C$73:$W$113))</f>
        <v>45241681.048098199</v>
      </c>
    </row>
    <row r="120" spans="1:24" x14ac:dyDescent="0.15">
      <c r="A120" s="197"/>
      <c r="B120" s="197"/>
      <c r="C120" s="197"/>
      <c r="D120" s="197"/>
      <c r="E120" s="197"/>
      <c r="F120" s="197"/>
      <c r="G120" s="197"/>
      <c r="H120" s="115"/>
      <c r="I120" s="115"/>
      <c r="J120" s="115"/>
      <c r="K120" s="115"/>
      <c r="L120" s="115"/>
      <c r="M120" s="115"/>
      <c r="N120" s="115"/>
      <c r="O120" s="115"/>
      <c r="P120" s="115"/>
      <c r="Q120" s="115"/>
      <c r="R120" s="115"/>
      <c r="S120" s="115"/>
      <c r="T120" s="115"/>
      <c r="U120" s="115"/>
      <c r="V120" s="115"/>
      <c r="W120" s="115"/>
      <c r="X120" s="196" cm="1">
        <f t="array" ref="X120">SUMPRODUCT((ROW($C$73:$W$113)-MIN(ROW(E110:Y150))=MIN(COLUMN(E110:Y150))-COLUMN($C$73:$W$113))*($C$73:$W$113))</f>
        <v>44406700.906790026</v>
      </c>
    </row>
    <row r="121" spans="1:24" x14ac:dyDescent="0.15">
      <c r="A121" s="197"/>
      <c r="B121" s="197"/>
      <c r="C121" s="197"/>
      <c r="D121" s="197"/>
      <c r="E121" s="197"/>
      <c r="F121" s="197"/>
      <c r="G121" s="197"/>
      <c r="H121" s="115"/>
      <c r="I121" s="115"/>
      <c r="J121" s="115"/>
      <c r="K121" s="115"/>
      <c r="L121" s="115"/>
      <c r="M121" s="115"/>
      <c r="N121" s="115"/>
      <c r="O121" s="115"/>
      <c r="P121" s="115"/>
      <c r="Q121" s="115"/>
      <c r="R121" s="115"/>
      <c r="S121" s="115"/>
      <c r="T121" s="115"/>
      <c r="U121" s="115"/>
      <c r="V121" s="115"/>
      <c r="W121" s="115"/>
      <c r="X121" s="196" cm="1">
        <f t="array" ref="X121">SUMPRODUCT((ROW($C$73:$W$113)-MIN(ROW(E111:Y151))=MIN(COLUMN(E111:Y151))-COLUMN($C$73:$W$113))*($C$73:$W$113))</f>
        <v>43824111.251695238</v>
      </c>
    </row>
    <row r="122" spans="1:24" x14ac:dyDescent="0.15">
      <c r="A122" s="197"/>
      <c r="B122" s="197"/>
      <c r="C122" s="197"/>
      <c r="D122" s="197"/>
      <c r="E122" s="197"/>
      <c r="F122" s="197"/>
      <c r="G122" s="197"/>
      <c r="H122" s="115"/>
      <c r="I122" s="115"/>
      <c r="J122" s="115"/>
      <c r="K122" s="115"/>
      <c r="L122" s="115"/>
      <c r="M122" s="115"/>
      <c r="N122" s="115"/>
      <c r="O122" s="115"/>
      <c r="P122" s="115"/>
      <c r="Q122" s="115"/>
      <c r="R122" s="115"/>
      <c r="S122" s="115"/>
      <c r="T122" s="115"/>
      <c r="U122" s="115"/>
      <c r="V122" s="115"/>
      <c r="W122" s="115"/>
      <c r="X122" s="196" cm="1">
        <f t="array" ref="X122">SUMPRODUCT((ROW($C$73:$W$113)-MIN(ROW(E112:Y152))=MIN(COLUMN(E112:Y152))-COLUMN($C$73:$W$113))*($C$73:$W$113))</f>
        <v>36715238.924735852</v>
      </c>
    </row>
    <row r="123" spans="1:24" x14ac:dyDescent="0.15">
      <c r="A123" s="197"/>
      <c r="B123" s="197"/>
      <c r="C123" s="197"/>
      <c r="D123" s="197"/>
      <c r="E123" s="197"/>
      <c r="F123" s="197"/>
      <c r="G123" s="197"/>
      <c r="H123" s="115"/>
      <c r="I123" s="115"/>
      <c r="J123" s="115"/>
      <c r="K123" s="115"/>
      <c r="L123" s="115"/>
      <c r="M123" s="115"/>
      <c r="N123" s="115"/>
      <c r="O123" s="115"/>
      <c r="P123" s="115"/>
      <c r="Q123" s="115"/>
      <c r="R123" s="115"/>
      <c r="S123" s="115"/>
      <c r="T123" s="115"/>
      <c r="U123" s="115"/>
      <c r="V123" s="115"/>
      <c r="W123" s="115"/>
      <c r="X123" s="196" cm="1">
        <f t="array" ref="X123">SUMPRODUCT((ROW($C$73:$W$113)-MIN(ROW(E113:Y153))=MIN(COLUMN(E113:Y153))-COLUMN($C$73:$W$113))*($C$73:$W$113))</f>
        <v>29531215.958227426</v>
      </c>
    </row>
    <row r="124" spans="1:24" x14ac:dyDescent="0.15">
      <c r="A124" s="197"/>
      <c r="B124" s="197"/>
      <c r="C124" s="197"/>
      <c r="D124" s="197"/>
      <c r="E124" s="197"/>
      <c r="F124" s="197"/>
      <c r="G124" s="197"/>
      <c r="H124" s="115"/>
      <c r="I124" s="115"/>
      <c r="J124" s="115"/>
      <c r="K124" s="115"/>
      <c r="L124" s="115"/>
      <c r="M124" s="115"/>
      <c r="N124" s="115"/>
      <c r="O124" s="115"/>
      <c r="P124" s="115"/>
      <c r="Q124" s="115"/>
      <c r="R124" s="115"/>
      <c r="S124" s="115"/>
      <c r="T124" s="115"/>
      <c r="U124" s="115"/>
      <c r="V124" s="115"/>
      <c r="W124" s="115"/>
      <c r="X124" s="196" cm="1">
        <f t="array" ref="X124">SUMPRODUCT((ROW($C$73:$W$113)-MIN(ROW(E114:Y154))=MIN(COLUMN(E114:Y154))-COLUMN($C$73:$W$113))*($C$73:$W$113))</f>
        <v>28876824.912064467</v>
      </c>
    </row>
    <row r="125" spans="1:24" x14ac:dyDescent="0.15">
      <c r="A125" s="197"/>
      <c r="B125" s="197"/>
      <c r="C125" s="197"/>
      <c r="D125" s="197"/>
      <c r="E125" s="197"/>
      <c r="F125" s="197"/>
      <c r="G125" s="197"/>
      <c r="H125" s="115"/>
      <c r="I125" s="115"/>
      <c r="J125" s="115"/>
      <c r="K125" s="115"/>
      <c r="L125" s="115"/>
      <c r="M125" s="115"/>
      <c r="N125" s="115"/>
      <c r="O125" s="115"/>
      <c r="P125" s="115"/>
      <c r="Q125" s="115"/>
      <c r="R125" s="115"/>
      <c r="S125" s="115"/>
      <c r="T125" s="115"/>
      <c r="U125" s="115"/>
      <c r="V125" s="115"/>
      <c r="W125" s="115"/>
      <c r="X125" s="196" cm="1">
        <f t="array" ref="X125">SUMPRODUCT((ROW($C$73:$W$113)-MIN(ROW(E115:Y155))=MIN(COLUMN(E115:Y155))-COLUMN($C$73:$W$113))*($C$73:$W$113))</f>
        <v>28642665.249808047</v>
      </c>
    </row>
    <row r="126" spans="1:24" x14ac:dyDescent="0.15">
      <c r="A126" s="197"/>
      <c r="B126" s="197"/>
      <c r="C126" s="197"/>
      <c r="D126" s="197"/>
      <c r="E126" s="197"/>
      <c r="F126" s="197"/>
      <c r="G126" s="197"/>
      <c r="H126" s="115"/>
      <c r="I126" s="115"/>
      <c r="J126" s="115"/>
      <c r="K126" s="115"/>
      <c r="L126" s="115"/>
      <c r="M126" s="115"/>
      <c r="N126" s="115"/>
      <c r="O126" s="115"/>
      <c r="P126" s="115"/>
      <c r="Q126" s="115"/>
      <c r="R126" s="115"/>
      <c r="S126" s="115"/>
      <c r="T126" s="115"/>
      <c r="U126" s="115"/>
      <c r="V126" s="115"/>
      <c r="W126" s="115"/>
      <c r="X126" s="196" cm="1">
        <f t="array" ref="X126">SUMPRODUCT((ROW($C$73:$W$113)-MIN(ROW(E116:Y156))=MIN(COLUMN(E116:Y156))-COLUMN($C$73:$W$113))*($C$73:$W$113))</f>
        <v>28504391.863523506</v>
      </c>
    </row>
    <row r="127" spans="1:24" x14ac:dyDescent="0.15">
      <c r="A127" s="197"/>
      <c r="B127" s="197"/>
      <c r="C127" s="197"/>
      <c r="D127" s="197"/>
      <c r="E127" s="197"/>
      <c r="F127" s="197"/>
      <c r="G127" s="197"/>
      <c r="H127" s="115"/>
      <c r="I127" s="115"/>
      <c r="J127" s="115"/>
      <c r="K127" s="115"/>
      <c r="L127" s="115"/>
      <c r="M127" s="115"/>
      <c r="N127" s="115"/>
      <c r="O127" s="115"/>
      <c r="P127" s="115"/>
      <c r="Q127" s="115"/>
      <c r="R127" s="115"/>
      <c r="S127" s="115"/>
      <c r="T127" s="115"/>
      <c r="U127" s="115"/>
      <c r="V127" s="115"/>
      <c r="W127" s="115"/>
      <c r="X127" s="196" cm="1">
        <f t="array" ref="X127">SUMPRODUCT((ROW($C$73:$W$113)-MIN(ROW(E117:Y157))=MIN(COLUMN(E117:Y157))-COLUMN($C$73:$W$113))*($C$73:$W$113))</f>
        <v>25883006.829430189</v>
      </c>
    </row>
    <row r="128" spans="1:24" x14ac:dyDescent="0.15">
      <c r="A128" s="197"/>
      <c r="B128" s="197"/>
      <c r="C128" s="197"/>
      <c r="D128" s="197"/>
      <c r="E128" s="197"/>
      <c r="F128" s="197"/>
      <c r="G128" s="197"/>
      <c r="H128" s="115"/>
      <c r="I128" s="115"/>
      <c r="J128" s="115"/>
      <c r="K128" s="115"/>
      <c r="L128" s="115"/>
      <c r="M128" s="115"/>
      <c r="N128" s="115"/>
      <c r="O128" s="115"/>
      <c r="P128" s="115"/>
      <c r="Q128" s="115"/>
      <c r="R128" s="115"/>
      <c r="S128" s="115"/>
      <c r="T128" s="115"/>
      <c r="U128" s="115"/>
      <c r="V128" s="115"/>
      <c r="W128" s="115"/>
      <c r="X128" s="196" cm="1">
        <f t="array" ref="X128">SUMPRODUCT((ROW($C$73:$W$113)-MIN(ROW(E118:Y158))=MIN(COLUMN(E118:Y158))-COLUMN($C$73:$W$113))*($C$73:$W$113))</f>
        <v>23274724.30903884</v>
      </c>
    </row>
    <row r="129" spans="1:26" x14ac:dyDescent="0.15">
      <c r="A129" s="197"/>
      <c r="B129" s="197"/>
      <c r="C129" s="197"/>
      <c r="D129" s="197"/>
      <c r="E129" s="197"/>
      <c r="F129" s="197"/>
      <c r="G129" s="197"/>
      <c r="H129" s="115"/>
      <c r="I129" s="115"/>
      <c r="J129" s="115"/>
      <c r="K129" s="115"/>
      <c r="L129" s="115"/>
      <c r="M129" s="115"/>
      <c r="N129" s="115"/>
      <c r="O129" s="115"/>
      <c r="P129" s="115"/>
      <c r="Q129" s="115"/>
      <c r="R129" s="115"/>
      <c r="S129" s="115"/>
      <c r="T129" s="115"/>
      <c r="U129" s="115"/>
      <c r="V129" s="115"/>
      <c r="W129" s="115"/>
      <c r="X129" s="196" cm="1">
        <f t="array" ref="X129">SUMPRODUCT((ROW($C$73:$W$113)-MIN(ROW(E119:Y159))=MIN(COLUMN(E119:Y159))-COLUMN($C$73:$W$113))*($C$73:$W$113))</f>
        <v>23162993.546447959</v>
      </c>
    </row>
    <row r="130" spans="1:26" x14ac:dyDescent="0.15">
      <c r="A130" s="197"/>
      <c r="B130" s="197"/>
      <c r="C130" s="197"/>
      <c r="D130" s="197"/>
      <c r="E130" s="197"/>
      <c r="F130" s="197"/>
      <c r="G130" s="197"/>
      <c r="H130" s="115"/>
      <c r="I130" s="115"/>
      <c r="J130" s="115"/>
      <c r="K130" s="115"/>
      <c r="L130" s="115"/>
      <c r="M130" s="115"/>
      <c r="N130" s="115"/>
      <c r="O130" s="115"/>
      <c r="P130" s="115"/>
      <c r="Q130" s="115"/>
      <c r="R130" s="115"/>
      <c r="S130" s="115"/>
      <c r="T130" s="115"/>
      <c r="U130" s="115"/>
      <c r="V130" s="115"/>
      <c r="W130" s="115"/>
      <c r="X130" s="196" cm="1">
        <f t="array" ref="X130">SUMPRODUCT((ROW($C$73:$W$113)-MIN(ROW(E120:Y160))=MIN(COLUMN(E120:Y160))-COLUMN($C$73:$W$113))*($C$73:$W$113))</f>
        <v>23055353.107087784</v>
      </c>
    </row>
    <row r="131" spans="1:26" x14ac:dyDescent="0.15">
      <c r="A131" s="197"/>
      <c r="B131" s="197"/>
      <c r="C131" s="197"/>
      <c r="D131" s="197"/>
      <c r="E131" s="197"/>
      <c r="F131" s="197"/>
      <c r="G131" s="197"/>
      <c r="H131" s="115"/>
      <c r="I131" s="115"/>
      <c r="J131" s="115"/>
      <c r="K131" s="115"/>
      <c r="L131" s="115"/>
      <c r="M131" s="115"/>
      <c r="N131" s="115"/>
      <c r="O131" s="115"/>
      <c r="P131" s="115"/>
      <c r="Q131" s="115"/>
      <c r="R131" s="115"/>
      <c r="S131" s="115"/>
      <c r="T131" s="115"/>
      <c r="U131" s="115"/>
      <c r="V131" s="115"/>
      <c r="W131" s="115"/>
      <c r="X131" s="196" cm="1">
        <f t="array" ref="X131">SUMPRODUCT((ROW($C$73:$W$113)-MIN(ROW(E121:Y162))=MIN(COLUMN(E121:Y162))-COLUMN($C$73:$W$113))*($C$73:$W$113))</f>
        <v>22941353.267204665</v>
      </c>
    </row>
    <row r="132" spans="1:26" x14ac:dyDescent="0.15">
      <c r="A132" s="197"/>
      <c r="B132" s="197"/>
      <c r="C132" s="197"/>
      <c r="D132" s="197"/>
      <c r="E132" s="197"/>
      <c r="F132" s="197"/>
      <c r="G132" s="197"/>
      <c r="H132" s="115"/>
      <c r="I132" s="115"/>
      <c r="J132" s="115"/>
      <c r="K132" s="115"/>
      <c r="L132" s="115"/>
      <c r="M132" s="115"/>
      <c r="N132" s="115"/>
      <c r="O132" s="115"/>
      <c r="P132" s="115"/>
      <c r="Q132" s="115"/>
      <c r="R132" s="115"/>
      <c r="S132" s="115"/>
      <c r="T132" s="115"/>
      <c r="U132" s="115"/>
      <c r="V132" s="115"/>
      <c r="W132" s="115"/>
      <c r="X132" s="196" cm="1">
        <f t="array" ref="X132">SUMPRODUCT((ROW($C$73:$W$113)-MIN(ROW(E122:Y163))=MIN(COLUMN(E122:Y163))-COLUMN($C$73:$W$113))*($C$73:$W$113))</f>
        <v>15020121.847045207</v>
      </c>
      <c r="Y132" s="158"/>
    </row>
    <row r="133" spans="1:26" x14ac:dyDescent="0.15">
      <c r="A133" s="197"/>
      <c r="B133" s="197"/>
      <c r="C133" s="197"/>
      <c r="D133" s="197"/>
      <c r="E133" s="197"/>
      <c r="F133" s="197"/>
      <c r="G133" s="197"/>
      <c r="H133" s="115"/>
      <c r="I133" s="115"/>
      <c r="J133" s="115"/>
      <c r="K133" s="115"/>
      <c r="L133" s="115"/>
      <c r="M133" s="115"/>
      <c r="N133" s="115"/>
      <c r="O133" s="115"/>
      <c r="P133" s="115"/>
      <c r="Q133" s="115"/>
      <c r="R133" s="115"/>
      <c r="S133" s="115"/>
      <c r="T133" s="115"/>
      <c r="U133" s="115"/>
      <c r="V133" s="115"/>
      <c r="W133" s="115"/>
      <c r="X133" s="196" cm="1">
        <f t="array" ref="X133">SUMPRODUCT((ROW($C$73:$W$113)-MIN(ROW(E123:Y164))=MIN(COLUMN(E123:Y164))-COLUMN($C$73:$W$113))*($C$73:$W$113))</f>
        <v>7095951.4085812503</v>
      </c>
      <c r="Y133" s="158"/>
      <c r="Z133" s="187"/>
    </row>
    <row r="134" spans="1:26" x14ac:dyDescent="0.15">
      <c r="A134" s="197"/>
      <c r="B134" s="197"/>
      <c r="C134" s="197"/>
      <c r="D134" s="197"/>
      <c r="E134" s="197"/>
      <c r="F134" s="197"/>
      <c r="G134" s="197"/>
      <c r="H134" s="115"/>
      <c r="I134" s="115"/>
      <c r="J134" s="115"/>
      <c r="K134" s="115"/>
      <c r="L134" s="115"/>
      <c r="M134" s="115"/>
      <c r="N134" s="115"/>
      <c r="O134" s="115"/>
      <c r="P134" s="115"/>
      <c r="Q134" s="115"/>
      <c r="R134" s="115"/>
      <c r="S134" s="115"/>
      <c r="T134" s="115"/>
      <c r="U134" s="115"/>
      <c r="V134" s="115"/>
      <c r="W134" s="115"/>
      <c r="X134" s="196" cm="1">
        <f t="array" ref="X134">SUMPRODUCT((ROW($C$73:$W$113)-MIN(ROW(E124:Y165))=MIN(COLUMN(E124:Y165))-COLUMN($C$73:$W$113))*($C$73:$W$113))</f>
        <v>6976226.6997382864</v>
      </c>
      <c r="Y134" s="158"/>
      <c r="Z134" s="187"/>
    </row>
    <row r="135" spans="1:26" x14ac:dyDescent="0.15">
      <c r="H135" s="157"/>
      <c r="I135" s="157"/>
      <c r="J135" s="157"/>
      <c r="K135" s="157"/>
      <c r="L135" s="157"/>
      <c r="M135" s="157"/>
      <c r="N135" s="157"/>
      <c r="O135" s="157"/>
      <c r="P135" s="157"/>
      <c r="Q135" s="157"/>
      <c r="R135" s="157"/>
      <c r="S135" s="157"/>
      <c r="T135" s="157"/>
      <c r="U135" s="157"/>
      <c r="V135" s="157"/>
      <c r="W135" s="198"/>
      <c r="X135" s="187"/>
      <c r="Y135" s="158"/>
      <c r="Z135" s="187"/>
    </row>
    <row r="136" spans="1:26" x14ac:dyDescent="0.15">
      <c r="H136" s="157"/>
      <c r="I136" s="157"/>
      <c r="J136" s="157"/>
      <c r="K136" s="157"/>
      <c r="L136" s="157"/>
      <c r="M136" s="157"/>
      <c r="N136" s="157"/>
      <c r="O136" s="157"/>
      <c r="P136" s="157"/>
      <c r="Q136" s="157"/>
      <c r="R136" s="157"/>
      <c r="S136" s="157"/>
      <c r="T136" s="157"/>
      <c r="U136" s="157"/>
      <c r="V136" s="157"/>
      <c r="W136" s="198"/>
      <c r="X136" s="187"/>
      <c r="Y136" s="158"/>
      <c r="Z136" s="187"/>
    </row>
    <row r="137" spans="1:26" ht="16" x14ac:dyDescent="0.2">
      <c r="A137" s="23" t="s">
        <v>96</v>
      </c>
      <c r="B137" s="23"/>
      <c r="C137" s="199"/>
      <c r="D137" s="199"/>
      <c r="E137" s="199"/>
      <c r="F137" s="199"/>
      <c r="G137" s="199"/>
      <c r="H137" s="157"/>
      <c r="I137" s="157"/>
      <c r="J137" s="157"/>
      <c r="K137" s="157"/>
      <c r="L137" s="157"/>
      <c r="M137" s="157"/>
      <c r="N137" s="157"/>
      <c r="O137" s="157"/>
      <c r="P137" s="157"/>
      <c r="Q137" s="157"/>
      <c r="R137" s="157"/>
      <c r="S137" s="157"/>
      <c r="T137" s="157"/>
      <c r="U137" s="157"/>
      <c r="V137" s="157"/>
      <c r="W137" s="158"/>
      <c r="X137" s="187"/>
      <c r="Y137" s="158"/>
      <c r="Z137" s="187"/>
    </row>
    <row r="138" spans="1:26" x14ac:dyDescent="0.15">
      <c r="A138" s="199"/>
      <c r="B138" s="200" t="s">
        <v>97</v>
      </c>
      <c r="C138" s="199"/>
      <c r="D138" s="199"/>
      <c r="E138" s="199"/>
      <c r="F138" s="199"/>
      <c r="G138" s="199"/>
      <c r="H138" s="157"/>
      <c r="I138" s="157"/>
      <c r="J138" s="157"/>
      <c r="K138" s="157"/>
      <c r="L138" s="157"/>
      <c r="M138" s="157"/>
      <c r="N138" s="157"/>
      <c r="O138" s="157"/>
      <c r="P138" s="157"/>
      <c r="Q138" s="157"/>
      <c r="R138" s="157"/>
      <c r="S138" s="157"/>
      <c r="T138" s="157"/>
      <c r="U138" s="157"/>
      <c r="V138" s="157"/>
      <c r="W138" s="158"/>
      <c r="X138" s="187"/>
      <c r="Y138" s="158"/>
      <c r="Z138" s="187"/>
    </row>
    <row r="139" spans="1:26" x14ac:dyDescent="0.15">
      <c r="A139" s="200" t="s">
        <v>98</v>
      </c>
      <c r="B139" s="199">
        <v>3</v>
      </c>
      <c r="C139" s="199">
        <v>5</v>
      </c>
      <c r="D139" s="199">
        <v>7</v>
      </c>
      <c r="E139" s="199">
        <v>10</v>
      </c>
      <c r="F139" s="199">
        <v>15</v>
      </c>
      <c r="G139" s="199">
        <v>20</v>
      </c>
      <c r="H139" s="157"/>
      <c r="I139" s="157"/>
      <c r="J139" s="157"/>
      <c r="K139" s="157"/>
      <c r="L139" s="157"/>
      <c r="M139" s="157"/>
      <c r="N139" s="157"/>
      <c r="O139" s="157"/>
      <c r="P139" s="157"/>
      <c r="Q139" s="157"/>
      <c r="R139" s="157"/>
      <c r="S139" s="157"/>
      <c r="T139" s="157"/>
      <c r="U139" s="157"/>
      <c r="V139" s="157"/>
      <c r="W139" s="158"/>
      <c r="X139" s="187"/>
      <c r="Y139" s="158"/>
      <c r="Z139" s="187"/>
    </row>
    <row r="140" spans="1:26" x14ac:dyDescent="0.15">
      <c r="A140" s="125">
        <v>1</v>
      </c>
      <c r="B140" s="201">
        <v>0.33329999999999999</v>
      </c>
      <c r="C140" s="201">
        <v>0.2</v>
      </c>
      <c r="D140" s="201">
        <v>0.1429</v>
      </c>
      <c r="E140" s="201">
        <v>0.1</v>
      </c>
      <c r="F140" s="201">
        <v>0.05</v>
      </c>
      <c r="G140" s="201">
        <v>3.7499999999999999E-2</v>
      </c>
      <c r="H140" s="157"/>
      <c r="I140" s="157"/>
      <c r="J140" s="157"/>
      <c r="K140" s="157"/>
      <c r="L140" s="157"/>
      <c r="M140" s="157"/>
      <c r="N140" s="157"/>
      <c r="O140" s="157"/>
      <c r="P140" s="157"/>
      <c r="Q140" s="157"/>
      <c r="R140" s="157"/>
      <c r="S140" s="157"/>
      <c r="T140" s="157"/>
      <c r="U140" s="157"/>
      <c r="V140" s="157"/>
      <c r="W140" s="158"/>
      <c r="X140" s="187"/>
      <c r="Y140" s="158"/>
      <c r="Z140" s="187"/>
    </row>
    <row r="141" spans="1:26" x14ac:dyDescent="0.15">
      <c r="A141" s="125">
        <v>2</v>
      </c>
      <c r="B141" s="201">
        <v>0.44450000000000001</v>
      </c>
      <c r="C141" s="201">
        <v>0.32</v>
      </c>
      <c r="D141" s="201">
        <v>0.24490000000000001</v>
      </c>
      <c r="E141" s="201">
        <v>0.18</v>
      </c>
      <c r="F141" s="201">
        <v>9.5000000000000001E-2</v>
      </c>
      <c r="G141" s="201">
        <v>7.2190000000000004E-2</v>
      </c>
      <c r="H141" s="157"/>
      <c r="I141" s="157"/>
      <c r="J141" s="157"/>
      <c r="K141" s="157"/>
      <c r="L141" s="157"/>
      <c r="M141" s="157"/>
      <c r="N141" s="157"/>
      <c r="O141" s="157"/>
      <c r="P141" s="157"/>
      <c r="Q141" s="157"/>
      <c r="R141" s="157"/>
      <c r="S141" s="157"/>
      <c r="T141" s="157"/>
      <c r="U141" s="157"/>
      <c r="V141" s="157"/>
      <c r="W141" s="158"/>
      <c r="X141" s="187"/>
      <c r="Y141" s="158"/>
      <c r="Z141" s="187"/>
    </row>
    <row r="142" spans="1:26" x14ac:dyDescent="0.15">
      <c r="A142" s="125">
        <v>3</v>
      </c>
      <c r="B142" s="201">
        <v>0.14810000000000001</v>
      </c>
      <c r="C142" s="201">
        <v>0.192</v>
      </c>
      <c r="D142" s="201">
        <v>0.1749</v>
      </c>
      <c r="E142" s="201">
        <v>0.14399999999999999</v>
      </c>
      <c r="F142" s="201">
        <v>8.5500000000000007E-2</v>
      </c>
      <c r="G142" s="201">
        <v>6.6769999999999996E-2</v>
      </c>
      <c r="H142" s="157"/>
      <c r="I142" s="157"/>
      <c r="J142" s="157"/>
      <c r="K142" s="157"/>
      <c r="L142" s="157"/>
      <c r="M142" s="157"/>
      <c r="N142" s="157"/>
      <c r="O142" s="157"/>
      <c r="P142" s="157"/>
      <c r="Q142" s="157"/>
      <c r="R142" s="157"/>
      <c r="S142" s="157"/>
      <c r="T142" s="157"/>
      <c r="U142" s="157"/>
      <c r="V142" s="157"/>
      <c r="W142" s="158"/>
      <c r="X142" s="187"/>
      <c r="Y142" s="158"/>
      <c r="Z142" s="187"/>
    </row>
    <row r="143" spans="1:26" x14ac:dyDescent="0.15">
      <c r="A143" s="125">
        <v>4</v>
      </c>
      <c r="B143" s="201">
        <v>7.4099999999999999E-2</v>
      </c>
      <c r="C143" s="201">
        <v>0.1152</v>
      </c>
      <c r="D143" s="201">
        <v>0.1249</v>
      </c>
      <c r="E143" s="201">
        <v>0.1152</v>
      </c>
      <c r="F143" s="201">
        <v>7.6999999999999999E-2</v>
      </c>
      <c r="G143" s="201">
        <v>6.1769999999999999E-2</v>
      </c>
      <c r="H143" s="157"/>
      <c r="I143" s="157"/>
      <c r="J143" s="157"/>
      <c r="K143" s="157"/>
      <c r="L143" s="157"/>
      <c r="M143" s="157"/>
      <c r="N143" s="157"/>
      <c r="O143" s="157"/>
      <c r="P143" s="157"/>
      <c r="Q143" s="157"/>
      <c r="R143" s="157"/>
      <c r="S143" s="157"/>
      <c r="T143" s="157"/>
      <c r="U143" s="157"/>
      <c r="V143" s="157"/>
      <c r="W143" s="157"/>
      <c r="X143" s="157"/>
      <c r="Y143" s="158"/>
      <c r="Z143" s="187"/>
    </row>
    <row r="144" spans="1:26" x14ac:dyDescent="0.15">
      <c r="A144" s="125">
        <v>5</v>
      </c>
      <c r="B144" s="201"/>
      <c r="C144" s="201">
        <v>0.1152</v>
      </c>
      <c r="D144" s="201">
        <v>8.9300000000000004E-2</v>
      </c>
      <c r="E144" s="201">
        <v>9.2200000000000004E-2</v>
      </c>
      <c r="F144" s="201">
        <v>6.93E-2</v>
      </c>
      <c r="G144" s="201">
        <v>5.713E-2</v>
      </c>
      <c r="H144" s="157"/>
      <c r="I144" s="157"/>
      <c r="J144" s="157"/>
      <c r="K144" s="157"/>
      <c r="L144" s="157"/>
      <c r="M144" s="157"/>
      <c r="N144" s="157"/>
      <c r="O144" s="157"/>
      <c r="P144" s="157"/>
      <c r="Q144" s="157"/>
      <c r="R144" s="157"/>
      <c r="S144" s="157"/>
      <c r="T144" s="157"/>
      <c r="U144" s="157"/>
      <c r="V144" s="157"/>
      <c r="W144" s="157"/>
      <c r="X144" s="157"/>
      <c r="Y144" s="158"/>
      <c r="Z144" s="187"/>
    </row>
    <row r="145" spans="1:26" x14ac:dyDescent="0.15">
      <c r="A145" s="125">
        <v>6</v>
      </c>
      <c r="B145" s="201"/>
      <c r="C145" s="201">
        <v>5.7599999999999998E-2</v>
      </c>
      <c r="D145" s="201">
        <v>8.9200000000000002E-2</v>
      </c>
      <c r="E145" s="201">
        <v>7.3700000000000002E-2</v>
      </c>
      <c r="F145" s="201">
        <v>6.2300000000000001E-2</v>
      </c>
      <c r="G145" s="201">
        <v>5.2850000000000001E-2</v>
      </c>
      <c r="H145" s="157"/>
      <c r="I145" s="157"/>
      <c r="J145" s="157"/>
      <c r="K145" s="157"/>
      <c r="L145" s="157"/>
      <c r="M145" s="157"/>
      <c r="N145" s="157"/>
      <c r="O145" s="157"/>
      <c r="P145" s="157"/>
      <c r="Q145" s="157"/>
      <c r="R145" s="157"/>
      <c r="S145" s="157"/>
      <c r="T145" s="157"/>
      <c r="U145" s="157"/>
      <c r="V145" s="157"/>
      <c r="W145" s="157"/>
      <c r="X145" s="157"/>
      <c r="Y145" s="158"/>
      <c r="Z145" s="187"/>
    </row>
    <row r="146" spans="1:26" x14ac:dyDescent="0.15">
      <c r="A146" s="125">
        <v>7</v>
      </c>
      <c r="B146" s="201"/>
      <c r="C146" s="201"/>
      <c r="D146" s="201">
        <v>8.9300000000000004E-2</v>
      </c>
      <c r="E146" s="201">
        <v>6.5500000000000003E-2</v>
      </c>
      <c r="F146" s="201">
        <v>5.8999999999999997E-2</v>
      </c>
      <c r="G146" s="201">
        <v>4.888E-2</v>
      </c>
      <c r="H146" s="157"/>
      <c r="I146" s="157"/>
      <c r="J146" s="157"/>
      <c r="K146" s="157"/>
      <c r="L146" s="157"/>
      <c r="M146" s="157"/>
      <c r="N146" s="157"/>
      <c r="O146" s="157"/>
      <c r="P146" s="157"/>
      <c r="Q146" s="157"/>
      <c r="R146" s="157"/>
      <c r="S146" s="157"/>
      <c r="T146" s="157"/>
      <c r="U146" s="157"/>
      <c r="V146" s="157"/>
      <c r="W146" s="157"/>
      <c r="X146" s="157"/>
      <c r="Y146" s="158"/>
      <c r="Z146" s="187"/>
    </row>
    <row r="147" spans="1:26" x14ac:dyDescent="0.15">
      <c r="A147" s="125">
        <v>8</v>
      </c>
      <c r="B147" s="201"/>
      <c r="C147" s="201"/>
      <c r="D147" s="201">
        <v>4.4600000000000001E-2</v>
      </c>
      <c r="E147" s="201">
        <v>6.5500000000000003E-2</v>
      </c>
      <c r="F147" s="201">
        <v>5.8999999999999997E-2</v>
      </c>
      <c r="G147" s="201">
        <v>4.5220000000000003E-2</v>
      </c>
      <c r="H147" s="157"/>
      <c r="I147" s="157"/>
      <c r="J147" s="157"/>
      <c r="K147" s="157"/>
      <c r="L147" s="157"/>
      <c r="M147" s="157"/>
      <c r="N147" s="157"/>
      <c r="O147" s="157"/>
      <c r="P147" s="157"/>
      <c r="Q147" s="157"/>
      <c r="R147" s="157"/>
      <c r="S147" s="157"/>
      <c r="T147" s="157"/>
      <c r="U147" s="157"/>
      <c r="V147" s="157"/>
      <c r="W147" s="157"/>
      <c r="X147" s="157"/>
      <c r="Y147" s="158"/>
      <c r="Z147" s="187"/>
    </row>
    <row r="148" spans="1:26" x14ac:dyDescent="0.15">
      <c r="A148" s="125">
        <v>9</v>
      </c>
      <c r="B148" s="201"/>
      <c r="C148" s="201"/>
      <c r="D148" s="201"/>
      <c r="E148" s="201">
        <v>6.5600000000000006E-2</v>
      </c>
      <c r="F148" s="201">
        <v>5.91E-2</v>
      </c>
      <c r="G148" s="201">
        <v>4.462E-2</v>
      </c>
      <c r="H148" s="157"/>
      <c r="I148" s="157"/>
      <c r="J148" s="157"/>
      <c r="K148" s="157"/>
      <c r="L148" s="157"/>
      <c r="M148" s="157"/>
      <c r="N148" s="157"/>
      <c r="O148" s="157"/>
      <c r="P148" s="157"/>
      <c r="Q148" s="157"/>
      <c r="R148" s="157"/>
      <c r="S148" s="157"/>
      <c r="T148" s="157"/>
      <c r="U148" s="157"/>
      <c r="V148" s="157"/>
      <c r="W148" s="157"/>
      <c r="X148" s="157"/>
      <c r="Y148" s="158"/>
      <c r="Z148" s="187"/>
    </row>
    <row r="149" spans="1:26" x14ac:dyDescent="0.15">
      <c r="A149" s="125">
        <v>10</v>
      </c>
      <c r="B149" s="201"/>
      <c r="C149" s="201"/>
      <c r="D149" s="201"/>
      <c r="E149" s="201">
        <v>6.5500000000000003E-2</v>
      </c>
      <c r="F149" s="201">
        <v>5.8999999999999997E-2</v>
      </c>
      <c r="G149" s="201">
        <v>4.4609999999999997E-2</v>
      </c>
      <c r="H149" s="157"/>
      <c r="I149" s="157"/>
      <c r="J149" s="157"/>
      <c r="K149" s="157"/>
      <c r="L149" s="157"/>
      <c r="M149" s="157"/>
      <c r="N149" s="157"/>
      <c r="O149" s="157"/>
      <c r="P149" s="157"/>
      <c r="Q149" s="157"/>
      <c r="R149" s="157"/>
      <c r="S149" s="157"/>
      <c r="T149" s="157"/>
      <c r="U149" s="157"/>
      <c r="V149" s="157"/>
      <c r="W149" s="157"/>
      <c r="X149" s="157"/>
      <c r="Y149" s="158"/>
      <c r="Z149" s="187"/>
    </row>
    <row r="150" spans="1:26" x14ac:dyDescent="0.15">
      <c r="A150" s="125">
        <v>11</v>
      </c>
      <c r="B150" s="201"/>
      <c r="C150" s="201"/>
      <c r="D150" s="201"/>
      <c r="E150" s="201">
        <v>3.2800000000000003E-2</v>
      </c>
      <c r="F150" s="201">
        <v>5.91E-2</v>
      </c>
      <c r="G150" s="201">
        <v>4.462E-2</v>
      </c>
      <c r="H150" s="157"/>
      <c r="I150" s="157"/>
      <c r="J150" s="157"/>
      <c r="K150" s="157"/>
      <c r="L150" s="157"/>
      <c r="M150" s="157"/>
      <c r="N150" s="157"/>
      <c r="O150" s="157"/>
      <c r="P150" s="157"/>
      <c r="Q150" s="157"/>
      <c r="R150" s="157"/>
      <c r="S150" s="157"/>
      <c r="T150" s="157"/>
      <c r="U150" s="157"/>
      <c r="V150" s="157"/>
      <c r="W150" s="157"/>
      <c r="X150" s="157"/>
      <c r="Y150" s="158"/>
      <c r="Z150" s="187"/>
    </row>
    <row r="151" spans="1:26" x14ac:dyDescent="0.15">
      <c r="A151" s="125">
        <v>12</v>
      </c>
      <c r="B151" s="201"/>
      <c r="C151" s="201"/>
      <c r="D151" s="201"/>
      <c r="E151" s="201"/>
      <c r="F151" s="201">
        <v>5.8999999999999997E-2</v>
      </c>
      <c r="G151" s="201">
        <v>4.4609999999999997E-2</v>
      </c>
      <c r="H151" s="157"/>
      <c r="I151" s="157"/>
      <c r="J151" s="157"/>
      <c r="K151" s="157"/>
      <c r="L151" s="157"/>
      <c r="M151" s="157"/>
      <c r="N151" s="157"/>
      <c r="O151" s="157"/>
      <c r="P151" s="157"/>
      <c r="Q151" s="157"/>
      <c r="R151" s="157"/>
      <c r="S151" s="157"/>
      <c r="T151" s="157"/>
      <c r="U151" s="157"/>
      <c r="V151" s="157"/>
      <c r="W151" s="157"/>
      <c r="X151" s="157"/>
      <c r="Y151" s="158"/>
      <c r="Z151" s="187"/>
    </row>
    <row r="152" spans="1:26" x14ac:dyDescent="0.15">
      <c r="A152" s="125">
        <v>13</v>
      </c>
      <c r="B152" s="201"/>
      <c r="C152" s="201"/>
      <c r="D152" s="201"/>
      <c r="E152" s="201"/>
      <c r="F152" s="201">
        <v>5.91E-2</v>
      </c>
      <c r="G152" s="201">
        <v>4.462E-2</v>
      </c>
      <c r="H152" s="157"/>
      <c r="I152" s="157"/>
      <c r="J152" s="157"/>
      <c r="K152" s="157"/>
      <c r="L152" s="157"/>
      <c r="M152" s="157"/>
      <c r="N152" s="157"/>
      <c r="O152" s="157"/>
      <c r="P152" s="157"/>
      <c r="Q152" s="157"/>
      <c r="R152" s="157"/>
      <c r="S152" s="157"/>
      <c r="T152" s="157"/>
      <c r="U152" s="157"/>
      <c r="V152" s="157"/>
      <c r="W152" s="157"/>
      <c r="X152" s="157"/>
      <c r="Y152" s="158"/>
      <c r="Z152" s="187"/>
    </row>
    <row r="153" spans="1:26" x14ac:dyDescent="0.15">
      <c r="A153" s="125">
        <v>14</v>
      </c>
      <c r="B153" s="201"/>
      <c r="C153" s="201"/>
      <c r="D153" s="201"/>
      <c r="E153" s="201"/>
      <c r="F153" s="201">
        <v>5.8999999999999997E-2</v>
      </c>
      <c r="G153" s="201">
        <v>4.4609999999999997E-2</v>
      </c>
      <c r="H153" s="157"/>
      <c r="I153" s="157"/>
      <c r="J153" s="157"/>
      <c r="K153" s="157"/>
      <c r="L153" s="157"/>
      <c r="M153" s="157"/>
      <c r="N153" s="157"/>
      <c r="O153" s="157"/>
      <c r="P153" s="157"/>
      <c r="Q153" s="157"/>
      <c r="R153" s="157"/>
      <c r="S153" s="157"/>
      <c r="T153" s="157"/>
      <c r="U153" s="157"/>
      <c r="V153" s="157"/>
      <c r="W153" s="157"/>
      <c r="X153" s="157"/>
      <c r="Y153" s="158"/>
      <c r="Z153" s="187"/>
    </row>
    <row r="154" spans="1:26" x14ac:dyDescent="0.15">
      <c r="A154" s="125">
        <v>15</v>
      </c>
      <c r="B154" s="201"/>
      <c r="C154" s="201"/>
      <c r="D154" s="201"/>
      <c r="E154" s="201"/>
      <c r="F154" s="201">
        <v>5.91E-2</v>
      </c>
      <c r="G154" s="201">
        <v>4.462E-2</v>
      </c>
      <c r="H154" s="157"/>
      <c r="I154" s="157"/>
      <c r="J154" s="157"/>
      <c r="K154" s="157"/>
      <c r="L154" s="157"/>
      <c r="M154" s="157"/>
      <c r="N154" s="157"/>
      <c r="O154" s="157"/>
      <c r="P154" s="157"/>
      <c r="Q154" s="157"/>
      <c r="R154" s="157"/>
      <c r="S154" s="157"/>
      <c r="T154" s="157"/>
      <c r="U154" s="157"/>
      <c r="V154" s="157"/>
      <c r="W154" s="157"/>
      <c r="X154" s="157"/>
      <c r="Y154" s="158"/>
      <c r="Z154" s="187"/>
    </row>
    <row r="155" spans="1:26" x14ac:dyDescent="0.15">
      <c r="A155" s="125">
        <v>16</v>
      </c>
      <c r="B155" s="201"/>
      <c r="C155" s="201"/>
      <c r="D155" s="201"/>
      <c r="E155" s="201"/>
      <c r="F155" s="201">
        <v>2.9499999999999998E-2</v>
      </c>
      <c r="G155" s="201">
        <v>4.4609999999999997E-2</v>
      </c>
      <c r="H155" s="157"/>
      <c r="I155" s="157"/>
      <c r="J155" s="157"/>
      <c r="K155" s="157"/>
      <c r="L155" s="157"/>
      <c r="M155" s="157"/>
      <c r="N155" s="157"/>
      <c r="O155" s="157"/>
      <c r="P155" s="157"/>
      <c r="Q155" s="157"/>
      <c r="R155" s="157"/>
      <c r="S155" s="157"/>
      <c r="T155" s="157"/>
      <c r="U155" s="157"/>
      <c r="V155" s="157"/>
      <c r="W155" s="157"/>
      <c r="X155" s="157"/>
      <c r="Y155" s="158"/>
      <c r="Z155" s="187"/>
    </row>
    <row r="156" spans="1:26" x14ac:dyDescent="0.15">
      <c r="A156" s="125">
        <v>17</v>
      </c>
      <c r="B156" s="201"/>
      <c r="C156" s="201"/>
      <c r="D156" s="201"/>
      <c r="E156" s="201"/>
      <c r="F156" s="201"/>
      <c r="G156" s="201">
        <v>4.462E-2</v>
      </c>
      <c r="H156" s="157"/>
      <c r="I156" s="157"/>
      <c r="J156" s="157"/>
      <c r="K156" s="157"/>
      <c r="L156" s="157"/>
      <c r="M156" s="157"/>
      <c r="N156" s="157"/>
      <c r="O156" s="157"/>
      <c r="P156" s="157"/>
      <c r="Q156" s="157"/>
      <c r="R156" s="157"/>
      <c r="S156" s="157"/>
      <c r="T156" s="157"/>
      <c r="U156" s="157"/>
      <c r="V156" s="157"/>
      <c r="W156" s="157"/>
      <c r="X156" s="157"/>
      <c r="Y156" s="158"/>
      <c r="Z156" s="187"/>
    </row>
    <row r="157" spans="1:26" x14ac:dyDescent="0.15">
      <c r="A157" s="125">
        <v>18</v>
      </c>
      <c r="B157" s="201"/>
      <c r="C157" s="201"/>
      <c r="D157" s="201"/>
      <c r="E157" s="201"/>
      <c r="F157" s="201"/>
      <c r="G157" s="201">
        <v>4.4609999999999997E-2</v>
      </c>
      <c r="H157" s="157"/>
      <c r="I157" s="157"/>
      <c r="J157" s="157"/>
      <c r="K157" s="157"/>
      <c r="L157" s="157"/>
      <c r="M157" s="157"/>
      <c r="N157" s="157"/>
      <c r="O157" s="157"/>
      <c r="P157" s="157"/>
      <c r="Q157" s="157"/>
      <c r="R157" s="157"/>
      <c r="S157" s="157"/>
      <c r="T157" s="157"/>
      <c r="U157" s="157"/>
      <c r="V157" s="157"/>
      <c r="W157" s="157"/>
      <c r="X157" s="157"/>
      <c r="Y157" s="158"/>
      <c r="Z157" s="187"/>
    </row>
    <row r="158" spans="1:26" x14ac:dyDescent="0.15">
      <c r="A158" s="125">
        <v>19</v>
      </c>
      <c r="B158" s="201"/>
      <c r="C158" s="201"/>
      <c r="D158" s="201"/>
      <c r="E158" s="201"/>
      <c r="F158" s="201"/>
      <c r="G158" s="201">
        <v>4.462E-2</v>
      </c>
      <c r="H158" s="157"/>
      <c r="I158" s="157"/>
      <c r="J158" s="157"/>
      <c r="K158" s="157"/>
      <c r="L158" s="157"/>
      <c r="M158" s="157"/>
      <c r="N158" s="157"/>
      <c r="O158" s="157"/>
      <c r="P158" s="157"/>
      <c r="Q158" s="157"/>
      <c r="R158" s="157"/>
      <c r="S158" s="157"/>
      <c r="T158" s="157"/>
      <c r="U158" s="157"/>
      <c r="V158" s="157"/>
      <c r="W158" s="157"/>
      <c r="X158" s="157"/>
      <c r="Y158" s="158"/>
      <c r="Z158" s="187"/>
    </row>
    <row r="159" spans="1:26" x14ac:dyDescent="0.15">
      <c r="A159" s="125">
        <v>20</v>
      </c>
      <c r="B159" s="201"/>
      <c r="C159" s="201"/>
      <c r="D159" s="201"/>
      <c r="E159" s="201"/>
      <c r="F159" s="201"/>
      <c r="G159" s="201">
        <v>4.4609999999999997E-2</v>
      </c>
      <c r="H159" s="157"/>
      <c r="I159" s="157"/>
      <c r="J159" s="157"/>
      <c r="K159" s="157"/>
      <c r="L159" s="157"/>
      <c r="M159" s="157"/>
      <c r="N159" s="157"/>
      <c r="O159" s="157"/>
      <c r="P159" s="157"/>
      <c r="Q159" s="157"/>
      <c r="R159" s="157"/>
      <c r="S159" s="157"/>
      <c r="T159" s="157"/>
      <c r="U159" s="157"/>
      <c r="V159" s="157"/>
      <c r="W159" s="157"/>
      <c r="X159" s="157"/>
      <c r="Y159" s="158"/>
      <c r="Z159" s="187"/>
    </row>
    <row r="160" spans="1:26" x14ac:dyDescent="0.15">
      <c r="A160" s="125">
        <v>21</v>
      </c>
      <c r="B160" s="201"/>
      <c r="C160" s="201"/>
      <c r="D160" s="201"/>
      <c r="E160" s="201"/>
      <c r="F160" s="201"/>
      <c r="G160" s="201">
        <v>2.231E-2</v>
      </c>
      <c r="H160" s="157"/>
      <c r="I160" s="157"/>
      <c r="J160" s="157"/>
      <c r="K160" s="157"/>
      <c r="L160" s="157"/>
      <c r="M160" s="157"/>
      <c r="N160" s="157"/>
      <c r="O160" s="157"/>
      <c r="P160" s="157"/>
      <c r="Q160" s="157"/>
      <c r="R160" s="157"/>
      <c r="S160" s="157"/>
      <c r="T160" s="157"/>
      <c r="U160" s="157"/>
      <c r="V160" s="157"/>
      <c r="W160" s="157"/>
      <c r="X160" s="157"/>
      <c r="Y160" s="158"/>
      <c r="Z160" s="187"/>
    </row>
    <row r="161" spans="1:29" x14ac:dyDescent="0.15">
      <c r="A161" s="125"/>
      <c r="B161" s="201"/>
      <c r="C161" s="201"/>
      <c r="D161" s="201"/>
      <c r="E161" s="201"/>
      <c r="F161" s="201"/>
      <c r="G161" s="201"/>
      <c r="H161" s="157"/>
      <c r="I161" s="157"/>
      <c r="J161" s="157"/>
      <c r="K161" s="157"/>
      <c r="L161" s="157"/>
      <c r="M161" s="157"/>
      <c r="N161" s="157"/>
      <c r="O161" s="157"/>
      <c r="P161" s="157"/>
      <c r="Q161" s="157"/>
      <c r="R161" s="157"/>
      <c r="S161" s="157"/>
      <c r="T161" s="157"/>
      <c r="U161" s="157"/>
      <c r="V161" s="157"/>
      <c r="W161" s="157"/>
      <c r="X161" s="157"/>
      <c r="Y161" s="158"/>
      <c r="Z161" s="187"/>
    </row>
    <row r="162" spans="1:29" x14ac:dyDescent="0.15">
      <c r="A162" s="130" t="s">
        <v>99</v>
      </c>
      <c r="B162" s="202">
        <f t="shared" ref="B162:G162" si="21">NPV(real_irr,B140:B160)</f>
        <v>0.89307913611350176</v>
      </c>
      <c r="C162" s="202">
        <f t="shared" si="21"/>
        <v>0.85262406707829264</v>
      </c>
      <c r="D162" s="202">
        <f t="shared" si="21"/>
        <v>0.81553818710746073</v>
      </c>
      <c r="E162" s="202">
        <f t="shared" si="21"/>
        <v>0.76488492316790624</v>
      </c>
      <c r="F162" s="202">
        <f t="shared" si="21"/>
        <v>0.65491576635882343</v>
      </c>
      <c r="G162" s="202">
        <f t="shared" si="21"/>
        <v>0.58668676708808321</v>
      </c>
      <c r="H162" s="157"/>
      <c r="I162" s="157"/>
      <c r="J162" s="157"/>
      <c r="K162" s="157"/>
      <c r="L162" s="157"/>
      <c r="M162" s="157"/>
      <c r="N162" s="157"/>
      <c r="O162" s="157"/>
      <c r="P162" s="157"/>
      <c r="Q162" s="157"/>
      <c r="R162" s="157"/>
      <c r="S162" s="157"/>
      <c r="T162" s="157"/>
      <c r="U162" s="157"/>
      <c r="V162" s="157"/>
      <c r="W162" s="157"/>
      <c r="X162" s="157"/>
      <c r="Y162" s="158"/>
      <c r="Z162" s="187"/>
    </row>
    <row r="163" spans="1:29" x14ac:dyDescent="0.15">
      <c r="A163" s="130" t="s">
        <v>100</v>
      </c>
      <c r="B163" s="202">
        <f t="shared" ref="B163:G163" si="22">NPV(nominal_irr,B140:B160)</f>
        <v>0.8615177618044183</v>
      </c>
      <c r="C163" s="202">
        <f t="shared" si="22"/>
        <v>0.81104851097083042</v>
      </c>
      <c r="D163" s="202">
        <f t="shared" si="22"/>
        <v>0.76578402636027065</v>
      </c>
      <c r="E163" s="202">
        <f t="shared" si="22"/>
        <v>0.70553718809755184</v>
      </c>
      <c r="F163" s="202">
        <f t="shared" si="22"/>
        <v>0.57919112913161841</v>
      </c>
      <c r="G163" s="202">
        <f t="shared" si="22"/>
        <v>0.50574295307517025</v>
      </c>
      <c r="H163" s="157"/>
      <c r="I163" s="157"/>
      <c r="J163" s="157"/>
      <c r="K163" s="157"/>
      <c r="L163" s="157"/>
      <c r="M163" s="157"/>
      <c r="N163" s="157"/>
      <c r="O163" s="157"/>
      <c r="P163" s="157"/>
      <c r="Q163" s="157"/>
      <c r="R163" s="157"/>
      <c r="S163" s="157"/>
      <c r="T163" s="157"/>
      <c r="U163" s="157"/>
      <c r="V163" s="157"/>
      <c r="W163" s="157"/>
      <c r="X163" s="157"/>
      <c r="Y163" s="158"/>
      <c r="Z163" s="187"/>
    </row>
    <row r="164" spans="1:29" x14ac:dyDescent="0.15">
      <c r="H164" s="157"/>
      <c r="I164" s="157"/>
      <c r="J164" s="157"/>
      <c r="K164" s="157"/>
      <c r="L164" s="157"/>
      <c r="M164" s="157"/>
      <c r="N164" s="157"/>
      <c r="O164" s="157"/>
      <c r="P164" s="157"/>
      <c r="Q164" s="157"/>
      <c r="R164" s="157"/>
      <c r="S164" s="157"/>
      <c r="T164" s="157"/>
      <c r="U164" s="157"/>
      <c r="V164" s="157"/>
      <c r="W164" s="157"/>
      <c r="X164" s="157"/>
      <c r="Y164" s="158"/>
      <c r="Z164" s="187"/>
    </row>
    <row r="165" spans="1:29" x14ac:dyDescent="0.15">
      <c r="H165" s="157"/>
      <c r="I165" s="157"/>
      <c r="J165" s="157"/>
      <c r="K165" s="157"/>
      <c r="L165" s="157"/>
      <c r="M165" s="157"/>
      <c r="N165" s="157"/>
      <c r="O165" s="157"/>
      <c r="P165" s="157"/>
      <c r="Q165" s="157"/>
      <c r="R165" s="157"/>
      <c r="S165" s="157"/>
      <c r="T165" s="157"/>
      <c r="U165" s="157"/>
      <c r="V165" s="157"/>
      <c r="W165" s="157"/>
      <c r="X165" s="157"/>
      <c r="Y165" s="158"/>
      <c r="Z165" s="187"/>
    </row>
    <row r="166" spans="1:29" ht="16" x14ac:dyDescent="0.15">
      <c r="A166" s="132" t="s">
        <v>76</v>
      </c>
      <c r="B166" s="374"/>
      <c r="C166" s="374"/>
      <c r="D166" s="374"/>
      <c r="E166" s="374"/>
      <c r="F166" s="374"/>
      <c r="G166" s="374"/>
      <c r="H166" s="410"/>
      <c r="I166" s="410"/>
      <c r="J166" s="410"/>
      <c r="K166" s="157"/>
      <c r="L166" s="157"/>
      <c r="M166" s="157"/>
      <c r="N166" s="157"/>
      <c r="O166" s="157"/>
      <c r="P166" s="157"/>
      <c r="Q166" s="157"/>
      <c r="R166" s="157"/>
      <c r="S166" s="157"/>
      <c r="T166" s="157"/>
      <c r="U166" s="157"/>
      <c r="V166" s="157"/>
      <c r="W166" s="157"/>
      <c r="X166" s="157"/>
      <c r="Y166" s="158"/>
      <c r="Z166" s="187"/>
    </row>
    <row r="167" spans="1:29" ht="16" x14ac:dyDescent="0.15">
      <c r="A167" s="132"/>
      <c r="B167" s="374"/>
      <c r="C167" s="374"/>
      <c r="D167" s="374"/>
      <c r="E167" s="374"/>
      <c r="F167" s="374"/>
      <c r="G167" s="374"/>
      <c r="H167" s="410"/>
      <c r="I167" s="410"/>
      <c r="J167" s="410"/>
      <c r="K167" s="157"/>
      <c r="L167" s="157"/>
      <c r="M167" s="157"/>
      <c r="N167" s="157"/>
      <c r="O167" s="157"/>
      <c r="P167" s="157"/>
      <c r="Q167" s="157"/>
      <c r="R167" s="157"/>
      <c r="S167" s="157"/>
      <c r="T167" s="157"/>
      <c r="U167" s="157"/>
      <c r="V167" s="157"/>
      <c r="W167" s="157"/>
      <c r="X167" s="157"/>
      <c r="Y167" s="158"/>
      <c r="Z167" s="187"/>
    </row>
    <row r="168" spans="1:29" ht="28" x14ac:dyDescent="0.15">
      <c r="A168" s="405" t="s">
        <v>3</v>
      </c>
      <c r="B168" s="405" t="s">
        <v>4</v>
      </c>
      <c r="C168" s="405" t="s">
        <v>5</v>
      </c>
      <c r="D168" s="405" t="s">
        <v>6</v>
      </c>
      <c r="E168" s="408" t="s">
        <v>364</v>
      </c>
      <c r="F168" s="408" t="s">
        <v>365</v>
      </c>
      <c r="G168" s="409" t="s">
        <v>366</v>
      </c>
      <c r="H168" s="408" t="s">
        <v>367</v>
      </c>
      <c r="I168" s="408" t="s">
        <v>368</v>
      </c>
      <c r="J168" s="408" t="s">
        <v>29</v>
      </c>
      <c r="K168" s="157"/>
      <c r="L168" s="157"/>
      <c r="M168" s="157"/>
      <c r="N168" s="157"/>
      <c r="O168" s="157"/>
      <c r="P168" s="157"/>
      <c r="Q168" s="157"/>
      <c r="R168" s="157"/>
      <c r="S168" s="157"/>
      <c r="T168" s="157"/>
      <c r="U168" s="157"/>
      <c r="V168" s="157"/>
      <c r="W168" s="157"/>
      <c r="X168" s="157"/>
      <c r="Y168" s="157"/>
      <c r="Z168" s="157"/>
      <c r="AA168" s="157"/>
      <c r="AB168" s="158"/>
      <c r="AC168" s="187"/>
    </row>
    <row r="169" spans="1:29" x14ac:dyDescent="0.15">
      <c r="A169" s="133">
        <f>startup_year-construct_period</f>
        <v>2018</v>
      </c>
      <c r="B169" s="133">
        <v>1</v>
      </c>
      <c r="C169" s="133">
        <v>-1</v>
      </c>
      <c r="D169" s="412">
        <f t="shared" ref="D169:D209" si="23">(1+inflation_rate)^(A169-startup_year)</f>
        <v>0.9813542688910698</v>
      </c>
      <c r="E169" s="411">
        <f>IF((OR(A169&lt;startup_year,C169&gt;anal_period)),0,-D169*Main!$E$139)</f>
        <v>0</v>
      </c>
      <c r="F169" s="411">
        <f>IF((OR(A169&lt;startup_year,C169&gt;anal_period)),0,IF(MOD((C169-startup_time),Main!$C$140)=0,-D169*Main!$E$140,0))</f>
        <v>0</v>
      </c>
      <c r="G169" s="411">
        <f>IF((OR(A169&lt;startup_year,C169&gt;anal_period)),0,IF(MOD((C169-startup_time),Main!$C$141)=0,-D169*Main!$E$141,0))</f>
        <v>0</v>
      </c>
      <c r="H169" s="411">
        <f>IF((OR(A169&lt;startup_year,C169&gt;anal_period)),0,IF(MOD((C169-startup_time),Main!$C$142)=0,-D169*Main!$E$142,0))</f>
        <v>0</v>
      </c>
      <c r="I169" s="411">
        <f>IF((OR(A169&lt;startup_year,C169&gt;anal_period)),0,IF(MOD((C169-startup_time),Main!$C$143)=0,-D169*Main!$E$143,0))</f>
        <v>0</v>
      </c>
      <c r="J169" s="411">
        <f>SUM(E169:I169)</f>
        <v>0</v>
      </c>
      <c r="K169" s="157"/>
      <c r="L169" s="157"/>
      <c r="M169" s="157"/>
      <c r="N169" s="157"/>
      <c r="O169" s="157"/>
      <c r="P169" s="157"/>
      <c r="Q169" s="157"/>
      <c r="R169" s="157"/>
      <c r="S169" s="157"/>
      <c r="T169" s="157"/>
      <c r="U169" s="157"/>
      <c r="V169" s="157"/>
      <c r="W169" s="157"/>
      <c r="X169" s="157"/>
      <c r="Y169" s="157"/>
      <c r="Z169" s="157"/>
      <c r="AA169" s="157"/>
      <c r="AB169" s="158"/>
      <c r="AC169" s="187"/>
    </row>
    <row r="170" spans="1:29" x14ac:dyDescent="0.15">
      <c r="A170" s="133">
        <f>startup_year</f>
        <v>2019</v>
      </c>
      <c r="B170" s="133">
        <f>B169+1</f>
        <v>2</v>
      </c>
      <c r="C170" s="133">
        <v>1</v>
      </c>
      <c r="D170" s="412">
        <f t="shared" si="23"/>
        <v>1</v>
      </c>
      <c r="E170" s="411">
        <f>IF((OR(A170&lt;startup_year,C170&gt;anal_period)),0,IF(MOD((C170-startup_time),Main!$C$139)=0,-D170*Main!$E$139,0))</f>
        <v>-1466297.7785849196</v>
      </c>
      <c r="F170" s="411">
        <f>IF((OR(A170&lt;(startup_year+startup_time),C170&gt;anal_period)),0,IF(MOD((C170-startup_time),Main!$C$140)=0,-D170*Main!$E$140,0))</f>
        <v>0</v>
      </c>
      <c r="G170" s="411">
        <f>IF((OR(A170&lt;(startup_year+startup_time),C170&gt;anal_period)),0,IF(MOD((C170-startup_time),Main!$C$141)=0,-D170*Main!$E$141,0))</f>
        <v>0</v>
      </c>
      <c r="H170" s="411">
        <f>IF((OR(A170&lt;(startup_year+startup_time),C170&gt;anal_period)),0,IF(MOD((C170-startup_time),Main!$C$142)=0,-D170*Main!$E$142,0))</f>
        <v>0</v>
      </c>
      <c r="I170" s="411">
        <f>IF((OR(A170&lt;(startup_year+startup_time),C170&gt;anal_period)),0,IF(MOD((C170-startup_time),Main!$C$143)=0,-D170*Main!$E$143,0))</f>
        <v>0</v>
      </c>
      <c r="J170" s="411">
        <f t="shared" ref="J170:J209" si="24">SUM(E170:I170)</f>
        <v>-1466297.7785849196</v>
      </c>
      <c r="K170" s="157"/>
      <c r="L170" s="157"/>
      <c r="M170" s="157"/>
      <c r="N170" s="157"/>
      <c r="O170" s="157"/>
      <c r="P170" s="157"/>
      <c r="Q170" s="157"/>
      <c r="R170" s="157"/>
      <c r="S170" s="157"/>
      <c r="T170" s="157"/>
      <c r="U170" s="157"/>
      <c r="V170" s="157"/>
      <c r="W170" s="157"/>
      <c r="X170" s="157"/>
      <c r="Y170" s="157"/>
      <c r="Z170" s="157"/>
      <c r="AA170" s="157"/>
      <c r="AB170" s="158"/>
      <c r="AC170" s="187"/>
    </row>
    <row r="171" spans="1:29" x14ac:dyDescent="0.15">
      <c r="A171" s="133">
        <f t="shared" ref="A171:A209" si="25">A170+1</f>
        <v>2020</v>
      </c>
      <c r="B171" s="133">
        <v>3</v>
      </c>
      <c r="C171" s="133">
        <f t="shared" ref="C171:C209" si="26">C170+1</f>
        <v>2</v>
      </c>
      <c r="D171" s="412">
        <f t="shared" si="23"/>
        <v>1.0189999999999999</v>
      </c>
      <c r="E171" s="411">
        <f>IF((OR(A171&lt;startup_year,C171&gt;anal_period)),0,IF(MOD((C171-startup_time),Main!$C$139)=0,-D171*Main!$E$139,0))</f>
        <v>-1494157.4363780329</v>
      </c>
      <c r="F171" s="411">
        <f>IF((OR(A171&lt;startup_year,C171&gt;anal_period)),0,IF(MOD((C171-startup_time),Main!$C$140)=0,-D171*Main!$E$140,0))</f>
        <v>0</v>
      </c>
      <c r="G171" s="411">
        <f>IF((OR(A171&lt;startup_year,C171&gt;anal_period)),0,IF(MOD((C171-startup_time),Main!$C$141)=0,-D171*Main!$E$141,0))</f>
        <v>0</v>
      </c>
      <c r="H171" s="411">
        <f>IF((OR(A171&lt;startup_year,C171&gt;anal_period)),0,IF(MOD((C171-startup_time),Main!$C$142)=0,-D171*Main!$E$142,0))</f>
        <v>0</v>
      </c>
      <c r="I171" s="411">
        <f>IF((OR(A171&lt;startup_year,C171&gt;anal_period)),0,IF(MOD((C171-startup_time),Main!$C$143)=0,-D171*Main!$E$143,0))</f>
        <v>0</v>
      </c>
      <c r="J171" s="411">
        <f t="shared" si="24"/>
        <v>-1494157.4363780329</v>
      </c>
      <c r="K171" s="157"/>
      <c r="L171" s="157"/>
      <c r="M171" s="157"/>
      <c r="N171" s="157"/>
      <c r="O171" s="157"/>
      <c r="P171" s="157"/>
      <c r="Q171" s="157"/>
      <c r="R171" s="157"/>
      <c r="S171" s="157"/>
      <c r="T171" s="157"/>
      <c r="U171" s="157"/>
      <c r="V171" s="157"/>
      <c r="W171" s="157"/>
      <c r="X171" s="157"/>
      <c r="Y171" s="157"/>
      <c r="Z171" s="157"/>
      <c r="AA171" s="157"/>
      <c r="AB171" s="158"/>
      <c r="AC171" s="187"/>
    </row>
    <row r="172" spans="1:29" x14ac:dyDescent="0.15">
      <c r="A172" s="133">
        <f t="shared" si="25"/>
        <v>2021</v>
      </c>
      <c r="B172" s="133">
        <v>4</v>
      </c>
      <c r="C172" s="133">
        <f t="shared" si="26"/>
        <v>3</v>
      </c>
      <c r="D172" s="412">
        <f t="shared" si="23"/>
        <v>1.0383609999999999</v>
      </c>
      <c r="E172" s="411">
        <f>IF((OR(A172&lt;startup_year,C172&gt;anal_period)),0,IF(MOD((C172-startup_time),Main!$C$139)=0,-D172*Main!$E$139,0))</f>
        <v>-1522546.4276692155</v>
      </c>
      <c r="F172" s="411">
        <f>IF((OR(A172&lt;startup_year,C172&gt;anal_period)),0,IF(MOD((C172-startup_time),Main!$C$140)=0,-D172*Main!$E$140,0))</f>
        <v>0</v>
      </c>
      <c r="G172" s="411">
        <f>IF((OR(A172&lt;startup_year,C172&gt;anal_period)),0,IF(MOD((C172-startup_time),Main!$C$141)=0,-D172*Main!$E$141,0))</f>
        <v>0</v>
      </c>
      <c r="H172" s="411">
        <f>IF((OR(A172&lt;startup_year,C172&gt;anal_period)),0,IF(MOD((C172-startup_time),Main!$C$142)=0,-D172*Main!$E$142,0))</f>
        <v>0</v>
      </c>
      <c r="I172" s="411">
        <f>IF((OR(A172&lt;startup_year,C172&gt;anal_period)),0,IF(MOD((C172-startup_time),Main!$C$143)=0,-D172*Main!$E$143,0))</f>
        <v>0</v>
      </c>
      <c r="J172" s="411">
        <f t="shared" si="24"/>
        <v>-1522546.4276692155</v>
      </c>
      <c r="K172" s="157"/>
      <c r="L172" s="157"/>
      <c r="M172" s="157"/>
      <c r="N172" s="157"/>
      <c r="O172" s="157"/>
      <c r="P172" s="157"/>
      <c r="Q172" s="157"/>
      <c r="R172" s="157"/>
      <c r="S172" s="157"/>
      <c r="T172" s="157"/>
      <c r="U172" s="157"/>
      <c r="V172" s="157"/>
      <c r="W172" s="157"/>
      <c r="X172" s="157"/>
      <c r="Y172" s="157"/>
      <c r="Z172" s="157"/>
      <c r="AA172" s="157"/>
      <c r="AB172" s="158"/>
      <c r="AC172" s="187"/>
    </row>
    <row r="173" spans="1:29" x14ac:dyDescent="0.15">
      <c r="A173" s="133">
        <f t="shared" si="25"/>
        <v>2022</v>
      </c>
      <c r="B173" s="133">
        <v>5</v>
      </c>
      <c r="C173" s="133">
        <f t="shared" si="26"/>
        <v>4</v>
      </c>
      <c r="D173" s="412">
        <f t="shared" si="23"/>
        <v>1.0580898589999999</v>
      </c>
      <c r="E173" s="411">
        <f>IF((OR(A173&lt;startup_year,C173&gt;anal_period)),0,IF(MOD((C173-startup_time),Main!$C$139)=0,-D173*Main!$E$139,0))</f>
        <v>-1551474.8097949307</v>
      </c>
      <c r="F173" s="411">
        <f>IF((OR(A173&lt;startup_year,C173&gt;anal_period)),0,IF(MOD((C173-startup_time),Main!$C$140)=0,-D173*Main!$E$140,0))</f>
        <v>0</v>
      </c>
      <c r="G173" s="411">
        <f>IF((OR(A173&lt;startup_year,C173&gt;anal_period)),0,IF(MOD((C173-startup_time),Main!$C$141)=0,-D173*Main!$E$141,0))</f>
        <v>0</v>
      </c>
      <c r="H173" s="411">
        <f>IF((OR(A173&lt;startup_year,C173&gt;anal_period)),0,IF(MOD((C173-startup_time),Main!$C$142)=0,-D173*Main!$E$142,0))</f>
        <v>0</v>
      </c>
      <c r="I173" s="411">
        <f>IF((OR(A173&lt;startup_year,C173&gt;anal_period)),0,IF(MOD((C173-startup_time),Main!$C$143)=0,-D173*Main!$E$143,0))</f>
        <v>0</v>
      </c>
      <c r="J173" s="411">
        <f t="shared" si="24"/>
        <v>-1551474.8097949307</v>
      </c>
      <c r="K173" s="157"/>
      <c r="L173" s="157"/>
      <c r="M173" s="157"/>
      <c r="N173" s="157"/>
      <c r="O173" s="157"/>
      <c r="P173" s="157"/>
      <c r="Q173" s="157"/>
      <c r="R173" s="157"/>
      <c r="S173" s="157"/>
      <c r="T173" s="157"/>
      <c r="U173" s="157"/>
      <c r="V173" s="157"/>
      <c r="W173" s="157"/>
      <c r="X173" s="157"/>
      <c r="Y173" s="157"/>
      <c r="Z173" s="157"/>
      <c r="AA173" s="157"/>
      <c r="AB173" s="158"/>
      <c r="AC173" s="187"/>
    </row>
    <row r="174" spans="1:29" x14ac:dyDescent="0.15">
      <c r="A174" s="133">
        <f t="shared" si="25"/>
        <v>2023</v>
      </c>
      <c r="B174" s="133">
        <v>6</v>
      </c>
      <c r="C174" s="133">
        <f t="shared" si="26"/>
        <v>5</v>
      </c>
      <c r="D174" s="412">
        <f t="shared" si="23"/>
        <v>1.0781935663209998</v>
      </c>
      <c r="E174" s="411">
        <f>IF((OR(A174&lt;startup_year,C174&gt;anal_period)),0,IF(MOD((C174-startup_time),Main!$C$139)=0,-D174*Main!$E$139,0))</f>
        <v>-1580952.8311810342</v>
      </c>
      <c r="F174" s="411">
        <f>IF((OR(A174&lt;startup_year,C174&gt;anal_period)),0,IF(MOD((C174-startup_time),Main!$C$140)=0,-D174*Main!$E$140,0))</f>
        <v>0</v>
      </c>
      <c r="G174" s="411">
        <f>IF((OR(A174&lt;startup_year,C174&gt;anal_period)),0,IF(MOD((C174-startup_time),Main!$C$141)=0,-D174*Main!$E$141,0))</f>
        <v>0</v>
      </c>
      <c r="H174" s="411">
        <f>IF((OR(A174&lt;startup_year,C174&gt;anal_period)),0,IF(MOD((C174-startup_time),Main!$C$142)=0,-D174*Main!$E$142,0))</f>
        <v>0</v>
      </c>
      <c r="I174" s="411">
        <f>IF((OR(A174&lt;startup_year,C174&gt;anal_period)),0,IF(MOD((C174-startup_time),Main!$C$143)=0,-D174*Main!$E$143,0))</f>
        <v>0</v>
      </c>
      <c r="J174" s="411">
        <f t="shared" si="24"/>
        <v>-1580952.8311810342</v>
      </c>
      <c r="K174" s="157"/>
      <c r="L174" s="157"/>
      <c r="M174" s="157"/>
      <c r="N174" s="157"/>
      <c r="O174" s="157"/>
      <c r="P174" s="157"/>
      <c r="Q174" s="157"/>
      <c r="R174" s="157"/>
      <c r="S174" s="157"/>
      <c r="T174" s="157"/>
      <c r="U174" s="157"/>
      <c r="V174" s="157"/>
      <c r="W174" s="157"/>
      <c r="X174" s="157"/>
      <c r="Y174" s="157"/>
      <c r="Z174" s="157"/>
      <c r="AA174" s="157"/>
      <c r="AB174" s="158"/>
      <c r="AC174" s="187"/>
    </row>
    <row r="175" spans="1:29" x14ac:dyDescent="0.15">
      <c r="A175" s="133">
        <f t="shared" si="25"/>
        <v>2024</v>
      </c>
      <c r="B175" s="133">
        <v>7</v>
      </c>
      <c r="C175" s="133">
        <f t="shared" si="26"/>
        <v>6</v>
      </c>
      <c r="D175" s="412">
        <f t="shared" si="23"/>
        <v>1.0986792440810986</v>
      </c>
      <c r="E175" s="411">
        <f>IF((OR(A175&lt;startup_year,C175&gt;anal_period)),0,IF(MOD((C175-startup_time),Main!$C$139)=0,-D175*Main!$E$139,0))</f>
        <v>-1610990.9349734737</v>
      </c>
      <c r="F175" s="411">
        <f>IF((OR(A175&lt;startup_year,C175&gt;anal_period)),0,IF(MOD((C175-startup_time),Main!$C$140)=0,-D175*Main!$E$140,0))</f>
        <v>-34800131.858501285</v>
      </c>
      <c r="G175" s="411">
        <f>IF((OR(A175&lt;startup_year,C175&gt;anal_period)),0,IF(MOD((C175-startup_time),Main!$C$141)=0,-D175*Main!$E$141,0))</f>
        <v>-15601497.836547675</v>
      </c>
      <c r="H175" s="411">
        <f>IF((OR(A175&lt;startup_year,C175&gt;anal_period)),0,IF(MOD((C175-startup_time),Main!$C$142)=0,-D175*Main!$E$142,0))</f>
        <v>-26248984.288355868</v>
      </c>
      <c r="I175" s="411">
        <f>IF((OR(A175&lt;startup_year,C175&gt;anal_period)),0,IF(MOD((C175-startup_time),Main!$C$143)=0,-D175*Main!$E$143,0))</f>
        <v>0</v>
      </c>
      <c r="J175" s="411">
        <f t="shared" si="24"/>
        <v>-78261604.918378294</v>
      </c>
      <c r="K175" s="157"/>
      <c r="L175" s="157"/>
      <c r="M175" s="157"/>
      <c r="N175" s="157"/>
      <c r="O175" s="157"/>
      <c r="P175" s="157"/>
      <c r="Q175" s="157"/>
      <c r="R175" s="157"/>
      <c r="S175" s="157"/>
      <c r="T175" s="157"/>
      <c r="U175" s="157"/>
      <c r="V175" s="157"/>
      <c r="W175" s="157"/>
      <c r="X175" s="157"/>
      <c r="Y175" s="157"/>
      <c r="Z175" s="157"/>
      <c r="AA175" s="157"/>
      <c r="AB175" s="158"/>
      <c r="AC175" s="187"/>
    </row>
    <row r="176" spans="1:29" x14ac:dyDescent="0.15">
      <c r="A176" s="133">
        <f t="shared" si="25"/>
        <v>2025</v>
      </c>
      <c r="B176" s="133">
        <v>8</v>
      </c>
      <c r="C176" s="133">
        <f t="shared" si="26"/>
        <v>7</v>
      </c>
      <c r="D176" s="412">
        <f t="shared" si="23"/>
        <v>1.1195541497186396</v>
      </c>
      <c r="E176" s="411">
        <f>IF((OR(A176&lt;startup_year,C176&gt;anal_period)),0,IF(MOD((C176-startup_time),Main!$C$139)=0,-D176*Main!$E$139,0))</f>
        <v>-1641599.7627379699</v>
      </c>
      <c r="F176" s="411">
        <f>IF((OR(A176&lt;startup_year,C176&gt;anal_period)),0,IF(MOD((C176-startup_time),Main!$C$140)=0,-D176*Main!$E$140,0))</f>
        <v>0</v>
      </c>
      <c r="G176" s="411">
        <f>IF((OR(A176&lt;startup_year,C176&gt;anal_period)),0,IF(MOD((C176-startup_time),Main!$C$141)=0,-D176*Main!$E$141,0))</f>
        <v>0</v>
      </c>
      <c r="H176" s="411">
        <f>IF((OR(A176&lt;startup_year,C176&gt;anal_period)),0,IF(MOD((C176-startup_time),Main!$C$142)=0,-D176*Main!$E$142,0))</f>
        <v>0</v>
      </c>
      <c r="I176" s="411">
        <f>IF((OR(A176&lt;startup_year,C176&gt;anal_period)),0,IF(MOD((C176-startup_time),Main!$C$143)=0,-D176*Main!$E$143,0))</f>
        <v>0</v>
      </c>
      <c r="J176" s="411">
        <f t="shared" si="24"/>
        <v>-1641599.7627379699</v>
      </c>
      <c r="K176" s="157"/>
      <c r="L176" s="157"/>
      <c r="M176" s="157"/>
      <c r="N176" s="157"/>
      <c r="O176" s="157"/>
      <c r="P176" s="157"/>
      <c r="Q176" s="157"/>
      <c r="R176" s="157"/>
      <c r="S176" s="157"/>
      <c r="T176" s="157"/>
      <c r="U176" s="157"/>
      <c r="V176" s="157"/>
      <c r="W176" s="157"/>
      <c r="X176" s="157"/>
      <c r="Y176" s="157"/>
      <c r="Z176" s="157"/>
      <c r="AA176" s="157"/>
      <c r="AB176" s="158"/>
      <c r="AC176" s="187"/>
    </row>
    <row r="177" spans="1:29" x14ac:dyDescent="0.15">
      <c r="A177" s="133">
        <f t="shared" si="25"/>
        <v>2026</v>
      </c>
      <c r="B177" s="133">
        <v>9</v>
      </c>
      <c r="C177" s="133">
        <f t="shared" si="26"/>
        <v>8</v>
      </c>
      <c r="D177" s="412">
        <f t="shared" si="23"/>
        <v>1.1408256785632938</v>
      </c>
      <c r="E177" s="411">
        <f>IF((OR(A177&lt;startup_year,C177&gt;anal_period)),0,IF(MOD((C177-startup_time),Main!$C$139)=0,-D177*Main!$E$139,0))</f>
        <v>-1672790.1582299911</v>
      </c>
      <c r="F177" s="411">
        <f>IF((OR(A177&lt;startup_year,C177&gt;anal_period)),0,IF(MOD((C177-startup_time),Main!$C$140)=0,-D177*Main!$E$140,0))</f>
        <v>0</v>
      </c>
      <c r="G177" s="411">
        <f>IF((OR(A177&lt;startup_year,C177&gt;anal_period)),0,IF(MOD((C177-startup_time),Main!$C$141)=0,-D177*Main!$E$141,0))</f>
        <v>0</v>
      </c>
      <c r="H177" s="411">
        <f>IF((OR(A177&lt;startup_year,C177&gt;anal_period)),0,IF(MOD((C177-startup_time),Main!$C$142)=0,-D177*Main!$E$142,0))</f>
        <v>0</v>
      </c>
      <c r="I177" s="411">
        <f>IF((OR(A177&lt;startup_year,C177&gt;anal_period)),0,IF(MOD((C177-startup_time),Main!$C$143)=0,-D177*Main!$E$143,0))</f>
        <v>0</v>
      </c>
      <c r="J177" s="411">
        <f t="shared" si="24"/>
        <v>-1672790.1582299911</v>
      </c>
      <c r="K177" s="157"/>
      <c r="L177" s="157"/>
      <c r="M177" s="157"/>
      <c r="N177" s="157"/>
      <c r="O177" s="157"/>
      <c r="P177" s="157"/>
      <c r="Q177" s="157"/>
      <c r="R177" s="157"/>
      <c r="S177" s="157"/>
      <c r="T177" s="157"/>
      <c r="U177" s="157"/>
      <c r="V177" s="157"/>
      <c r="W177" s="157"/>
      <c r="X177" s="157"/>
      <c r="Y177" s="157"/>
      <c r="Z177" s="157"/>
      <c r="AA177" s="157"/>
      <c r="AB177" s="158"/>
      <c r="AC177" s="187"/>
    </row>
    <row r="178" spans="1:29" x14ac:dyDescent="0.15">
      <c r="A178" s="133">
        <f t="shared" si="25"/>
        <v>2027</v>
      </c>
      <c r="B178" s="133">
        <v>10</v>
      </c>
      <c r="C178" s="133">
        <f t="shared" si="26"/>
        <v>9</v>
      </c>
      <c r="D178" s="412">
        <f t="shared" si="23"/>
        <v>1.1625013664559962</v>
      </c>
      <c r="E178" s="411">
        <f>IF((OR(A178&lt;startup_year,C178&gt;anal_period)),0,IF(MOD((C178-startup_time),Main!$C$139)=0,-D178*Main!$E$139,0))</f>
        <v>-1704573.1712363609</v>
      </c>
      <c r="F178" s="411">
        <f>IF((OR(A178&lt;startup_year,C178&gt;anal_period)),0,IF(MOD((C178-startup_time),Main!$C$140)=0,-D178*Main!$E$140,0))</f>
        <v>0</v>
      </c>
      <c r="G178" s="411">
        <f>IF((OR(A178&lt;startup_year,C178&gt;anal_period)),0,IF(MOD((C178-startup_time),Main!$C$141)=0,-D178*Main!$E$141,0))</f>
        <v>0</v>
      </c>
      <c r="H178" s="411">
        <f>IF((OR(A178&lt;startup_year,C178&gt;anal_period)),0,IF(MOD((C178-startup_time),Main!$C$142)=0,-D178*Main!$E$142,0))</f>
        <v>0</v>
      </c>
      <c r="I178" s="411">
        <f>IF((OR(A178&lt;startup_year,C178&gt;anal_period)),0,IF(MOD((C178-startup_time),Main!$C$143)=0,-D178*Main!$E$143,0))</f>
        <v>0</v>
      </c>
      <c r="J178" s="411">
        <f t="shared" si="24"/>
        <v>-1704573.1712363609</v>
      </c>
      <c r="K178" s="157"/>
      <c r="L178" s="157"/>
      <c r="M178" s="157"/>
      <c r="N178" s="157"/>
      <c r="O178" s="157"/>
      <c r="P178" s="157"/>
      <c r="Q178" s="157"/>
      <c r="R178" s="157"/>
      <c r="S178" s="157"/>
      <c r="T178" s="157"/>
      <c r="U178" s="157"/>
      <c r="V178" s="157"/>
      <c r="W178" s="157"/>
      <c r="X178" s="157"/>
      <c r="Y178" s="157"/>
      <c r="Z178" s="157"/>
      <c r="AA178" s="157"/>
      <c r="AB178" s="158"/>
      <c r="AC178" s="187"/>
    </row>
    <row r="179" spans="1:29" x14ac:dyDescent="0.15">
      <c r="A179" s="133">
        <f t="shared" si="25"/>
        <v>2028</v>
      </c>
      <c r="B179" s="133">
        <v>11</v>
      </c>
      <c r="C179" s="133">
        <f t="shared" si="26"/>
        <v>10</v>
      </c>
      <c r="D179" s="412">
        <f t="shared" si="23"/>
        <v>1.1845888924186601</v>
      </c>
      <c r="E179" s="411">
        <f>IF((OR(A179&lt;startup_year,C179&gt;anal_period)),0,IF(MOD((C179-startup_time),Main!$C$139)=0,-D179*Main!$E$139,0))</f>
        <v>-1736960.0614898517</v>
      </c>
      <c r="F179" s="411">
        <f>IF((OR(A179&lt;startup_year,C179&gt;anal_period)),0,IF(MOD((C179-startup_time),Main!$C$140)=0,-D179*Main!$E$140,0))</f>
        <v>0</v>
      </c>
      <c r="G179" s="411">
        <f>IF((OR(A179&lt;startup_year,C179&gt;anal_period)),0,IF(MOD((C179-startup_time),Main!$C$141)=0,-D179*Main!$E$141,0))</f>
        <v>0</v>
      </c>
      <c r="H179" s="411">
        <f>IF((OR(A179&lt;startup_year,C179&gt;anal_period)),0,IF(MOD((C179-startup_time),Main!$C$142)=0,-D179*Main!$E$142,0))</f>
        <v>0</v>
      </c>
      <c r="I179" s="411">
        <f>IF((OR(A179&lt;startup_year,C179&gt;anal_period)),0,IF(MOD((C179-startup_time),Main!$C$143)=0,-D179*Main!$E$143,0))</f>
        <v>0</v>
      </c>
      <c r="J179" s="411">
        <f t="shared" si="24"/>
        <v>-1736960.0614898517</v>
      </c>
      <c r="K179" s="157"/>
      <c r="L179" s="157"/>
      <c r="M179" s="157"/>
      <c r="N179" s="157"/>
      <c r="O179" s="157"/>
      <c r="P179" s="157"/>
      <c r="Q179" s="157"/>
      <c r="R179" s="157"/>
      <c r="S179" s="157"/>
      <c r="T179" s="157"/>
      <c r="U179" s="157"/>
      <c r="V179" s="157"/>
      <c r="W179" s="157"/>
      <c r="X179" s="157"/>
      <c r="Y179" s="157"/>
      <c r="Z179" s="157"/>
      <c r="AA179" s="157"/>
      <c r="AB179" s="158"/>
      <c r="AC179" s="187"/>
    </row>
    <row r="180" spans="1:29" x14ac:dyDescent="0.15">
      <c r="A180" s="133">
        <f t="shared" si="25"/>
        <v>2029</v>
      </c>
      <c r="B180" s="133">
        <v>12</v>
      </c>
      <c r="C180" s="133">
        <f t="shared" si="26"/>
        <v>11</v>
      </c>
      <c r="D180" s="412">
        <f t="shared" si="23"/>
        <v>1.2070960813746145</v>
      </c>
      <c r="E180" s="411">
        <f>IF((OR(A180&lt;startup_year,C180&gt;anal_period)),0,IF(MOD((C180-startup_time),Main!$C$139)=0,-D180*Main!$E$139,0))</f>
        <v>-1769962.3026581586</v>
      </c>
      <c r="F180" s="411">
        <f>IF((OR(A180&lt;startup_year,C180&gt;anal_period)),0,IF(MOD((C180-startup_time),Main!$C$140)=0,-D180*Main!$E$140,0))</f>
        <v>-38234182.564220756</v>
      </c>
      <c r="G180" s="411">
        <f>IF((OR(A180&lt;startup_year,C180&gt;anal_period)),0,IF(MOD((C180-startup_time),Main!$C$141)=0,-D180*Main!$E$141,0))</f>
        <v>-17141041.849591099</v>
      </c>
      <c r="H180" s="411">
        <f>IF((OR(A180&lt;startup_year,C180&gt;anal_period)),0,IF(MOD((C180-startup_time),Main!$C$142)=0,-D180*Main!$E$142,0))</f>
        <v>-28839214.215827465</v>
      </c>
      <c r="I180" s="411">
        <f>IF((OR(A180&lt;startup_year,C180&gt;anal_period)),0,IF(MOD((C180-startup_time),Main!$C$143)=0,-D180*Main!$E$143,0))</f>
        <v>-156018910.11093605</v>
      </c>
      <c r="J180" s="411">
        <f t="shared" si="24"/>
        <v>-242003311.04323351</v>
      </c>
      <c r="K180" s="157"/>
      <c r="L180" s="157"/>
      <c r="M180" s="157"/>
      <c r="N180" s="157"/>
      <c r="O180" s="157"/>
      <c r="P180" s="157"/>
      <c r="Q180" s="157"/>
      <c r="R180" s="157"/>
      <c r="S180" s="157"/>
      <c r="T180" s="157"/>
      <c r="U180" s="157"/>
      <c r="V180" s="157"/>
      <c r="W180" s="157"/>
      <c r="X180" s="157"/>
      <c r="Y180" s="157"/>
      <c r="Z180" s="157"/>
      <c r="AA180" s="157"/>
      <c r="AB180" s="158"/>
      <c r="AC180" s="187"/>
    </row>
    <row r="181" spans="1:29" x14ac:dyDescent="0.15">
      <c r="A181" s="133">
        <f t="shared" si="25"/>
        <v>2030</v>
      </c>
      <c r="B181" s="133">
        <v>13</v>
      </c>
      <c r="C181" s="133">
        <f t="shared" si="26"/>
        <v>12</v>
      </c>
      <c r="D181" s="412">
        <f t="shared" si="23"/>
        <v>1.2300309069207322</v>
      </c>
      <c r="E181" s="411">
        <f>IF((OR(A181&lt;startup_year,C181&gt;anal_period)),0,IF(MOD((C181-startup_time),Main!$C$139)=0,-D181*Main!$E$139,0))</f>
        <v>-1803591.5864086638</v>
      </c>
      <c r="F181" s="411">
        <f>IF((OR(A181&lt;startup_year,C181&gt;anal_period)),0,IF(MOD((C181-startup_time),Main!$C$140)=0,-D181*Main!$E$140,0))</f>
        <v>0</v>
      </c>
      <c r="G181" s="411">
        <f>IF((OR(A181&lt;startup_year,C181&gt;anal_period)),0,IF(MOD((C181-startup_time),Main!$C$141)=0,-D181*Main!$E$141,0))</f>
        <v>0</v>
      </c>
      <c r="H181" s="411">
        <f>IF((OR(A181&lt;startup_year,C181&gt;anal_period)),0,IF(MOD((C181-startup_time),Main!$C$142)=0,-D181*Main!$E$142,0))</f>
        <v>0</v>
      </c>
      <c r="I181" s="411">
        <f>IF((OR(A181&lt;startup_year,C181&gt;anal_period)),0,IF(MOD((C181-startup_time),Main!$C$143)=0,-D181*Main!$E$143,0))</f>
        <v>0</v>
      </c>
      <c r="J181" s="411">
        <f t="shared" si="24"/>
        <v>-1803591.5864086638</v>
      </c>
      <c r="K181" s="157"/>
      <c r="L181" s="157"/>
      <c r="M181" s="157"/>
      <c r="N181" s="157"/>
      <c r="O181" s="157"/>
      <c r="P181" s="157"/>
      <c r="Q181" s="157"/>
      <c r="R181" s="157"/>
      <c r="S181" s="157"/>
      <c r="T181" s="157"/>
      <c r="U181" s="157"/>
      <c r="V181" s="157"/>
      <c r="W181" s="157"/>
      <c r="X181" s="157"/>
      <c r="Y181" s="157"/>
      <c r="Z181" s="157"/>
      <c r="AA181" s="157"/>
      <c r="AB181" s="158"/>
      <c r="AC181" s="187"/>
    </row>
    <row r="182" spans="1:29" x14ac:dyDescent="0.15">
      <c r="A182" s="133">
        <f t="shared" si="25"/>
        <v>2031</v>
      </c>
      <c r="B182" s="133">
        <v>14</v>
      </c>
      <c r="C182" s="133">
        <f t="shared" si="26"/>
        <v>13</v>
      </c>
      <c r="D182" s="412">
        <f t="shared" si="23"/>
        <v>1.253401494152226</v>
      </c>
      <c r="E182" s="411">
        <f>IF((OR(A182&lt;startup_year,C182&gt;anal_period)),0,IF(MOD((C182-startup_time),Main!$C$139)=0,-D182*Main!$E$139,0))</f>
        <v>-1837859.8265504281</v>
      </c>
      <c r="F182" s="411">
        <f>IF((OR(A182&lt;startup_year,C182&gt;anal_period)),0,IF(MOD((C182-startup_time),Main!$C$140)=0,-D182*Main!$E$140,0))</f>
        <v>0</v>
      </c>
      <c r="G182" s="411">
        <f>IF((OR(A182&lt;startup_year,C182&gt;anal_period)),0,IF(MOD((C182-startup_time),Main!$C$141)=0,-D182*Main!$E$141,0))</f>
        <v>0</v>
      </c>
      <c r="H182" s="411">
        <f>IF((OR(A182&lt;startup_year,C182&gt;anal_period)),0,IF(MOD((C182-startup_time),Main!$C$142)=0,-D182*Main!$E$142,0))</f>
        <v>0</v>
      </c>
      <c r="I182" s="411">
        <f>IF((OR(A182&lt;startup_year,C182&gt;anal_period)),0,IF(MOD((C182-startup_time),Main!$C$143)=0,-D182*Main!$E$143,0))</f>
        <v>0</v>
      </c>
      <c r="J182" s="411">
        <f t="shared" si="24"/>
        <v>-1837859.8265504281</v>
      </c>
      <c r="K182" s="157"/>
      <c r="L182" s="157"/>
      <c r="M182" s="157"/>
      <c r="N182" s="157"/>
      <c r="O182" s="157"/>
      <c r="P182" s="157"/>
      <c r="Q182" s="157"/>
      <c r="R182" s="157"/>
      <c r="S182" s="157"/>
      <c r="T182" s="157"/>
      <c r="U182" s="157"/>
      <c r="V182" s="157"/>
      <c r="W182" s="157"/>
      <c r="X182" s="157"/>
      <c r="Y182" s="157"/>
      <c r="Z182" s="157"/>
      <c r="AA182" s="157"/>
      <c r="AB182" s="158"/>
      <c r="AC182" s="187"/>
    </row>
    <row r="183" spans="1:29" x14ac:dyDescent="0.15">
      <c r="A183" s="133">
        <f t="shared" si="25"/>
        <v>2032</v>
      </c>
      <c r="B183" s="133">
        <v>15</v>
      </c>
      <c r="C183" s="133">
        <f t="shared" si="26"/>
        <v>14</v>
      </c>
      <c r="D183" s="412">
        <f t="shared" si="23"/>
        <v>1.277216122541118</v>
      </c>
      <c r="E183" s="411">
        <f>IF((OR(A183&lt;startup_year,C183&gt;anal_period)),0,IF(MOD((C183-startup_time),Main!$C$139)=0,-D183*Main!$E$139,0))</f>
        <v>-1872779.1632548859</v>
      </c>
      <c r="F183" s="411">
        <f>IF((OR(A183&lt;startup_year,C183&gt;anal_period)),0,IF(MOD((C183-startup_time),Main!$C$140)=0,-D183*Main!$E$140,0))</f>
        <v>0</v>
      </c>
      <c r="G183" s="411">
        <f>IF((OR(A183&lt;startup_year,C183&gt;anal_period)),0,IF(MOD((C183-startup_time),Main!$C$141)=0,-D183*Main!$E$141,0))</f>
        <v>0</v>
      </c>
      <c r="H183" s="411">
        <f>IF((OR(A183&lt;startup_year,C183&gt;anal_period)),0,IF(MOD((C183-startup_time),Main!$C$142)=0,-D183*Main!$E$142,0))</f>
        <v>0</v>
      </c>
      <c r="I183" s="411">
        <f>IF((OR(A183&lt;startup_year,C183&gt;anal_period)),0,IF(MOD((C183-startup_time),Main!$C$143)=0,-D183*Main!$E$143,0))</f>
        <v>0</v>
      </c>
      <c r="J183" s="411">
        <f t="shared" si="24"/>
        <v>-1872779.1632548859</v>
      </c>
      <c r="K183" s="157"/>
      <c r="L183" s="157"/>
      <c r="M183" s="157"/>
      <c r="N183" s="157"/>
      <c r="O183" s="157"/>
      <c r="P183" s="157"/>
      <c r="Q183" s="157"/>
      <c r="R183" s="157"/>
      <c r="S183" s="157"/>
      <c r="T183" s="157"/>
      <c r="U183" s="157"/>
      <c r="V183" s="157"/>
      <c r="W183" s="157"/>
      <c r="X183" s="157"/>
      <c r="Y183" s="157"/>
      <c r="Z183" s="157"/>
      <c r="AA183" s="157"/>
      <c r="AB183" s="158"/>
      <c r="AC183" s="187"/>
    </row>
    <row r="184" spans="1:29" x14ac:dyDescent="0.15">
      <c r="A184" s="133">
        <f t="shared" si="25"/>
        <v>2033</v>
      </c>
      <c r="B184" s="133">
        <v>16</v>
      </c>
      <c r="C184" s="133">
        <f t="shared" si="26"/>
        <v>15</v>
      </c>
      <c r="D184" s="412">
        <f t="shared" si="23"/>
        <v>1.3014832288693996</v>
      </c>
      <c r="E184" s="411">
        <f>IF((OR(A184&lt;startup_year,C184&gt;anal_period)),0,IF(MOD((C184-startup_time),Main!$C$139)=0,-D184*Main!$E$139,0))</f>
        <v>-1908361.9673567291</v>
      </c>
      <c r="F184" s="411">
        <f>IF((OR(A184&lt;startup_year,C184&gt;anal_period)),0,IF(MOD((C184-startup_time),Main!$C$140)=0,-D184*Main!$E$140,0))</f>
        <v>0</v>
      </c>
      <c r="G184" s="411">
        <f>IF((OR(A184&lt;startup_year,C184&gt;anal_period)),0,IF(MOD((C184-startup_time),Main!$C$141)=0,-D184*Main!$E$141,0))</f>
        <v>0</v>
      </c>
      <c r="H184" s="411">
        <f>IF((OR(A184&lt;startup_year,C184&gt;anal_period)),0,IF(MOD((C184-startup_time),Main!$C$142)=0,-D184*Main!$E$142,0))</f>
        <v>0</v>
      </c>
      <c r="I184" s="411">
        <f>IF((OR(A184&lt;startup_year,C184&gt;anal_period)),0,IF(MOD((C184-startup_time),Main!$C$143)=0,-D184*Main!$E$143,0))</f>
        <v>0</v>
      </c>
      <c r="J184" s="411">
        <f t="shared" si="24"/>
        <v>-1908361.9673567291</v>
      </c>
      <c r="K184" s="157"/>
      <c r="L184" s="157"/>
      <c r="M184" s="157"/>
      <c r="N184" s="157"/>
      <c r="O184" s="157"/>
      <c r="P184" s="157"/>
      <c r="Q184" s="157"/>
      <c r="R184" s="157"/>
      <c r="S184" s="157"/>
      <c r="T184" s="157"/>
      <c r="U184" s="157"/>
      <c r="V184" s="157"/>
      <c r="W184" s="157"/>
      <c r="X184" s="157"/>
      <c r="Y184" s="157"/>
      <c r="Z184" s="157"/>
      <c r="AA184" s="157"/>
      <c r="AB184" s="158"/>
      <c r="AC184" s="187"/>
    </row>
    <row r="185" spans="1:29" x14ac:dyDescent="0.15">
      <c r="A185" s="133">
        <f t="shared" si="25"/>
        <v>2034</v>
      </c>
      <c r="B185" s="133">
        <v>17</v>
      </c>
      <c r="C185" s="133">
        <f t="shared" si="26"/>
        <v>16</v>
      </c>
      <c r="D185" s="412">
        <f t="shared" si="23"/>
        <v>1.3262114102179181</v>
      </c>
      <c r="E185" s="411">
        <f>IF((OR(A185&lt;startup_year,C185&gt;anal_period)),0,IF(MOD((C185-startup_time),Main!$C$139)=0,-D185*Main!$E$139,0))</f>
        <v>-1944620.8447365069</v>
      </c>
      <c r="F185" s="411">
        <f>IF((OR(A185&lt;startup_year,C185&gt;anal_period)),0,IF(MOD((C185-startup_time),Main!$C$140)=0,-D185*Main!$E$140,0))</f>
        <v>-42007102.797716789</v>
      </c>
      <c r="G185" s="411">
        <f>IF((OR(A185&lt;startup_year,C185&gt;anal_period)),0,IF(MOD((C185-startup_time),Main!$C$141)=0,-D185*Main!$E$141,0))</f>
        <v>-18832506.902071226</v>
      </c>
      <c r="H185" s="411">
        <f>IF((OR(A185&lt;startup_year,C185&gt;anal_period)),0,IF(MOD((C185-startup_time),Main!$C$142)=0,-D185*Main!$E$142,0))</f>
        <v>-31685046.074538197</v>
      </c>
      <c r="I185" s="411">
        <f>IF((OR(A185&lt;startup_year,C185&gt;anal_period)),0,IF(MOD((C185-startup_time),Main!$C$143)=0,-D185*Main!$E$143,0))</f>
        <v>0</v>
      </c>
      <c r="J185" s="411">
        <f t="shared" si="24"/>
        <v>-94469276.619062722</v>
      </c>
      <c r="K185" s="157"/>
      <c r="L185" s="157"/>
      <c r="M185" s="157"/>
      <c r="N185" s="157"/>
      <c r="O185" s="157"/>
      <c r="P185" s="157"/>
      <c r="Q185" s="157"/>
      <c r="R185" s="157"/>
      <c r="S185" s="157"/>
      <c r="T185" s="157"/>
      <c r="U185" s="157"/>
      <c r="V185" s="157"/>
      <c r="W185" s="157"/>
      <c r="X185" s="157"/>
      <c r="Y185" s="157"/>
      <c r="Z185" s="157"/>
      <c r="AA185" s="157"/>
      <c r="AB185" s="158"/>
      <c r="AC185" s="187"/>
    </row>
    <row r="186" spans="1:29" x14ac:dyDescent="0.15">
      <c r="A186" s="133">
        <f t="shared" si="25"/>
        <v>2035</v>
      </c>
      <c r="B186" s="133">
        <v>18</v>
      </c>
      <c r="C186" s="133">
        <f t="shared" si="26"/>
        <v>17</v>
      </c>
      <c r="D186" s="412">
        <f t="shared" si="23"/>
        <v>1.3514094270120585</v>
      </c>
      <c r="E186" s="411">
        <f>IF((OR(A186&lt;startup_year,C186&gt;anal_period)),0,IF(MOD((C186-startup_time),Main!$C$139)=0,-D186*Main!$E$139,0))</f>
        <v>-1981568.6407865004</v>
      </c>
      <c r="F186" s="411">
        <f>IF((OR(A186&lt;startup_year,C186&gt;anal_period)),0,IF(MOD((C186-startup_time),Main!$C$140)=0,-D186*Main!$E$140,0))</f>
        <v>0</v>
      </c>
      <c r="G186" s="411">
        <f>IF((OR(A186&lt;startup_year,C186&gt;anal_period)),0,IF(MOD((C186-startup_time),Main!$C$141)=0,-D186*Main!$E$141,0))</f>
        <v>0</v>
      </c>
      <c r="H186" s="411">
        <f>IF((OR(A186&lt;startup_year,C186&gt;anal_period)),0,IF(MOD((C186-startup_time),Main!$C$142)=0,-D186*Main!$E$142,0))</f>
        <v>0</v>
      </c>
      <c r="I186" s="411">
        <f>IF((OR(A186&lt;startup_year,C186&gt;anal_period)),0,IF(MOD((C186-startup_time),Main!$C$143)=0,-D186*Main!$E$143,0))</f>
        <v>0</v>
      </c>
      <c r="J186" s="411">
        <f t="shared" si="24"/>
        <v>-1981568.6407865004</v>
      </c>
      <c r="K186" s="157"/>
      <c r="L186" s="157"/>
      <c r="M186" s="157"/>
      <c r="N186" s="157"/>
      <c r="O186" s="157"/>
      <c r="P186" s="157"/>
      <c r="Q186" s="157"/>
      <c r="R186" s="157"/>
      <c r="S186" s="157"/>
      <c r="T186" s="157"/>
      <c r="U186" s="157"/>
      <c r="V186" s="157"/>
      <c r="W186" s="157"/>
      <c r="X186" s="157"/>
      <c r="Y186" s="157"/>
      <c r="Z186" s="157"/>
      <c r="AA186" s="157"/>
      <c r="AB186" s="158"/>
      <c r="AC186" s="187"/>
    </row>
    <row r="187" spans="1:29" x14ac:dyDescent="0.15">
      <c r="A187" s="133">
        <f t="shared" si="25"/>
        <v>2036</v>
      </c>
      <c r="B187" s="133">
        <v>19</v>
      </c>
      <c r="C187" s="133">
        <f t="shared" si="26"/>
        <v>18</v>
      </c>
      <c r="D187" s="412">
        <f t="shared" si="23"/>
        <v>1.3770862061252875</v>
      </c>
      <c r="E187" s="411">
        <f>IF((OR(A187&lt;startup_year,C187&gt;anal_period)),0,IF(MOD((C187-startup_time),Main!$C$139)=0,-D187*Main!$E$139,0))</f>
        <v>-2019218.4449614438</v>
      </c>
      <c r="F187" s="411">
        <f>IF((OR(A187&lt;startup_year,C187&gt;anal_period)),0,IF(MOD((C187-startup_time),Main!$C$140)=0,-D187*Main!$E$140,0))</f>
        <v>0</v>
      </c>
      <c r="G187" s="411">
        <f>IF((OR(A187&lt;startup_year,C187&gt;anal_period)),0,IF(MOD((C187-startup_time),Main!$C$141)=0,-D187*Main!$E$141,0))</f>
        <v>0</v>
      </c>
      <c r="H187" s="411">
        <f>IF((OR(A187&lt;startup_year,C187&gt;anal_period)),0,IF(MOD((C187-startup_time),Main!$C$142)=0,-D187*Main!$E$142,0))</f>
        <v>0</v>
      </c>
      <c r="I187" s="411">
        <f>IF((OR(A187&lt;startup_year,C187&gt;anal_period)),0,IF(MOD((C187-startup_time),Main!$C$143)=0,-D187*Main!$E$143,0))</f>
        <v>0</v>
      </c>
      <c r="J187" s="411">
        <f t="shared" si="24"/>
        <v>-2019218.4449614438</v>
      </c>
      <c r="K187" s="157"/>
      <c r="L187" s="157"/>
      <c r="M187" s="157"/>
      <c r="N187" s="157"/>
      <c r="O187" s="157"/>
      <c r="P187" s="157"/>
      <c r="Q187" s="157"/>
      <c r="R187" s="157"/>
      <c r="S187" s="157"/>
      <c r="T187" s="157"/>
      <c r="U187" s="157"/>
      <c r="V187" s="157"/>
      <c r="W187" s="157"/>
      <c r="X187" s="157"/>
      <c r="Y187" s="157"/>
      <c r="Z187" s="157"/>
      <c r="AA187" s="157"/>
      <c r="AB187" s="158"/>
      <c r="AC187" s="187"/>
    </row>
    <row r="188" spans="1:29" x14ac:dyDescent="0.15">
      <c r="A188" s="133">
        <f t="shared" si="25"/>
        <v>2037</v>
      </c>
      <c r="B188" s="133">
        <v>20</v>
      </c>
      <c r="C188" s="133">
        <f t="shared" si="26"/>
        <v>19</v>
      </c>
      <c r="D188" s="412">
        <f t="shared" si="23"/>
        <v>1.4032508440416678</v>
      </c>
      <c r="E188" s="411">
        <f>IF((OR(A188&lt;startup_year,C188&gt;anal_period)),0,IF(MOD((C188-startup_time),Main!$C$139)=0,-D188*Main!$E$139,0))</f>
        <v>-2057583.5954157109</v>
      </c>
      <c r="F188" s="411">
        <f>IF((OR(A188&lt;startup_year,C188&gt;anal_period)),0,IF(MOD((C188-startup_time),Main!$C$140)=0,-D188*Main!$E$140,0))</f>
        <v>0</v>
      </c>
      <c r="G188" s="411">
        <f>IF((OR(A188&lt;startup_year,C188&gt;anal_period)),0,IF(MOD((C188-startup_time),Main!$C$141)=0,-D188*Main!$E$141,0))</f>
        <v>0</v>
      </c>
      <c r="H188" s="411">
        <f>IF((OR(A188&lt;startup_year,C188&gt;anal_period)),0,IF(MOD((C188-startup_time),Main!$C$142)=0,-D188*Main!$E$142,0))</f>
        <v>0</v>
      </c>
      <c r="I188" s="411">
        <f>IF((OR(A188&lt;startup_year,C188&gt;anal_period)),0,IF(MOD((C188-startup_time),Main!$C$143)=0,-D188*Main!$E$143,0))</f>
        <v>0</v>
      </c>
      <c r="J188" s="411">
        <f t="shared" si="24"/>
        <v>-2057583.5954157109</v>
      </c>
      <c r="K188" s="157"/>
      <c r="L188" s="157"/>
      <c r="M188" s="157"/>
      <c r="N188" s="157"/>
      <c r="O188" s="157"/>
      <c r="P188" s="157"/>
      <c r="Q188" s="157"/>
      <c r="R188" s="157"/>
      <c r="S188" s="157"/>
      <c r="T188" s="157"/>
      <c r="U188" s="157"/>
      <c r="V188" s="157"/>
      <c r="W188" s="157"/>
      <c r="X188" s="157"/>
      <c r="Y188" s="157"/>
      <c r="Z188" s="157"/>
      <c r="AA188" s="157"/>
      <c r="AB188" s="158"/>
      <c r="AC188" s="187"/>
    </row>
    <row r="189" spans="1:29" x14ac:dyDescent="0.15">
      <c r="A189" s="133">
        <f t="shared" si="25"/>
        <v>2038</v>
      </c>
      <c r="B189" s="133">
        <v>21</v>
      </c>
      <c r="C189" s="133">
        <f t="shared" si="26"/>
        <v>20</v>
      </c>
      <c r="D189" s="412">
        <f t="shared" si="23"/>
        <v>1.4299126100784596</v>
      </c>
      <c r="E189" s="411">
        <f>IF((OR(A189&lt;startup_year,C189&gt;anal_period)),0,IF(MOD((C189-startup_time),Main!$C$139)=0,-D189*Main!$E$139,0))</f>
        <v>-2096677.6837286097</v>
      </c>
      <c r="F189" s="411">
        <f>IF((OR(A189&lt;startup_year,C189&gt;anal_period)),0,IF(MOD((C189-startup_time),Main!$C$140)=0,-D189*Main!$E$140,0))</f>
        <v>0</v>
      </c>
      <c r="G189" s="411">
        <f>IF((OR(A189&lt;startup_year,C189&gt;anal_period)),0,IF(MOD((C189-startup_time),Main!$C$141)=0,-D189*Main!$E$141,0))</f>
        <v>0</v>
      </c>
      <c r="H189" s="411">
        <f>IF((OR(A189&lt;startup_year,C189&gt;anal_period)),0,IF(MOD((C189-startup_time),Main!$C$142)=0,-D189*Main!$E$142,0))</f>
        <v>0</v>
      </c>
      <c r="I189" s="411">
        <f>IF((OR(A189&lt;startup_year,C189&gt;anal_period)),0,IF(MOD((C189-startup_time),Main!$C$143)=0,-D189*Main!$E$143,0))</f>
        <v>0</v>
      </c>
      <c r="J189" s="411">
        <f t="shared" si="24"/>
        <v>-2096677.6837286097</v>
      </c>
      <c r="K189" s="157"/>
      <c r="L189" s="157"/>
      <c r="M189" s="157"/>
      <c r="N189" s="157"/>
      <c r="O189" s="157"/>
      <c r="P189" s="157"/>
      <c r="Q189" s="157"/>
      <c r="R189" s="157"/>
      <c r="S189" s="157"/>
      <c r="T189" s="157"/>
      <c r="U189" s="157"/>
      <c r="V189" s="157"/>
      <c r="W189" s="157"/>
      <c r="X189" s="157"/>
      <c r="Y189" s="157"/>
      <c r="Z189" s="157"/>
      <c r="AA189" s="157"/>
      <c r="AB189" s="158"/>
      <c r="AC189" s="187"/>
    </row>
    <row r="190" spans="1:29" x14ac:dyDescent="0.15">
      <c r="A190" s="133">
        <f t="shared" si="25"/>
        <v>2039</v>
      </c>
      <c r="B190" s="133">
        <v>22</v>
      </c>
      <c r="C190" s="133">
        <f t="shared" si="26"/>
        <v>21</v>
      </c>
      <c r="D190" s="412">
        <f t="shared" si="23"/>
        <v>1.4570809496699502</v>
      </c>
      <c r="E190" s="411">
        <f>IF((OR(A190&lt;startup_year,C190&gt;anal_period)),0,IF(MOD((C190-startup_time),Main!$C$139)=0,-D190*Main!$E$139,0))</f>
        <v>-2136514.5597194531</v>
      </c>
      <c r="F190" s="411">
        <f>IF((OR(A190&lt;startup_year,C190&gt;anal_period)),0,IF(MOD((C190-startup_time),Main!$C$140)=0,-D190*Main!$E$140,0))</f>
        <v>-46152331.947832488</v>
      </c>
      <c r="G190" s="411">
        <f>IF((OR(A190&lt;startup_year,C190&gt;anal_period)),0,IF(MOD((C190-startup_time),Main!$C$141)=0,-D190*Main!$E$141,0))</f>
        <v>-20690884.44731969</v>
      </c>
      <c r="H190" s="411">
        <f>IF((OR(A190&lt;startup_year,C190&gt;anal_period)),0,IF(MOD((C190-startup_time),Main!$C$142)=0,-D190*Main!$E$142,0))</f>
        <v>-34811702.469848409</v>
      </c>
      <c r="I190" s="411">
        <f>IF((OR(A190&lt;startup_year,C190&gt;anal_period)),0,IF(MOD((C190-startup_time),Main!$C$143)=0,-D190*Main!$E$143,0))</f>
        <v>-188329815.01524913</v>
      </c>
      <c r="J190" s="411">
        <f t="shared" si="24"/>
        <v>-292121248.43996918</v>
      </c>
      <c r="K190" s="157"/>
      <c r="L190" s="157"/>
      <c r="M190" s="157"/>
      <c r="N190" s="157"/>
      <c r="O190" s="157"/>
      <c r="P190" s="157"/>
      <c r="Q190" s="157"/>
      <c r="R190" s="157"/>
      <c r="S190" s="157"/>
      <c r="T190" s="157"/>
      <c r="U190" s="157"/>
      <c r="V190" s="157"/>
      <c r="W190" s="157"/>
      <c r="X190" s="157"/>
      <c r="Y190" s="157"/>
      <c r="Z190" s="157"/>
      <c r="AA190" s="157"/>
      <c r="AB190" s="158"/>
      <c r="AC190" s="187"/>
    </row>
    <row r="191" spans="1:29" x14ac:dyDescent="0.15">
      <c r="A191" s="133">
        <f t="shared" si="25"/>
        <v>2040</v>
      </c>
      <c r="B191" s="133">
        <v>23</v>
      </c>
      <c r="C191" s="133">
        <f t="shared" si="26"/>
        <v>22</v>
      </c>
      <c r="D191" s="412">
        <f t="shared" si="23"/>
        <v>1.4847654877136791</v>
      </c>
      <c r="E191" s="411">
        <f>IF((OR(A191&lt;startup_year,C191&gt;anal_period)),0,IF(MOD((C191-startup_time),Main!$C$139)=0,-D191*Main!$E$139,0))</f>
        <v>-2177108.3363541225</v>
      </c>
      <c r="F191" s="411">
        <f>IF((OR(A191&lt;startup_year,C191&gt;anal_period)),0,IF(MOD((C191-startup_time),Main!$C$140)=0,-D191*Main!$E$140,0))</f>
        <v>0</v>
      </c>
      <c r="G191" s="411">
        <f>IF((OR(A191&lt;startup_year,C191&gt;anal_period)),0,IF(MOD((C191-startup_time),Main!$C$141)=0,-D191*Main!$E$141,0))</f>
        <v>0</v>
      </c>
      <c r="H191" s="411">
        <f>IF((OR(A191&lt;startup_year,C191&gt;anal_period)),0,IF(MOD((C191-startup_time),Main!$C$142)=0,-D191*Main!$E$142,0))</f>
        <v>0</v>
      </c>
      <c r="I191" s="411">
        <f>IF((OR(A191&lt;startup_year,C191&gt;anal_period)),0,IF(MOD((C191-startup_time),Main!$C$143)=0,-D191*Main!$E$143,0))</f>
        <v>0</v>
      </c>
      <c r="J191" s="411">
        <f t="shared" si="24"/>
        <v>-2177108.3363541225</v>
      </c>
      <c r="K191" s="157"/>
      <c r="L191" s="157"/>
      <c r="M191" s="157"/>
      <c r="N191" s="157"/>
      <c r="O191" s="157"/>
      <c r="P191" s="157"/>
      <c r="Q191" s="157"/>
      <c r="R191" s="157"/>
      <c r="S191" s="157"/>
      <c r="T191" s="157"/>
      <c r="U191" s="157"/>
      <c r="V191" s="157"/>
      <c r="W191" s="157"/>
      <c r="X191" s="157"/>
      <c r="Y191" s="157"/>
      <c r="Z191" s="157"/>
      <c r="AA191" s="157"/>
      <c r="AB191" s="158"/>
      <c r="AC191" s="187"/>
    </row>
    <row r="192" spans="1:29" x14ac:dyDescent="0.15">
      <c r="A192" s="133">
        <f t="shared" si="25"/>
        <v>2041</v>
      </c>
      <c r="B192" s="133">
        <v>24</v>
      </c>
      <c r="C192" s="133">
        <f t="shared" si="26"/>
        <v>23</v>
      </c>
      <c r="D192" s="412">
        <f t="shared" si="23"/>
        <v>1.5129760319802392</v>
      </c>
      <c r="E192" s="411">
        <f>IF((OR(A192&lt;startup_year,C192&gt;anal_period)),0,IF(MOD((C192-startup_time),Main!$C$139)=0,-D192*Main!$E$139,0))</f>
        <v>-2218473.3947448512</v>
      </c>
      <c r="F192" s="411">
        <f>IF((OR(A192&lt;startup_year,C192&gt;anal_period)),0,IF(MOD((C192-startup_time),Main!$C$140)=0,-D192*Main!$E$140,0))</f>
        <v>0</v>
      </c>
      <c r="G192" s="411">
        <f>IF((OR(A192&lt;startup_year,C192&gt;anal_period)),0,IF(MOD((C192-startup_time),Main!$C$141)=0,-D192*Main!$E$141,0))</f>
        <v>0</v>
      </c>
      <c r="H192" s="411">
        <f>IF((OR(A192&lt;startup_year,C192&gt;anal_period)),0,IF(MOD((C192-startup_time),Main!$C$142)=0,-D192*Main!$E$142,0))</f>
        <v>0</v>
      </c>
      <c r="I192" s="411">
        <f>IF((OR(A192&lt;startup_year,C192&gt;anal_period)),0,IF(MOD((C192-startup_time),Main!$C$143)=0,-D192*Main!$E$143,0))</f>
        <v>0</v>
      </c>
      <c r="J192" s="411">
        <f t="shared" si="24"/>
        <v>-2218473.3947448512</v>
      </c>
      <c r="K192" s="157"/>
      <c r="L192" s="157"/>
      <c r="M192" s="157"/>
      <c r="N192" s="157"/>
      <c r="O192" s="157"/>
      <c r="P192" s="157"/>
      <c r="Q192" s="157"/>
      <c r="R192" s="157"/>
      <c r="S192" s="157"/>
      <c r="T192" s="157"/>
      <c r="U192" s="157"/>
      <c r="V192" s="157"/>
      <c r="W192" s="157"/>
      <c r="X192" s="157"/>
      <c r="Y192" s="157"/>
      <c r="Z192" s="157"/>
      <c r="AA192" s="157"/>
      <c r="AB192" s="158"/>
      <c r="AC192" s="187"/>
    </row>
    <row r="193" spans="1:29" x14ac:dyDescent="0.15">
      <c r="A193" s="133">
        <f t="shared" si="25"/>
        <v>2042</v>
      </c>
      <c r="B193" s="133">
        <v>25</v>
      </c>
      <c r="C193" s="133">
        <f t="shared" si="26"/>
        <v>24</v>
      </c>
      <c r="D193" s="412">
        <f t="shared" si="23"/>
        <v>1.5417225765878635</v>
      </c>
      <c r="E193" s="411">
        <f>IF((OR(A193&lt;startup_year,C193&gt;anal_period)),0,IF(MOD((C193-startup_time),Main!$C$139)=0,-D193*Main!$E$139,0))</f>
        <v>-2260624.389245003</v>
      </c>
      <c r="F193" s="411">
        <f>IF((OR(A193&lt;startup_year,C193&gt;anal_period)),0,IF(MOD((C193-startup_time),Main!$C$140)=0,-D193*Main!$E$140,0))</f>
        <v>0</v>
      </c>
      <c r="G193" s="411">
        <f>IF((OR(A193&lt;startup_year,C193&gt;anal_period)),0,IF(MOD((C193-startup_time),Main!$C$141)=0,-D193*Main!$E$141,0))</f>
        <v>0</v>
      </c>
      <c r="H193" s="411">
        <f>IF((OR(A193&lt;startup_year,C193&gt;anal_period)),0,IF(MOD((C193-startup_time),Main!$C$142)=0,-D193*Main!$E$142,0))</f>
        <v>0</v>
      </c>
      <c r="I193" s="411">
        <f>IF((OR(A193&lt;startup_year,C193&gt;anal_period)),0,IF(MOD((C193-startup_time),Main!$C$143)=0,-D193*Main!$E$143,0))</f>
        <v>0</v>
      </c>
      <c r="J193" s="411">
        <f t="shared" si="24"/>
        <v>-2260624.389245003</v>
      </c>
      <c r="K193" s="157"/>
      <c r="L193" s="157"/>
      <c r="M193" s="157"/>
      <c r="N193" s="157"/>
      <c r="O193" s="157"/>
      <c r="P193" s="157"/>
      <c r="Q193" s="157"/>
      <c r="R193" s="157"/>
      <c r="S193" s="157"/>
      <c r="T193" s="157"/>
      <c r="U193" s="157"/>
      <c r="V193" s="157"/>
      <c r="W193" s="157"/>
      <c r="X193" s="157"/>
      <c r="Y193" s="157"/>
      <c r="Z193" s="157"/>
      <c r="AA193" s="157"/>
      <c r="AB193" s="158"/>
      <c r="AC193" s="187"/>
    </row>
    <row r="194" spans="1:29" x14ac:dyDescent="0.15">
      <c r="A194" s="133">
        <f t="shared" si="25"/>
        <v>2043</v>
      </c>
      <c r="B194" s="133">
        <v>26</v>
      </c>
      <c r="C194" s="133">
        <f t="shared" si="26"/>
        <v>25</v>
      </c>
      <c r="D194" s="412">
        <f t="shared" si="23"/>
        <v>1.5710153055430329</v>
      </c>
      <c r="E194" s="411">
        <f>IF((OR(A194&lt;startup_year,C194&gt;anal_period)),0,IF(MOD((C194-startup_time),Main!$C$139)=0,-D194*Main!$E$139,0))</f>
        <v>-2303576.2526406581</v>
      </c>
      <c r="F194" s="411">
        <f>IF((OR(A194&lt;startup_year,C194&gt;anal_period)),0,IF(MOD((C194-startup_time),Main!$C$140)=0,-D194*Main!$E$140,0))</f>
        <v>0</v>
      </c>
      <c r="G194" s="411">
        <f>IF((OR(A194&lt;startup_year,C194&gt;anal_period)),0,IF(MOD((C194-startup_time),Main!$C$141)=0,-D194*Main!$E$141,0))</f>
        <v>0</v>
      </c>
      <c r="H194" s="411">
        <f>IF((OR(A194&lt;startup_year,C194&gt;anal_period)),0,IF(MOD((C194-startup_time),Main!$C$142)=0,-D194*Main!$E$142,0))</f>
        <v>0</v>
      </c>
      <c r="I194" s="411">
        <f>IF((OR(A194&lt;startup_year,C194&gt;anal_period)),0,IF(MOD((C194-startup_time),Main!$C$143)=0,-D194*Main!$E$143,0))</f>
        <v>0</v>
      </c>
      <c r="J194" s="411">
        <f t="shared" si="24"/>
        <v>-2303576.2526406581</v>
      </c>
      <c r="K194" s="157"/>
      <c r="L194" s="157"/>
      <c r="M194" s="157"/>
      <c r="N194" s="157"/>
      <c r="O194" s="157"/>
      <c r="P194" s="157"/>
      <c r="Q194" s="157"/>
      <c r="R194" s="157"/>
      <c r="S194" s="157"/>
      <c r="T194" s="157"/>
      <c r="U194" s="157"/>
      <c r="V194" s="157"/>
      <c r="W194" s="157"/>
      <c r="X194" s="157"/>
      <c r="Y194" s="157"/>
      <c r="Z194" s="157"/>
      <c r="AA194" s="157"/>
      <c r="AB194" s="158"/>
      <c r="AC194" s="187"/>
    </row>
    <row r="195" spans="1:29" x14ac:dyDescent="0.15">
      <c r="A195" s="133">
        <f t="shared" si="25"/>
        <v>2044</v>
      </c>
      <c r="B195" s="133">
        <v>27</v>
      </c>
      <c r="C195" s="133">
        <f t="shared" si="26"/>
        <v>26</v>
      </c>
      <c r="D195" s="412">
        <f t="shared" si="23"/>
        <v>1.6008645963483503</v>
      </c>
      <c r="E195" s="411">
        <f>IF((OR(A195&lt;startup_year,C195&gt;anal_period)),0,IF(MOD((C195-startup_time),Main!$C$139)=0,-D195*Main!$E$139,0))</f>
        <v>-2347344.2014408302</v>
      </c>
      <c r="F195" s="411">
        <f>IF((OR(A195&lt;startup_year,C195&gt;anal_period)),0,IF(MOD((C195-startup_time),Main!$C$140)=0,-D195*Main!$E$140,0))</f>
        <v>-50706609.177024543</v>
      </c>
      <c r="G195" s="411">
        <f>IF((OR(A195&lt;startup_year,C195&gt;anal_period)),0,IF(MOD((C195-startup_time),Main!$C$141)=0,-D195*Main!$E$141,0))</f>
        <v>-22732645.28395056</v>
      </c>
      <c r="H195" s="411">
        <f>IF((OR(A195&lt;startup_year,C195&gt;anal_period)),0,IF(MOD((C195-startup_time),Main!$C$142)=0,-D195*Main!$E$142,0))</f>
        <v>-38246894.954749174</v>
      </c>
      <c r="I195" s="411">
        <f>IF((OR(A195&lt;startup_year,C195&gt;anal_period)),0,IF(MOD((C195-startup_time),Main!$C$143)=0,-D195*Main!$E$143,0))</f>
        <v>0</v>
      </c>
      <c r="J195" s="411">
        <f t="shared" si="24"/>
        <v>-114033493.61716512</v>
      </c>
      <c r="K195" s="157"/>
      <c r="L195" s="157"/>
      <c r="M195" s="157"/>
      <c r="N195" s="157"/>
      <c r="O195" s="157"/>
      <c r="P195" s="157"/>
      <c r="Q195" s="157"/>
      <c r="R195" s="157"/>
      <c r="S195" s="157"/>
      <c r="T195" s="157"/>
      <c r="U195" s="157"/>
      <c r="V195" s="157"/>
      <c r="W195" s="157"/>
      <c r="X195" s="157"/>
      <c r="Y195" s="157"/>
      <c r="Z195" s="157"/>
      <c r="AA195" s="157"/>
      <c r="AB195" s="158"/>
      <c r="AC195" s="187"/>
    </row>
    <row r="196" spans="1:29" x14ac:dyDescent="0.15">
      <c r="A196" s="133">
        <f t="shared" si="25"/>
        <v>2045</v>
      </c>
      <c r="B196" s="133">
        <v>28</v>
      </c>
      <c r="C196" s="133">
        <f t="shared" si="26"/>
        <v>27</v>
      </c>
      <c r="D196" s="412">
        <f t="shared" si="23"/>
        <v>1.631281023678969</v>
      </c>
      <c r="E196" s="411">
        <f>IF((OR(A196&lt;startup_year,C196&gt;anal_period)),0,IF(MOD((C196-startup_time),Main!$C$139)=0,-D196*Main!$E$139,0))</f>
        <v>-2391943.7412682059</v>
      </c>
      <c r="F196" s="411">
        <f>IF((OR(A196&lt;startup_year,C196&gt;anal_period)),0,IF(MOD((C196-startup_time),Main!$C$140)=0,-D196*Main!$E$140,0))</f>
        <v>0</v>
      </c>
      <c r="G196" s="411">
        <f>IF((OR(A196&lt;startup_year,C196&gt;anal_period)),0,IF(MOD((C196-startup_time),Main!$C$141)=0,-D196*Main!$E$141,0))</f>
        <v>0</v>
      </c>
      <c r="H196" s="411">
        <f>IF((OR(A196&lt;startup_year,C196&gt;anal_period)),0,IF(MOD((C196-startup_time),Main!$C$142)=0,-D196*Main!$E$142,0))</f>
        <v>0</v>
      </c>
      <c r="I196" s="411">
        <f>IF((OR(A196&lt;startup_year,C196&gt;anal_period)),0,IF(MOD((C196-startup_time),Main!$C$143)=0,-D196*Main!$E$143,0))</f>
        <v>0</v>
      </c>
      <c r="J196" s="411">
        <f t="shared" si="24"/>
        <v>-2391943.7412682059</v>
      </c>
      <c r="K196" s="157"/>
      <c r="L196" s="157"/>
      <c r="M196" s="157"/>
      <c r="N196" s="157"/>
      <c r="O196" s="157"/>
      <c r="P196" s="157"/>
      <c r="Q196" s="157"/>
      <c r="R196" s="157"/>
      <c r="S196" s="157"/>
      <c r="T196" s="157"/>
      <c r="U196" s="157"/>
      <c r="V196" s="157"/>
      <c r="W196" s="157"/>
      <c r="X196" s="157"/>
      <c r="Y196" s="157"/>
      <c r="Z196" s="157"/>
      <c r="AA196" s="157"/>
      <c r="AB196" s="158"/>
      <c r="AC196" s="187"/>
    </row>
    <row r="197" spans="1:29" x14ac:dyDescent="0.15">
      <c r="A197" s="133">
        <f t="shared" si="25"/>
        <v>2046</v>
      </c>
      <c r="B197" s="133">
        <v>29</v>
      </c>
      <c r="C197" s="133">
        <f t="shared" si="26"/>
        <v>28</v>
      </c>
      <c r="D197" s="412">
        <f t="shared" si="23"/>
        <v>1.6622753631288694</v>
      </c>
      <c r="E197" s="411">
        <f>IF((OR(A197&lt;startup_year,C197&gt;anal_period)),0,IF(MOD((C197-startup_time),Main!$C$139)=0,-D197*Main!$E$139,0))</f>
        <v>-2437390.6723523019</v>
      </c>
      <c r="F197" s="411">
        <f>IF((OR(A197&lt;startup_year,C197&gt;anal_period)),0,IF(MOD((C197-startup_time),Main!$C$140)=0,-D197*Main!$E$140,0))</f>
        <v>0</v>
      </c>
      <c r="G197" s="411">
        <f>IF((OR(A197&lt;startup_year,C197&gt;anal_period)),0,IF(MOD((C197-startup_time),Main!$C$141)=0,-D197*Main!$E$141,0))</f>
        <v>0</v>
      </c>
      <c r="H197" s="411">
        <f>IF((OR(A197&lt;startup_year,C197&gt;anal_period)),0,IF(MOD((C197-startup_time),Main!$C$142)=0,-D197*Main!$E$142,0))</f>
        <v>0</v>
      </c>
      <c r="I197" s="411">
        <f>IF((OR(A197&lt;startup_year,C197&gt;anal_period)),0,IF(MOD((C197-startup_time),Main!$C$143)=0,-D197*Main!$E$143,0))</f>
        <v>0</v>
      </c>
      <c r="J197" s="411">
        <f t="shared" si="24"/>
        <v>-2437390.6723523019</v>
      </c>
      <c r="K197" s="157"/>
      <c r="L197" s="157"/>
      <c r="M197" s="157"/>
      <c r="N197" s="157"/>
      <c r="O197" s="157"/>
      <c r="P197" s="157"/>
      <c r="Q197" s="157"/>
      <c r="R197" s="157"/>
      <c r="S197" s="157"/>
      <c r="T197" s="157"/>
      <c r="U197" s="157"/>
      <c r="V197" s="157"/>
      <c r="W197" s="157"/>
      <c r="X197" s="157"/>
      <c r="Y197" s="157"/>
      <c r="Z197" s="157"/>
      <c r="AA197" s="157"/>
      <c r="AB197" s="158"/>
      <c r="AC197" s="187"/>
    </row>
    <row r="198" spans="1:29" x14ac:dyDescent="0.15">
      <c r="A198" s="133">
        <f t="shared" si="25"/>
        <v>2047</v>
      </c>
      <c r="B198" s="133">
        <v>30</v>
      </c>
      <c r="C198" s="133">
        <f t="shared" si="26"/>
        <v>29</v>
      </c>
      <c r="D198" s="412">
        <f t="shared" si="23"/>
        <v>1.6938585950283176</v>
      </c>
      <c r="E198" s="411">
        <f>IF((OR(A198&lt;startup_year,C198&gt;anal_period)),0,IF(MOD((C198-startup_time),Main!$C$139)=0,-D198*Main!$E$139,0))</f>
        <v>-2483701.0951269949</v>
      </c>
      <c r="F198" s="411">
        <f>IF((OR(A198&lt;startup_year,C198&gt;anal_period)),0,IF(MOD((C198-startup_time),Main!$C$140)=0,-D198*Main!$E$140,0))</f>
        <v>0</v>
      </c>
      <c r="G198" s="411">
        <f>IF((OR(A198&lt;startup_year,C198&gt;anal_period)),0,IF(MOD((C198-startup_time),Main!$C$141)=0,-D198*Main!$E$141,0))</f>
        <v>0</v>
      </c>
      <c r="H198" s="411">
        <f>IF((OR(A198&lt;startup_year,C198&gt;anal_period)),0,IF(MOD((C198-startup_time),Main!$C$142)=0,-D198*Main!$E$142,0))</f>
        <v>0</v>
      </c>
      <c r="I198" s="411">
        <f>IF((OR(A198&lt;startup_year,C198&gt;anal_period)),0,IF(MOD((C198-startup_time),Main!$C$143)=0,-D198*Main!$E$143,0))</f>
        <v>0</v>
      </c>
      <c r="J198" s="411">
        <f t="shared" si="24"/>
        <v>-2483701.0951269949</v>
      </c>
      <c r="K198" s="157"/>
      <c r="L198" s="157"/>
      <c r="M198" s="157"/>
      <c r="N198" s="157"/>
      <c r="O198" s="157"/>
      <c r="P198" s="157"/>
      <c r="Q198" s="157"/>
      <c r="R198" s="157"/>
      <c r="S198" s="157"/>
      <c r="T198" s="157"/>
      <c r="U198" s="157"/>
      <c r="V198" s="157"/>
      <c r="W198" s="157"/>
      <c r="X198" s="157"/>
      <c r="Y198" s="157"/>
      <c r="Z198" s="157"/>
      <c r="AA198" s="157"/>
      <c r="AB198" s="158"/>
      <c r="AC198" s="187"/>
    </row>
    <row r="199" spans="1:29" x14ac:dyDescent="0.15">
      <c r="A199" s="133">
        <f t="shared" si="25"/>
        <v>2048</v>
      </c>
      <c r="B199" s="133">
        <v>31</v>
      </c>
      <c r="C199" s="133">
        <f t="shared" si="26"/>
        <v>30</v>
      </c>
      <c r="D199" s="412">
        <f t="shared" si="23"/>
        <v>1.7260419083338554</v>
      </c>
      <c r="E199" s="411">
        <f>IF((OR(A199&lt;startup_year,C199&gt;anal_period)),0,IF(MOD((C199-startup_time),Main!$C$139)=0,-D199*Main!$E$139,0))</f>
        <v>-2530891.4159344076</v>
      </c>
      <c r="F199" s="411">
        <f>IF((OR(A199&lt;startup_year,C199&gt;anal_period)),0,IF(MOD((C199-startup_time),Main!$C$140)=0,-D199*Main!$E$140,0))</f>
        <v>0</v>
      </c>
      <c r="G199" s="411">
        <f>IF((OR(A199&lt;startup_year,C199&gt;anal_period)),0,IF(MOD((C199-startup_time),Main!$C$141)=0,-D199*Main!$E$141,0))</f>
        <v>0</v>
      </c>
      <c r="H199" s="411">
        <f>IF((OR(A199&lt;startup_year,C199&gt;anal_period)),0,IF(MOD((C199-startup_time),Main!$C$142)=0,-D199*Main!$E$142,0))</f>
        <v>0</v>
      </c>
      <c r="I199" s="411">
        <f>IF((OR(A199&lt;startup_year,C199&gt;anal_period)),0,IF(MOD((C199-startup_time),Main!$C$143)=0,-D199*Main!$E$143,0))</f>
        <v>0</v>
      </c>
      <c r="J199" s="411">
        <f t="shared" si="24"/>
        <v>-2530891.4159344076</v>
      </c>
      <c r="K199" s="157"/>
      <c r="L199" s="157"/>
      <c r="M199" s="157"/>
      <c r="N199" s="157"/>
      <c r="O199" s="157"/>
      <c r="P199" s="157"/>
      <c r="Q199" s="157"/>
      <c r="R199" s="157"/>
      <c r="S199" s="157"/>
      <c r="T199" s="157"/>
      <c r="U199" s="157"/>
      <c r="V199" s="157"/>
      <c r="W199" s="157"/>
      <c r="X199" s="157"/>
      <c r="Y199" s="157"/>
      <c r="Z199" s="157"/>
      <c r="AA199" s="157"/>
      <c r="AB199" s="158"/>
      <c r="AC199" s="187"/>
    </row>
    <row r="200" spans="1:29" x14ac:dyDescent="0.15">
      <c r="A200" s="133">
        <f t="shared" si="25"/>
        <v>2049</v>
      </c>
      <c r="B200" s="133">
        <v>32</v>
      </c>
      <c r="C200" s="133">
        <f t="shared" si="26"/>
        <v>31</v>
      </c>
      <c r="D200" s="412">
        <f t="shared" si="23"/>
        <v>1.7588367045921991</v>
      </c>
      <c r="E200" s="411">
        <f>IF((OR(A200&lt;startup_year,C200&gt;anal_period)),0,IF(MOD((C200-startup_time),Main!$C$139)=0,-D200*Main!$E$139,0))</f>
        <v>-2578978.3528371621</v>
      </c>
      <c r="F200" s="411">
        <f>IF((OR(A200&lt;startup_year,C200&gt;anal_period)),0,IF(MOD((C200-startup_time),Main!$C$140)=0,-D200*Main!$E$140,0))</f>
        <v>-55710299.040529035</v>
      </c>
      <c r="G200" s="411">
        <f>IF((OR(A200&lt;startup_year,C200&gt;anal_period)),0,IF(MOD((C200-startup_time),Main!$C$141)=0,-D200*Main!$E$141,0))</f>
        <v>-24975885.536534559</v>
      </c>
      <c r="H200" s="411">
        <f>IF((OR(A200&lt;startup_year,C200&gt;anal_period)),0,IF(MOD((C200-startup_time),Main!$C$142)=0,-D200*Main!$E$142,0))</f>
        <v>-42021069.637333013</v>
      </c>
      <c r="I200" s="411">
        <f>IF((OR(A200&lt;startup_year,C200&gt;anal_period)),0,IF(MOD((C200-startup_time),Main!$C$143)=0,-D200*Main!$E$143,0))</f>
        <v>-227332181.71091333</v>
      </c>
      <c r="J200" s="411">
        <f t="shared" si="24"/>
        <v>-352618414.2781471</v>
      </c>
      <c r="K200" s="157"/>
      <c r="L200" s="157"/>
      <c r="M200" s="157"/>
      <c r="N200" s="157"/>
      <c r="O200" s="157"/>
      <c r="P200" s="157"/>
      <c r="Q200" s="157"/>
      <c r="R200" s="157"/>
      <c r="S200" s="157"/>
      <c r="T200" s="157"/>
      <c r="U200" s="157"/>
      <c r="V200" s="157"/>
      <c r="W200" s="157"/>
      <c r="X200" s="157"/>
      <c r="Y200" s="157"/>
      <c r="Z200" s="157"/>
      <c r="AA200" s="157"/>
      <c r="AB200" s="158"/>
      <c r="AC200" s="187"/>
    </row>
    <row r="201" spans="1:29" x14ac:dyDescent="0.15">
      <c r="A201" s="133">
        <f t="shared" si="25"/>
        <v>2050</v>
      </c>
      <c r="B201" s="133">
        <v>33</v>
      </c>
      <c r="C201" s="133">
        <f t="shared" si="26"/>
        <v>32</v>
      </c>
      <c r="D201" s="412">
        <f t="shared" si="23"/>
        <v>1.7922546019794507</v>
      </c>
      <c r="E201" s="411">
        <f>IF((OR(A201&lt;startup_year,C201&gt;anal_period)),0,IF(MOD((C201-startup_time),Main!$C$139)=0,-D201*Main!$E$139,0))</f>
        <v>-2627978.9415410678</v>
      </c>
      <c r="F201" s="411">
        <f>IF((OR(A201&lt;startup_year,C201&gt;anal_period)),0,IF(MOD((C201-startup_time),Main!$C$140)=0,-D201*Main!$E$140,0))</f>
        <v>0</v>
      </c>
      <c r="G201" s="411">
        <f>IF((OR(A201&lt;startup_year,C201&gt;anal_period)),0,IF(MOD((C201-startup_time),Main!$C$141)=0,-D201*Main!$E$141,0))</f>
        <v>0</v>
      </c>
      <c r="H201" s="411">
        <f>IF((OR(A201&lt;startup_year,C201&gt;anal_period)),0,IF(MOD((C201-startup_time),Main!$C$142)=0,-D201*Main!$E$142,0))</f>
        <v>0</v>
      </c>
      <c r="I201" s="411">
        <f>IF((OR(A201&lt;startup_year,C201&gt;anal_period)),0,IF(MOD((C201-startup_time),Main!$C$143)=0,-D201*Main!$E$143,0))</f>
        <v>0</v>
      </c>
      <c r="J201" s="411">
        <f t="shared" si="24"/>
        <v>-2627978.9415410678</v>
      </c>
      <c r="K201" s="157"/>
      <c r="L201" s="157"/>
      <c r="M201" s="157"/>
      <c r="N201" s="157"/>
      <c r="O201" s="157"/>
      <c r="P201" s="157"/>
      <c r="Q201" s="157"/>
      <c r="R201" s="157"/>
      <c r="S201" s="157"/>
      <c r="T201" s="157"/>
      <c r="U201" s="157"/>
      <c r="V201" s="157"/>
      <c r="W201" s="157"/>
      <c r="X201" s="157"/>
      <c r="Y201" s="157"/>
      <c r="Z201" s="157"/>
      <c r="AA201" s="157"/>
      <c r="AB201" s="158"/>
      <c r="AC201" s="187"/>
    </row>
    <row r="202" spans="1:29" x14ac:dyDescent="0.15">
      <c r="A202" s="133">
        <f t="shared" si="25"/>
        <v>2051</v>
      </c>
      <c r="B202" s="133">
        <v>34</v>
      </c>
      <c r="C202" s="133">
        <f t="shared" si="26"/>
        <v>33</v>
      </c>
      <c r="D202" s="412">
        <f t="shared" si="23"/>
        <v>1.8263074394170602</v>
      </c>
      <c r="E202" s="411">
        <f>IF((OR(A202&lt;startup_year,C202&gt;anal_period)),0,IF(MOD((C202-startup_time),Main!$C$139)=0,-D202*Main!$E$139,0))</f>
        <v>-2677910.5414303481</v>
      </c>
      <c r="F202" s="411">
        <f>IF((OR(A202&lt;startup_year,C202&gt;anal_period)),0,IF(MOD((C202-startup_time),Main!$C$140)=0,-D202*Main!$E$140,0))</f>
        <v>0</v>
      </c>
      <c r="G202" s="411">
        <f>IF((OR(A202&lt;startup_year,C202&gt;anal_period)),0,IF(MOD((C202-startup_time),Main!$C$141)=0,-D202*Main!$E$141,0))</f>
        <v>0</v>
      </c>
      <c r="H202" s="411">
        <f>IF((OR(A202&lt;startup_year,C202&gt;anal_period)),0,IF(MOD((C202-startup_time),Main!$C$142)=0,-D202*Main!$E$142,0))</f>
        <v>0</v>
      </c>
      <c r="I202" s="411">
        <f>IF((OR(A202&lt;startup_year,C202&gt;anal_period)),0,IF(MOD((C202-startup_time),Main!$C$143)=0,-D202*Main!$E$143,0))</f>
        <v>0</v>
      </c>
      <c r="J202" s="411">
        <f t="shared" si="24"/>
        <v>-2677910.5414303481</v>
      </c>
      <c r="K202" s="157"/>
      <c r="L202" s="157"/>
      <c r="M202" s="157"/>
      <c r="N202" s="157"/>
      <c r="O202" s="157"/>
      <c r="P202" s="157"/>
      <c r="Q202" s="157"/>
      <c r="R202" s="157"/>
      <c r="S202" s="157"/>
      <c r="T202" s="157"/>
      <c r="U202" s="157"/>
      <c r="V202" s="157"/>
      <c r="W202" s="157"/>
      <c r="X202" s="157"/>
      <c r="Y202" s="157"/>
      <c r="Z202" s="157"/>
      <c r="AA202" s="157"/>
      <c r="AB202" s="158"/>
      <c r="AC202" s="187"/>
    </row>
    <row r="203" spans="1:29" x14ac:dyDescent="0.15">
      <c r="A203" s="133">
        <f t="shared" si="25"/>
        <v>2052</v>
      </c>
      <c r="B203" s="133">
        <v>35</v>
      </c>
      <c r="C203" s="133">
        <f t="shared" si="26"/>
        <v>34</v>
      </c>
      <c r="D203" s="412">
        <f t="shared" si="23"/>
        <v>1.8610072807659841</v>
      </c>
      <c r="E203" s="411">
        <f>IF((OR(A203&lt;startup_year,C203&gt;anal_period)),0,IF(MOD((C203-startup_time),Main!$C$139)=0,-D203*Main!$E$139,0))</f>
        <v>-2728790.8417175245</v>
      </c>
      <c r="F203" s="411">
        <f>IF((OR(A203&lt;startup_year,C203&gt;anal_period)),0,IF(MOD((C203-startup_time),Main!$C$140)=0,-D203*Main!$E$140,0))</f>
        <v>0</v>
      </c>
      <c r="G203" s="411">
        <f>IF((OR(A203&lt;startup_year,C203&gt;anal_period)),0,IF(MOD((C203-startup_time),Main!$C$141)=0,-D203*Main!$E$141,0))</f>
        <v>0</v>
      </c>
      <c r="H203" s="411">
        <f>IF((OR(A203&lt;startup_year,C203&gt;anal_period)),0,IF(MOD((C203-startup_time),Main!$C$142)=0,-D203*Main!$E$142,0))</f>
        <v>0</v>
      </c>
      <c r="I203" s="411">
        <f>IF((OR(A203&lt;startup_year,C203&gt;anal_period)),0,IF(MOD((C203-startup_time),Main!$C$143)=0,-D203*Main!$E$143,0))</f>
        <v>0</v>
      </c>
      <c r="J203" s="411">
        <f t="shared" si="24"/>
        <v>-2728790.8417175245</v>
      </c>
      <c r="K203" s="157"/>
      <c r="L203" s="157"/>
      <c r="M203" s="157"/>
      <c r="N203" s="157"/>
      <c r="O203" s="157"/>
      <c r="P203" s="157"/>
      <c r="Q203" s="157"/>
      <c r="R203" s="157"/>
      <c r="S203" s="157"/>
      <c r="T203" s="157"/>
      <c r="U203" s="157"/>
      <c r="V203" s="157"/>
      <c r="W203" s="157"/>
      <c r="X203" s="157"/>
      <c r="Y203" s="157"/>
      <c r="Z203" s="157"/>
      <c r="AA203" s="157"/>
      <c r="AB203" s="158"/>
      <c r="AC203" s="187"/>
    </row>
    <row r="204" spans="1:29" x14ac:dyDescent="0.15">
      <c r="A204" s="133">
        <f t="shared" si="25"/>
        <v>2053</v>
      </c>
      <c r="B204" s="133">
        <v>36</v>
      </c>
      <c r="C204" s="133">
        <f t="shared" si="26"/>
        <v>35</v>
      </c>
      <c r="D204" s="412">
        <f t="shared" si="23"/>
        <v>1.8963664191005378</v>
      </c>
      <c r="E204" s="411">
        <f>IF((OR(A204&lt;startup_year,C204&gt;anal_period)),0,IF(MOD((C204-startup_time),Main!$C$139)=0,-D204*Main!$E$139,0))</f>
        <v>-2780637.8677101573</v>
      </c>
      <c r="F204" s="411">
        <f>IF((OR(A204&lt;startup_year,C204&gt;anal_period)),0,IF(MOD((C204-startup_time),Main!$C$140)=0,-D204*Main!$E$140,0))</f>
        <v>0</v>
      </c>
      <c r="G204" s="411">
        <f>IF((OR(A204&lt;startup_year,C204&gt;anal_period)),0,IF(MOD((C204-startup_time),Main!$C$141)=0,-D204*Main!$E$141,0))</f>
        <v>0</v>
      </c>
      <c r="H204" s="411">
        <f>IF((OR(A204&lt;startup_year,C204&gt;anal_period)),0,IF(MOD((C204-startup_time),Main!$C$142)=0,-D204*Main!$E$142,0))</f>
        <v>0</v>
      </c>
      <c r="I204" s="411">
        <f>IF((OR(A204&lt;startup_year,C204&gt;anal_period)),0,IF(MOD((C204-startup_time),Main!$C$143)=0,-D204*Main!$E$143,0))</f>
        <v>0</v>
      </c>
      <c r="J204" s="411">
        <f t="shared" si="24"/>
        <v>-2780637.8677101573</v>
      </c>
      <c r="K204" s="157"/>
      <c r="L204" s="157"/>
      <c r="M204" s="157"/>
      <c r="N204" s="157"/>
      <c r="O204" s="157"/>
      <c r="P204" s="157"/>
      <c r="Q204" s="157"/>
      <c r="R204" s="157"/>
      <c r="S204" s="157"/>
      <c r="T204" s="157"/>
      <c r="U204" s="157"/>
      <c r="V204" s="157"/>
      <c r="W204" s="157"/>
      <c r="X204" s="157"/>
      <c r="Y204" s="157"/>
      <c r="Z204" s="157"/>
      <c r="AA204" s="157"/>
      <c r="AB204" s="158"/>
      <c r="AC204" s="187"/>
    </row>
    <row r="205" spans="1:29" x14ac:dyDescent="0.15">
      <c r="A205" s="133">
        <f t="shared" si="25"/>
        <v>2054</v>
      </c>
      <c r="B205" s="133">
        <v>37</v>
      </c>
      <c r="C205" s="133">
        <f t="shared" si="26"/>
        <v>36</v>
      </c>
      <c r="D205" s="412">
        <f t="shared" si="23"/>
        <v>1.932397381063448</v>
      </c>
      <c r="E205" s="411">
        <f>IF((OR(A205&lt;startup_year,C205&gt;anal_period)),0,IF(MOD((C205-startup_time),Main!$C$139)=0,-D205*Main!$E$139,0))</f>
        <v>-2833469.9871966504</v>
      </c>
      <c r="F205" s="411">
        <f>IF((OR(A205&lt;startup_year,C205&gt;anal_period)),0,IF(MOD((C205-startup_time),Main!$C$140)=0,-D205*Main!$E$140,0))</f>
        <v>-61207749.2373804</v>
      </c>
      <c r="G205" s="411">
        <f>IF((OR(A205&lt;startup_year,C205&gt;anal_period)),0,IF(MOD((C205-startup_time),Main!$C$141)=0,-D205*Main!$E$141,0))</f>
        <v>-27440487.041535836</v>
      </c>
      <c r="H205" s="411">
        <f>IF((OR(A205&lt;startup_year,C205&gt;anal_period)),0,IF(MOD((C205-startup_time),Main!$C$142)=0,-D205*Main!$E$142,0))</f>
        <v>-46167677.024624251</v>
      </c>
      <c r="I205" s="411">
        <f>IF((OR(A205&lt;startup_year,C205&gt;anal_period)),0,IF(MOD((C205-startup_time),Main!$C$143)=0,-D205*Main!$E$143,0))</f>
        <v>0</v>
      </c>
      <c r="J205" s="411">
        <f t="shared" si="24"/>
        <v>-137649383.29073715</v>
      </c>
      <c r="K205" s="157"/>
      <c r="L205" s="157"/>
      <c r="M205" s="157"/>
      <c r="N205" s="157"/>
      <c r="O205" s="157"/>
      <c r="P205" s="157"/>
      <c r="Q205" s="157"/>
      <c r="R205" s="157"/>
      <c r="S205" s="157"/>
      <c r="T205" s="157"/>
      <c r="U205" s="157"/>
      <c r="V205" s="157"/>
      <c r="W205" s="157"/>
      <c r="X205" s="157"/>
      <c r="Y205" s="157"/>
      <c r="Z205" s="157"/>
      <c r="AA205" s="157"/>
      <c r="AB205" s="158"/>
      <c r="AC205" s="187"/>
    </row>
    <row r="206" spans="1:29" x14ac:dyDescent="0.15">
      <c r="A206" s="133">
        <f t="shared" si="25"/>
        <v>2055</v>
      </c>
      <c r="B206" s="133">
        <v>38</v>
      </c>
      <c r="C206" s="133">
        <f t="shared" si="26"/>
        <v>37</v>
      </c>
      <c r="D206" s="412">
        <f t="shared" si="23"/>
        <v>1.9691129313036535</v>
      </c>
      <c r="E206" s="411">
        <f>IF((OR(A206&lt;startup_year,C206&gt;anal_period)),0,IF(MOD((C206-startup_time),Main!$C$139)=0,-D206*Main!$E$139,0))</f>
        <v>-2887305.9169533867</v>
      </c>
      <c r="F206" s="411">
        <f>IF((OR(A206&lt;startup_year,C206&gt;anal_period)),0,IF(MOD((C206-startup_time),Main!$C$140)=0,-D206*Main!$E$140,0))</f>
        <v>0</v>
      </c>
      <c r="G206" s="411">
        <f>IF((OR(A206&lt;startup_year,C206&gt;anal_period)),0,IF(MOD((C206-startup_time),Main!$C$141)=0,-D206*Main!$E$141,0))</f>
        <v>0</v>
      </c>
      <c r="H206" s="411">
        <f>IF((OR(A206&lt;startup_year,C206&gt;anal_period)),0,IF(MOD((C206-startup_time),Main!$C$142)=0,-D206*Main!$E$142,0))</f>
        <v>0</v>
      </c>
      <c r="I206" s="411">
        <f>IF((OR(A206&lt;startup_year,C206&gt;anal_period)),0,IF(MOD((C206-startup_time),Main!$C$143)=0,-D206*Main!$E$143,0))</f>
        <v>0</v>
      </c>
      <c r="J206" s="411">
        <f t="shared" si="24"/>
        <v>-2887305.9169533867</v>
      </c>
      <c r="K206" s="157"/>
      <c r="L206" s="157"/>
      <c r="M206" s="157"/>
      <c r="N206" s="157"/>
      <c r="O206" s="157"/>
      <c r="P206" s="157"/>
      <c r="Q206" s="157"/>
      <c r="R206" s="157"/>
      <c r="S206" s="157"/>
      <c r="T206" s="157"/>
      <c r="U206" s="157"/>
      <c r="V206" s="157"/>
      <c r="W206" s="157"/>
      <c r="X206" s="157"/>
      <c r="Y206" s="157"/>
      <c r="Z206" s="157"/>
      <c r="AA206" s="157"/>
      <c r="AB206" s="158"/>
      <c r="AC206" s="187"/>
    </row>
    <row r="207" spans="1:29" x14ac:dyDescent="0.15">
      <c r="A207" s="133">
        <f t="shared" si="25"/>
        <v>2056</v>
      </c>
      <c r="B207" s="133">
        <v>39</v>
      </c>
      <c r="C207" s="133">
        <f t="shared" si="26"/>
        <v>38</v>
      </c>
      <c r="D207" s="412">
        <f t="shared" si="23"/>
        <v>2.0065260769984223</v>
      </c>
      <c r="E207" s="411">
        <f>IF((OR(A207&lt;startup_year,C207&gt;anal_period)),0,IF(MOD((C207-startup_time),Main!$C$139)=0,-D207*Main!$E$139,0))</f>
        <v>-2942164.7293755002</v>
      </c>
      <c r="F207" s="411">
        <f>IF((OR(A207&lt;startup_year,C207&gt;anal_period)),0,IF(MOD((C207-startup_time),Main!$C$140)=0,-D207*Main!$E$140,0))</f>
        <v>0</v>
      </c>
      <c r="G207" s="411">
        <f>IF((OR(A207&lt;startup_year,C207&gt;anal_period)),0,IF(MOD((C207-startup_time),Main!$C$141)=0,-D207*Main!$E$141,0))</f>
        <v>0</v>
      </c>
      <c r="H207" s="411">
        <f>IF((OR(A207&lt;startup_year,C207&gt;anal_period)),0,IF(MOD((C207-startup_time),Main!$C$142)=0,-D207*Main!$E$142,0))</f>
        <v>0</v>
      </c>
      <c r="I207" s="411">
        <f>IF((OR(A207&lt;startup_year,C207&gt;anal_period)),0,IF(MOD((C207-startup_time),Main!$C$143)=0,-D207*Main!$E$143,0))</f>
        <v>0</v>
      </c>
      <c r="J207" s="411">
        <f t="shared" si="24"/>
        <v>-2942164.7293755002</v>
      </c>
      <c r="K207" s="157"/>
      <c r="L207" s="157"/>
      <c r="M207" s="157"/>
      <c r="N207" s="157"/>
      <c r="O207" s="157"/>
      <c r="P207" s="157"/>
      <c r="Q207" s="157"/>
      <c r="R207" s="157"/>
      <c r="S207" s="157"/>
      <c r="T207" s="157"/>
      <c r="U207" s="157"/>
      <c r="V207" s="157"/>
      <c r="W207" s="157"/>
      <c r="X207" s="157"/>
      <c r="Y207" s="157"/>
      <c r="Z207" s="157"/>
      <c r="AA207" s="157"/>
      <c r="AB207" s="158"/>
      <c r="AC207" s="187"/>
    </row>
    <row r="208" spans="1:29" x14ac:dyDescent="0.15">
      <c r="A208" s="133">
        <f t="shared" si="25"/>
        <v>2057</v>
      </c>
      <c r="B208" s="133">
        <v>40</v>
      </c>
      <c r="C208" s="133">
        <f t="shared" si="26"/>
        <v>39</v>
      </c>
      <c r="D208" s="412">
        <f t="shared" si="23"/>
        <v>2.0446500724613927</v>
      </c>
      <c r="E208" s="411">
        <f>IF((OR(A208&lt;startup_year,C208&gt;anal_period)),0,IF(MOD((C208-startup_time),Main!$C$139)=0,-D208*Main!$E$139,0))</f>
        <v>-2998065.859233635</v>
      </c>
      <c r="F208" s="411">
        <f>IF((OR(A208&lt;startup_year,C208&gt;anal_period)),0,IF(MOD((C208-startup_time),Main!$C$140)=0,-D208*Main!$E$140,0))</f>
        <v>0</v>
      </c>
      <c r="G208" s="411">
        <f>IF((OR(A208&lt;startup_year,C208&gt;anal_period)),0,IF(MOD((C208-startup_time),Main!$C$141)=0,-D208*Main!$E$141,0))</f>
        <v>0</v>
      </c>
      <c r="H208" s="411">
        <f>IF((OR(A208&lt;startup_year,C208&gt;anal_period)),0,IF(MOD((C208-startup_time),Main!$C$142)=0,-D208*Main!$E$142,0))</f>
        <v>0</v>
      </c>
      <c r="I208" s="411">
        <f>IF((OR(A208&lt;startup_year,C208&gt;anal_period)),0,IF(MOD((C208-startup_time),Main!$C$143)=0,-D208*Main!$E$143,0))</f>
        <v>0</v>
      </c>
      <c r="J208" s="411">
        <f t="shared" si="24"/>
        <v>-2998065.859233635</v>
      </c>
      <c r="K208" s="157"/>
      <c r="L208" s="157"/>
      <c r="M208" s="157"/>
      <c r="N208" s="157"/>
      <c r="O208" s="157"/>
      <c r="P208" s="157"/>
      <c r="Q208" s="157"/>
      <c r="R208" s="157"/>
      <c r="S208" s="157"/>
      <c r="T208" s="157"/>
      <c r="U208" s="157"/>
      <c r="V208" s="157"/>
      <c r="W208" s="157"/>
      <c r="X208" s="157"/>
      <c r="Y208" s="157"/>
      <c r="Z208" s="157"/>
      <c r="AA208" s="157"/>
      <c r="AB208" s="158"/>
      <c r="AC208" s="187"/>
    </row>
    <row r="209" spans="1:29" x14ac:dyDescent="0.15">
      <c r="A209" s="133">
        <f t="shared" si="25"/>
        <v>2058</v>
      </c>
      <c r="B209" s="133">
        <v>41</v>
      </c>
      <c r="C209" s="133">
        <f t="shared" si="26"/>
        <v>40</v>
      </c>
      <c r="D209" s="412">
        <f t="shared" si="23"/>
        <v>2.0834984238381593</v>
      </c>
      <c r="E209" s="411">
        <f>IF((OR(A209&lt;startup_year,C209&gt;anal_period)),0,IF(MOD((C209-startup_time),Main!$C$139)=0,-D209*Main!$E$139,0))</f>
        <v>-3055029.1105590742</v>
      </c>
      <c r="F209" s="411">
        <f>IF((OR(A209&lt;startup_year,C209&gt;anal_period)),0,IF(MOD((C209-startup_time),Main!$C$140)=0,-D209*Main!$E$140,0))</f>
        <v>0</v>
      </c>
      <c r="G209" s="411">
        <f>IF((OR(A209&lt;startup_year,C209&gt;anal_period)),0,IF(MOD((C209-startup_time),Main!$C$141)=0,-D209*Main!$E$141,0))</f>
        <v>0</v>
      </c>
      <c r="H209" s="411">
        <f>IF((OR(A209&lt;startup_year,C209&gt;anal_period)),0,IF(MOD((C209-startup_time),Main!$C$142)=0,-D209*Main!$E$142,0))</f>
        <v>0</v>
      </c>
      <c r="I209" s="411">
        <f>IF((OR(A209&lt;startup_year,C209&gt;anal_period)),0,IF(MOD((C209-startup_time),Main!$C$143)=0,-D209*Main!$E$143,0))</f>
        <v>0</v>
      </c>
      <c r="J209" s="411">
        <f t="shared" si="24"/>
        <v>-3055029.1105590742</v>
      </c>
      <c r="K209" s="157"/>
      <c r="L209" s="157"/>
      <c r="M209" s="157"/>
      <c r="N209" s="157"/>
      <c r="O209" s="157"/>
      <c r="P209" s="157"/>
      <c r="Q209" s="157"/>
      <c r="R209" s="157"/>
      <c r="S209" s="157"/>
      <c r="T209" s="157"/>
      <c r="U209" s="157"/>
      <c r="V209" s="157"/>
      <c r="W209" s="157"/>
      <c r="X209" s="157"/>
      <c r="Y209" s="157"/>
      <c r="Z209" s="157"/>
      <c r="AA209" s="157"/>
      <c r="AB209" s="158"/>
      <c r="AC209" s="187"/>
    </row>
    <row r="210" spans="1:29" x14ac:dyDescent="0.15">
      <c r="A210" s="408" t="s">
        <v>29</v>
      </c>
      <c r="B210" s="410"/>
      <c r="C210" s="410"/>
      <c r="D210" s="442"/>
      <c r="E210" s="411">
        <f t="shared" ref="E210:J210" si="27">NPV(nominal_irr,E170:E209)</f>
        <v>-21650983.001615517</v>
      </c>
      <c r="F210" s="411">
        <f t="shared" si="27"/>
        <v>-75420637.448313162</v>
      </c>
      <c r="G210" s="411">
        <f t="shared" si="27"/>
        <v>-33812369.354383796</v>
      </c>
      <c r="H210" s="411">
        <f t="shared" si="27"/>
        <v>-56888150.178515308</v>
      </c>
      <c r="I210" s="411">
        <f t="shared" si="27"/>
        <v>-124963918.57736567</v>
      </c>
      <c r="J210" s="411">
        <f t="shared" si="27"/>
        <v>-312736058.56019342</v>
      </c>
      <c r="K210" s="157"/>
      <c r="L210" s="157"/>
      <c r="M210" s="157"/>
      <c r="N210" s="157"/>
      <c r="O210" s="157"/>
      <c r="P210" s="157"/>
      <c r="Q210" s="157"/>
      <c r="R210" s="157"/>
      <c r="S210" s="157"/>
      <c r="T210" s="157"/>
      <c r="U210" s="157"/>
      <c r="V210" s="157"/>
      <c r="W210" s="157"/>
      <c r="X210" s="157"/>
      <c r="Y210" s="158"/>
      <c r="Z210" s="187"/>
    </row>
    <row r="211" spans="1:29" x14ac:dyDescent="0.15">
      <c r="A211" s="157"/>
      <c r="B211" s="157"/>
      <c r="C211" s="157"/>
      <c r="D211" s="203"/>
      <c r="E211" s="157"/>
      <c r="F211" s="157"/>
      <c r="G211" s="157"/>
      <c r="H211" s="157"/>
      <c r="I211" s="157"/>
      <c r="J211" s="157"/>
      <c r="K211" s="157"/>
      <c r="L211" s="157"/>
      <c r="M211" s="157"/>
      <c r="N211" s="157"/>
      <c r="O211" s="157"/>
      <c r="P211" s="157"/>
      <c r="Q211" s="157"/>
      <c r="R211" s="157"/>
      <c r="S211" s="157"/>
      <c r="T211" s="157"/>
      <c r="U211" s="157"/>
      <c r="V211" s="157"/>
      <c r="W211" s="157"/>
      <c r="X211" s="157"/>
      <c r="Y211" s="158"/>
      <c r="Z211" s="187"/>
    </row>
    <row r="212" spans="1:29" x14ac:dyDescent="0.15">
      <c r="A212" s="157"/>
      <c r="B212" s="157"/>
      <c r="C212" s="157"/>
      <c r="D212" s="203"/>
      <c r="E212" s="157"/>
      <c r="F212" s="157"/>
      <c r="G212" s="157"/>
      <c r="H212" s="157"/>
      <c r="I212" s="157"/>
      <c r="J212" s="157"/>
      <c r="K212" s="157"/>
      <c r="L212" s="157"/>
      <c r="M212" s="157"/>
      <c r="N212" s="157"/>
      <c r="O212" s="157"/>
      <c r="P212" s="157"/>
      <c r="Q212" s="157"/>
      <c r="R212" s="157"/>
      <c r="S212" s="157"/>
      <c r="T212" s="157"/>
      <c r="U212" s="157"/>
      <c r="V212" s="157"/>
      <c r="W212" s="157"/>
      <c r="X212" s="157"/>
      <c r="Z212" s="187"/>
    </row>
  </sheetData>
  <dataValidations count="4">
    <dataValidation allowBlank="1" showInputMessage="1" showErrorMessage="1" promptTitle="Depreciation charge" prompt="Straight line depreciation method" sqref="Q18" xr:uid="{8A827175-9724-4553-BD29-335AEF3B8572}"/>
    <dataValidation allowBlank="1" showInputMessage="1" showErrorMessage="1" promptTitle="Depreciation period" prompt="Half convention: half of the analysis period" sqref="B67" xr:uid="{76479492-1511-42C1-9588-D34F8CD993BE}"/>
    <dataValidation allowBlank="1" showInputMessage="1" showErrorMessage="1" prompt="Used in depreciation charge calculation" sqref="G18:H18" xr:uid="{B527611E-F648-40A7-9348-B6600C67A107}"/>
    <dataValidation allowBlank="1" showInputMessage="1" showErrorMessage="1" promptTitle="Initial depreciable capital" prompt="Only used in debt financing calculation" sqref="F18" xr:uid="{4CB7E376-57E4-44C4-BB47-2D318349EE57}"/>
  </dataValidations>
  <pageMargins left="0.7" right="0.7" top="0.75" bottom="0.75" header="0.3" footer="0.3"/>
  <pageSetup orientation="portrait" horizontalDpi="0" verticalDpi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030CDD-2032-4487-9659-E3B6001AE57E}">
  <sheetPr codeName="Sheet2"/>
  <dimension ref="A1:AH165"/>
  <sheetViews>
    <sheetView zoomScaleNormal="100" workbookViewId="0">
      <pane ySplit="1" topLeftCell="A2" activePane="bottomLeft" state="frozen"/>
      <selection pane="bottomLeft" activeCell="C127" sqref="C127"/>
    </sheetView>
  </sheetViews>
  <sheetFormatPr baseColWidth="10" defaultColWidth="24.83203125" defaultRowHeight="13" x14ac:dyDescent="0.15"/>
  <cols>
    <col min="1" max="16384" width="24.83203125" style="17"/>
  </cols>
  <sheetData>
    <row r="1" spans="1:30" s="187" customFormat="1" ht="27" x14ac:dyDescent="0.35">
      <c r="A1" s="383" t="s">
        <v>344</v>
      </c>
      <c r="B1" s="205">
        <f>H2_cost_infl*tons_to_kg</f>
        <v>138.15249440013105</v>
      </c>
      <c r="C1" s="204" t="s">
        <v>150</v>
      </c>
      <c r="F1" s="390"/>
      <c r="H1" s="206"/>
    </row>
    <row r="3" spans="1:30" ht="16" x14ac:dyDescent="0.2">
      <c r="B3" s="17" t="s">
        <v>438</v>
      </c>
      <c r="C3" s="17" t="s">
        <v>439</v>
      </c>
      <c r="D3" s="17" t="s">
        <v>464</v>
      </c>
      <c r="F3" s="85" t="s">
        <v>316</v>
      </c>
      <c r="G3" s="258">
        <f>SUM(cap_intake,cap_screening,cap_micro,cap_nano,cap_ed,cap_co2)</f>
        <v>19917879.119734406</v>
      </c>
      <c r="H3" s="259"/>
    </row>
    <row r="4" spans="1:30" ht="15" x14ac:dyDescent="0.2">
      <c r="B4" s="507">
        <f>10*1000*(88.55733+(-87.38536*EXP(-0.0000015722*(B9))))*scale_ratio^scaling_factor_exponent</f>
        <v>6178607.4574458748</v>
      </c>
      <c r="C4" s="507">
        <f>10*1000*(88.55733+(-87.38536*EXP(-0.0000015722*(design_cap/m3OW_to_kgCO2))))</f>
        <v>885573.29999999993</v>
      </c>
      <c r="D4" s="507">
        <f>10*1000*(88.55733+(-87.38536*EXP(-0.0000015722*(B9))))*scale_ratio</f>
        <v>37116184.444434129</v>
      </c>
      <c r="F4" s="86" t="s">
        <v>314</v>
      </c>
      <c r="G4" s="260">
        <f>SUM(energy_intake,energy_screening,energy_micro,energy_nano,energy_ed,energy_co2)</f>
        <v>3.1990807071410345</v>
      </c>
      <c r="H4" s="261" t="s">
        <v>132</v>
      </c>
    </row>
    <row r="5" spans="1:30" x14ac:dyDescent="0.15">
      <c r="F5" s="84"/>
      <c r="G5" s="262"/>
    </row>
    <row r="7" spans="1:30" s="263" customFormat="1" ht="16" x14ac:dyDescent="0.2">
      <c r="A7" s="41" t="s">
        <v>189</v>
      </c>
      <c r="B7" s="42"/>
      <c r="C7" s="42"/>
      <c r="D7" s="42"/>
      <c r="E7" s="41"/>
      <c r="F7" s="42"/>
      <c r="G7" s="42"/>
      <c r="H7" s="42"/>
      <c r="I7" s="42"/>
      <c r="J7" s="8"/>
      <c r="K7" s="8"/>
      <c r="L7" s="8"/>
      <c r="M7" s="8"/>
    </row>
    <row r="8" spans="1:30" ht="16" x14ac:dyDescent="0.2">
      <c r="A8" s="43" t="s">
        <v>198</v>
      </c>
      <c r="B8" s="80">
        <v>1</v>
      </c>
      <c r="C8" s="43"/>
      <c r="D8" s="43"/>
      <c r="E8" s="43"/>
      <c r="F8" s="45" t="s">
        <v>315</v>
      </c>
      <c r="G8" s="264">
        <f>G18</f>
        <v>3249551.2565396908</v>
      </c>
      <c r="H8" s="265"/>
      <c r="I8" s="43"/>
      <c r="J8" s="13"/>
      <c r="K8" s="13"/>
      <c r="L8" s="13"/>
      <c r="M8" s="13"/>
    </row>
    <row r="9" spans="1:30" ht="16" x14ac:dyDescent="0.2">
      <c r="A9" s="43" t="s">
        <v>196</v>
      </c>
      <c r="B9" s="44">
        <f>m3_day*B8</f>
        <v>400000</v>
      </c>
      <c r="C9" s="43" t="s">
        <v>262</v>
      </c>
      <c r="D9" s="43"/>
      <c r="E9" s="43"/>
      <c r="F9" s="46" t="s">
        <v>263</v>
      </c>
      <c r="G9" s="266">
        <f>B10*bar_to_pa/(m3OW_to_kgCO2*E25*C25)*1/kWh_to_Ws*B8</f>
        <v>0.56116480826410053</v>
      </c>
      <c r="H9" s="267" t="s">
        <v>132</v>
      </c>
      <c r="I9" s="43"/>
      <c r="J9" s="13">
        <f>energy_intake*baseline_cap/24</f>
        <v>724.27671253286587</v>
      </c>
      <c r="K9" s="13"/>
      <c r="L9" s="13"/>
      <c r="M9" s="13"/>
    </row>
    <row r="10" spans="1:30" x14ac:dyDescent="0.15">
      <c r="A10" s="43" t="s">
        <v>197</v>
      </c>
      <c r="B10" s="600">
        <v>1.25</v>
      </c>
      <c r="C10" s="43" t="s">
        <v>173</v>
      </c>
      <c r="D10" s="268" t="s">
        <v>498</v>
      </c>
      <c r="E10" s="43"/>
      <c r="F10" s="43"/>
      <c r="G10" s="43"/>
      <c r="H10" s="43"/>
      <c r="I10" s="43"/>
      <c r="J10" s="269"/>
      <c r="K10" s="13"/>
      <c r="L10" s="13"/>
      <c r="M10" s="13"/>
    </row>
    <row r="11" spans="1:30" x14ac:dyDescent="0.15">
      <c r="A11" s="43" t="s">
        <v>232</v>
      </c>
      <c r="B11" s="48">
        <f>B10*bar_to_fthead</f>
        <v>41.794087665647297</v>
      </c>
      <c r="C11" s="43" t="s">
        <v>123</v>
      </c>
      <c r="D11" s="43"/>
      <c r="E11" s="43"/>
      <c r="F11" s="43"/>
      <c r="G11" s="43"/>
      <c r="H11" s="43"/>
      <c r="I11" s="43"/>
      <c r="J11" s="269"/>
      <c r="K11" s="13"/>
      <c r="L11" s="13"/>
      <c r="M11" s="13"/>
    </row>
    <row r="12" spans="1:30" x14ac:dyDescent="0.15">
      <c r="A12" s="43"/>
      <c r="B12" s="43"/>
      <c r="C12" s="43"/>
      <c r="D12" s="43"/>
      <c r="E12" s="43"/>
      <c r="F12" s="43"/>
      <c r="G12" s="43"/>
      <c r="H12" s="43"/>
      <c r="I12" s="43"/>
      <c r="J12" s="269"/>
    </row>
    <row r="13" spans="1:30" s="84" customFormat="1" x14ac:dyDescent="0.15">
      <c r="A13" s="270" t="s">
        <v>264</v>
      </c>
      <c r="B13" s="43"/>
      <c r="C13" s="43"/>
      <c r="D13" s="43"/>
      <c r="E13" s="43"/>
      <c r="F13" s="43"/>
      <c r="G13" s="43"/>
      <c r="H13" s="43"/>
      <c r="I13" s="224"/>
      <c r="J13" s="269"/>
      <c r="AD13" s="271"/>
    </row>
    <row r="14" spans="1:30" ht="15" x14ac:dyDescent="0.15">
      <c r="A14" s="224" t="s">
        <v>201</v>
      </c>
      <c r="B14" s="224" t="s">
        <v>265</v>
      </c>
      <c r="C14" s="224" t="s">
        <v>261</v>
      </c>
      <c r="D14" s="224" t="s">
        <v>246</v>
      </c>
      <c r="E14" s="224" t="s">
        <v>247</v>
      </c>
      <c r="F14" s="224" t="s">
        <v>110</v>
      </c>
      <c r="G14" s="224" t="s">
        <v>248</v>
      </c>
      <c r="H14" s="224" t="s">
        <v>111</v>
      </c>
      <c r="I14" s="43"/>
      <c r="J14" s="269"/>
      <c r="AD14" s="272"/>
    </row>
    <row r="15" spans="1:30" x14ac:dyDescent="0.15">
      <c r="A15" s="43" t="s">
        <v>190</v>
      </c>
      <c r="B15" s="273">
        <f>C22*m3_day/gal_min</f>
        <v>27254.970246657482</v>
      </c>
      <c r="C15" s="274">
        <f>H22*607.5/500</f>
        <v>41942.271068599875</v>
      </c>
      <c r="D15" s="273">
        <f>ROUNDUP(B$9/B15,0)</f>
        <v>15</v>
      </c>
      <c r="E15" s="275">
        <f>D15*C15</f>
        <v>629134.06602899812</v>
      </c>
      <c r="F15" s="43">
        <f>VLOOKUP("Pumps",cost_factors,2,FALSE)</f>
        <v>3.7</v>
      </c>
      <c r="G15" s="275">
        <f>E15*F15</f>
        <v>2327796.0443072934</v>
      </c>
      <c r="H15" s="43" t="s">
        <v>469</v>
      </c>
      <c r="I15" s="43"/>
      <c r="J15" s="269"/>
      <c r="N15" s="269"/>
      <c r="O15" s="269"/>
      <c r="AC15" s="269"/>
      <c r="AD15" s="272"/>
    </row>
    <row r="16" spans="1:30" x14ac:dyDescent="0.15">
      <c r="A16" s="43" t="s">
        <v>294</v>
      </c>
      <c r="B16" s="273">
        <f>C22*m3_day/gal_min</f>
        <v>27254.970246657482</v>
      </c>
      <c r="C16" s="275">
        <f>I25*607.5/500</f>
        <v>6778.6914640620998</v>
      </c>
      <c r="D16" s="273">
        <f>ROUNDUP(B$9/B16,0)</f>
        <v>15</v>
      </c>
      <c r="E16" s="275">
        <f>D16*C16</f>
        <v>101680.3719609315</v>
      </c>
      <c r="F16" s="43">
        <f>VLOOKUP("Pumps",cost_factors,2,FALSE)</f>
        <v>3.7</v>
      </c>
      <c r="G16" s="275">
        <f>E16*F16</f>
        <v>376217.37625544658</v>
      </c>
      <c r="H16" s="43" t="s">
        <v>469</v>
      </c>
      <c r="I16" s="43"/>
      <c r="J16" s="269"/>
      <c r="L16" s="19"/>
      <c r="M16" s="269"/>
      <c r="S16" s="276"/>
      <c r="T16" s="277"/>
      <c r="U16" s="269"/>
      <c r="V16" s="269"/>
      <c r="W16" s="278"/>
      <c r="X16" s="272"/>
      <c r="Z16" s="279"/>
      <c r="AA16" s="280"/>
      <c r="AC16" s="269"/>
      <c r="AD16" s="272"/>
    </row>
    <row r="17" spans="1:30" x14ac:dyDescent="0.15">
      <c r="A17" s="43" t="s">
        <v>295</v>
      </c>
      <c r="B17" s="281">
        <v>400000</v>
      </c>
      <c r="C17" s="274">
        <f>IF(B17&lt;B9,10*1000*(88.55733+(-87.38536*EXP(-0.0000015722*(B17)))),10*1000*(88.55733+(-87.38536*EXP(-0.0000015722*(B9)))))</f>
        <v>419644.48921303899</v>
      </c>
      <c r="D17" s="282">
        <f>IF(B17&lt;B9,1,B$9/B17)</f>
        <v>1</v>
      </c>
      <c r="E17" s="275">
        <f>D17*C17</f>
        <v>419644.48921303899</v>
      </c>
      <c r="F17" s="47">
        <f>VLOOKUP("Other",cost_factors,2,FALSE)</f>
        <v>1.3</v>
      </c>
      <c r="G17" s="275">
        <f>E17*F17</f>
        <v>545537.83597695071</v>
      </c>
      <c r="H17" s="43" t="s">
        <v>435</v>
      </c>
      <c r="I17" s="43"/>
      <c r="J17" s="269"/>
      <c r="L17" s="19"/>
      <c r="M17" s="269"/>
      <c r="S17" s="276"/>
      <c r="T17" s="277"/>
      <c r="U17" s="269"/>
      <c r="V17" s="269"/>
      <c r="W17" s="278"/>
      <c r="X17" s="272"/>
      <c r="Z17" s="279"/>
      <c r="AA17" s="280"/>
      <c r="AC17" s="269"/>
      <c r="AD17" s="272"/>
    </row>
    <row r="18" spans="1:30" x14ac:dyDescent="0.15">
      <c r="A18" s="224" t="s">
        <v>258</v>
      </c>
      <c r="B18" s="43"/>
      <c r="C18" s="275"/>
      <c r="D18" s="273"/>
      <c r="E18" s="275"/>
      <c r="F18" s="43"/>
      <c r="G18" s="283">
        <f>SUM(G15:G17)</f>
        <v>3249551.2565396908</v>
      </c>
      <c r="H18" s="43"/>
      <c r="I18" s="43"/>
      <c r="J18" s="269"/>
      <c r="L18" s="19"/>
      <c r="M18" s="269"/>
      <c r="S18" s="276"/>
      <c r="T18" s="277"/>
      <c r="U18" s="269"/>
      <c r="V18" s="269"/>
      <c r="W18" s="278"/>
      <c r="X18" s="272"/>
      <c r="Z18" s="279"/>
      <c r="AA18" s="280"/>
      <c r="AC18" s="269"/>
      <c r="AD18" s="272"/>
    </row>
    <row r="19" spans="1:30" x14ac:dyDescent="0.15">
      <c r="A19" s="43"/>
      <c r="B19" s="43"/>
      <c r="C19" s="43"/>
      <c r="D19" s="43"/>
      <c r="E19" s="43"/>
      <c r="F19" s="224"/>
      <c r="G19" s="43"/>
      <c r="H19" s="43"/>
      <c r="I19" s="43"/>
      <c r="L19" s="19"/>
      <c r="M19" s="269"/>
      <c r="S19" s="276"/>
      <c r="T19" s="277"/>
      <c r="U19" s="269"/>
      <c r="V19" s="269"/>
      <c r="W19" s="278"/>
      <c r="X19" s="272"/>
      <c r="Z19" s="279"/>
      <c r="AA19" s="280"/>
      <c r="AC19" s="269"/>
      <c r="AD19" s="272"/>
    </row>
    <row r="20" spans="1:30" x14ac:dyDescent="0.15">
      <c r="A20" s="270" t="s">
        <v>268</v>
      </c>
      <c r="B20" s="43"/>
      <c r="C20" s="43"/>
      <c r="D20" s="43"/>
      <c r="E20" s="43"/>
      <c r="F20" s="43"/>
      <c r="G20" s="43"/>
      <c r="H20" s="43"/>
      <c r="I20" s="43"/>
      <c r="L20" s="284"/>
      <c r="S20" s="276"/>
      <c r="T20" s="277"/>
      <c r="U20" s="269"/>
      <c r="V20" s="269"/>
      <c r="W20" s="278"/>
      <c r="X20" s="272"/>
      <c r="Z20" s="285"/>
      <c r="AA20" s="280"/>
      <c r="AC20" s="269"/>
      <c r="AD20" s="272"/>
    </row>
    <row r="21" spans="1:30" x14ac:dyDescent="0.15">
      <c r="A21" s="224" t="s">
        <v>251</v>
      </c>
      <c r="B21" s="224" t="s">
        <v>233</v>
      </c>
      <c r="C21" s="224" t="s">
        <v>257</v>
      </c>
      <c r="D21" s="224" t="s">
        <v>244</v>
      </c>
      <c r="E21" s="224" t="s">
        <v>253</v>
      </c>
      <c r="F21" s="224" t="s">
        <v>245</v>
      </c>
      <c r="G21" s="224" t="s">
        <v>254</v>
      </c>
      <c r="H21" s="224" t="s">
        <v>260</v>
      </c>
      <c r="I21" s="224" t="s">
        <v>111</v>
      </c>
      <c r="N21" s="269"/>
      <c r="O21" s="269"/>
      <c r="S21" s="286"/>
      <c r="T21" s="287"/>
      <c r="U21" s="269"/>
      <c r="V21" s="269"/>
      <c r="W21" s="278"/>
      <c r="X21" s="272"/>
      <c r="Z21" s="14"/>
      <c r="AA21" s="280"/>
      <c r="AC21" s="269"/>
      <c r="AD21" s="272"/>
    </row>
    <row r="22" spans="1:30" x14ac:dyDescent="0.15">
      <c r="A22" s="43">
        <v>4</v>
      </c>
      <c r="B22" s="43" t="str">
        <f>IF(B11&lt;VLOOKUP(A22,pump_types,8),"Yes","No")</f>
        <v>Yes</v>
      </c>
      <c r="C22" s="43">
        <f>VLOOKUP(A22,pump_types,6)</f>
        <v>5000</v>
      </c>
      <c r="D22" s="273">
        <f>C22*(B11^0.5)</f>
        <v>32324.173487363641</v>
      </c>
      <c r="E22" s="275">
        <f>EXP(9.7171-0.6019*LN(D22)+0.0519*LN(D22)^2)</f>
        <v>8630.0969276954474</v>
      </c>
      <c r="F22" s="43">
        <f>VLOOKUP("Stainless steel",pump_materials,2,FALSE)</f>
        <v>2</v>
      </c>
      <c r="G22" s="43">
        <f>VLOOKUP(A22,pump_types,10)</f>
        <v>2</v>
      </c>
      <c r="H22" s="275">
        <f>E22*F22*G22</f>
        <v>34520.38771078179</v>
      </c>
      <c r="I22" s="43" t="s">
        <v>266</v>
      </c>
      <c r="T22" s="288"/>
      <c r="U22" s="289"/>
      <c r="V22" s="269"/>
      <c r="W22" s="269"/>
      <c r="X22" s="278"/>
      <c r="Y22" s="272"/>
      <c r="AA22" s="14"/>
      <c r="AB22" s="285"/>
      <c r="AC22" s="285"/>
    </row>
    <row r="23" spans="1:30" x14ac:dyDescent="0.15">
      <c r="A23" s="43"/>
      <c r="B23" s="43"/>
      <c r="C23" s="43"/>
      <c r="D23" s="43"/>
      <c r="E23" s="43"/>
      <c r="F23" s="43"/>
      <c r="G23" s="43"/>
      <c r="H23" s="43"/>
      <c r="I23" s="43"/>
      <c r="V23" s="290"/>
      <c r="W23" s="13"/>
      <c r="Y23" s="272"/>
      <c r="AA23" s="14"/>
      <c r="AB23" s="14"/>
      <c r="AC23" s="14"/>
    </row>
    <row r="24" spans="1:30" x14ac:dyDescent="0.15">
      <c r="A24" s="224" t="s">
        <v>234</v>
      </c>
      <c r="B24" s="224" t="s">
        <v>233</v>
      </c>
      <c r="C24" s="224" t="s">
        <v>126</v>
      </c>
      <c r="D24" s="224" t="s">
        <v>255</v>
      </c>
      <c r="E24" s="224" t="s">
        <v>121</v>
      </c>
      <c r="F24" s="224" t="s">
        <v>127</v>
      </c>
      <c r="G24" s="224" t="s">
        <v>249</v>
      </c>
      <c r="H24" s="224" t="s">
        <v>250</v>
      </c>
      <c r="I24" s="224" t="s">
        <v>260</v>
      </c>
      <c r="W24" s="269"/>
      <c r="X24" s="278"/>
      <c r="Y24" s="272"/>
      <c r="AA24" s="285"/>
      <c r="AB24" s="285"/>
      <c r="AC24" s="285"/>
    </row>
    <row r="25" spans="1:30" x14ac:dyDescent="0.15">
      <c r="A25" s="43">
        <v>2</v>
      </c>
      <c r="B25" s="43" t="str">
        <f>IF(AND(D25&lt;VLOOKUP(A25,motor_types,5),VLOOKUP(A25,motor_types,3)=VLOOKUP(A22,pump_types,3)),"Yes","No")</f>
        <v>Yes</v>
      </c>
      <c r="C25" s="80">
        <f>-0.316+0.24015*(LN(C22))-0.01199*(LN(C22))^2</f>
        <v>0.85961841239832293</v>
      </c>
      <c r="D25" s="273">
        <f>C22*B11*density/(33000*C25)</f>
        <v>63.941810604659089</v>
      </c>
      <c r="E25" s="80">
        <f>0.8+(0.0319*(LN(D25)))-(0.000182*(LN(D25))^2)</f>
        <v>0.92949280210894381</v>
      </c>
      <c r="F25" s="273">
        <f>D25/E25</f>
        <v>68.792152515415182</v>
      </c>
      <c r="G25" s="275">
        <f>EXP(5.8259+0.13141*LN(F25)+0.053255*LN(F25)^2+0.028628*LN(F25)^3-0.0035549*LN(F25)^4)</f>
        <v>4291.6691763609369</v>
      </c>
      <c r="H25" s="43">
        <f>VLOOKUP(A25,motor_types,6)</f>
        <v>1.3</v>
      </c>
      <c r="I25" s="275">
        <f>G25*H25</f>
        <v>5579.1699292692183</v>
      </c>
      <c r="M25" s="13"/>
      <c r="O25" s="286"/>
      <c r="Q25" s="18"/>
      <c r="W25" s="269"/>
      <c r="X25" s="278"/>
      <c r="Y25" s="272"/>
    </row>
    <row r="26" spans="1:30" x14ac:dyDescent="0.15">
      <c r="L26" s="286"/>
      <c r="M26" s="9"/>
      <c r="O26" s="286"/>
      <c r="Q26" s="286"/>
      <c r="R26" s="286"/>
      <c r="V26" s="13"/>
      <c r="W26" s="291"/>
      <c r="X26" s="292"/>
    </row>
    <row r="27" spans="1:30" x14ac:dyDescent="0.15">
      <c r="L27" s="286"/>
      <c r="M27" s="9"/>
      <c r="O27" s="286"/>
      <c r="Q27" s="286"/>
      <c r="R27" s="286"/>
      <c r="S27" s="286"/>
      <c r="T27" s="286"/>
    </row>
    <row r="28" spans="1:30" ht="16" x14ac:dyDescent="0.2">
      <c r="A28" s="49" t="s">
        <v>113</v>
      </c>
      <c r="B28" s="50"/>
      <c r="C28" s="50"/>
      <c r="D28" s="50"/>
      <c r="E28" s="49"/>
      <c r="F28" s="50"/>
      <c r="G28" s="50"/>
      <c r="H28" s="50"/>
      <c r="I28" s="50"/>
      <c r="M28" s="286"/>
      <c r="N28" s="9"/>
      <c r="P28" s="286"/>
      <c r="R28" s="286"/>
      <c r="S28" s="286"/>
      <c r="T28" s="286"/>
      <c r="U28" s="286"/>
    </row>
    <row r="29" spans="1:30" s="84" customFormat="1" ht="16" x14ac:dyDescent="0.2">
      <c r="A29" s="51" t="s">
        <v>198</v>
      </c>
      <c r="B29" s="79">
        <v>1</v>
      </c>
      <c r="C29" s="51"/>
      <c r="D29" s="51"/>
      <c r="E29" s="51"/>
      <c r="F29" s="53" t="s">
        <v>315</v>
      </c>
      <c r="G29" s="293">
        <f>G39</f>
        <v>4220777.5509378407</v>
      </c>
      <c r="H29" s="294"/>
      <c r="I29" s="51"/>
      <c r="M29" s="288"/>
      <c r="N29" s="21"/>
      <c r="P29" s="295"/>
      <c r="R29" s="295"/>
      <c r="S29" s="295"/>
      <c r="T29" s="295"/>
      <c r="U29" s="295"/>
    </row>
    <row r="30" spans="1:30" ht="16" x14ac:dyDescent="0.2">
      <c r="A30" s="51" t="s">
        <v>196</v>
      </c>
      <c r="B30" s="52">
        <f>m3_day*B29</f>
        <v>400000</v>
      </c>
      <c r="C30" s="51" t="s">
        <v>262</v>
      </c>
      <c r="D30" s="51"/>
      <c r="E30" s="51"/>
      <c r="F30" s="54" t="s">
        <v>263</v>
      </c>
      <c r="G30" s="296">
        <v>0</v>
      </c>
      <c r="H30" s="297" t="s">
        <v>132</v>
      </c>
      <c r="I30" s="51"/>
      <c r="M30" s="288"/>
      <c r="N30" s="9"/>
      <c r="P30" s="286"/>
      <c r="R30" s="286"/>
      <c r="S30" s="286"/>
      <c r="T30" s="286"/>
      <c r="U30" s="286"/>
    </row>
    <row r="31" spans="1:30" x14ac:dyDescent="0.15">
      <c r="A31" s="51" t="s">
        <v>197</v>
      </c>
      <c r="B31" s="599">
        <v>0.25</v>
      </c>
      <c r="C31" s="51" t="s">
        <v>173</v>
      </c>
      <c r="D31" s="298" t="s">
        <v>496</v>
      </c>
      <c r="E31" s="51"/>
      <c r="F31" s="51"/>
      <c r="G31" s="51"/>
      <c r="H31" s="51"/>
      <c r="I31" s="51"/>
      <c r="M31" s="269"/>
      <c r="N31" s="269"/>
      <c r="R31" s="286"/>
      <c r="S31" s="286"/>
      <c r="T31" s="286"/>
      <c r="U31" s="286"/>
      <c r="Y31" s="10"/>
    </row>
    <row r="32" spans="1:30" x14ac:dyDescent="0.15">
      <c r="A32" s="51" t="s">
        <v>232</v>
      </c>
      <c r="B32" s="55">
        <f>B31*bar_to_fthead</f>
        <v>8.358817533129459</v>
      </c>
      <c r="C32" s="51" t="s">
        <v>123</v>
      </c>
      <c r="D32" s="51"/>
      <c r="E32" s="51"/>
      <c r="F32" s="51"/>
      <c r="G32" s="51"/>
      <c r="H32" s="51"/>
      <c r="I32" s="51"/>
      <c r="M32" s="269"/>
      <c r="N32" s="269"/>
      <c r="Y32" s="276"/>
    </row>
    <row r="33" spans="1:34" x14ac:dyDescent="0.15">
      <c r="A33" s="51"/>
      <c r="B33" s="51"/>
      <c r="C33" s="51"/>
      <c r="D33" s="51"/>
      <c r="E33" s="51"/>
      <c r="F33" s="51"/>
      <c r="G33" s="51"/>
      <c r="H33" s="51"/>
      <c r="I33" s="51"/>
      <c r="J33" s="13"/>
      <c r="K33" s="84"/>
      <c r="L33" s="84"/>
      <c r="M33" s="13"/>
      <c r="N33" s="13"/>
      <c r="Y33" s="299"/>
    </row>
    <row r="34" spans="1:34" x14ac:dyDescent="0.15">
      <c r="A34" s="300" t="s">
        <v>264</v>
      </c>
      <c r="B34" s="51"/>
      <c r="C34" s="51"/>
      <c r="D34" s="51"/>
      <c r="E34" s="51"/>
      <c r="F34" s="51"/>
      <c r="G34" s="51"/>
      <c r="H34" s="51"/>
      <c r="I34" s="173"/>
      <c r="J34" s="13"/>
      <c r="K34" s="507"/>
      <c r="L34" s="278"/>
      <c r="O34" s="14"/>
      <c r="R34" s="269"/>
      <c r="S34" s="301"/>
      <c r="U34" s="269"/>
    </row>
    <row r="35" spans="1:34" ht="15" x14ac:dyDescent="0.15">
      <c r="A35" s="173" t="s">
        <v>201</v>
      </c>
      <c r="B35" s="173" t="s">
        <v>265</v>
      </c>
      <c r="C35" s="173" t="s">
        <v>261</v>
      </c>
      <c r="D35" s="173" t="s">
        <v>246</v>
      </c>
      <c r="E35" s="173" t="s">
        <v>247</v>
      </c>
      <c r="F35" s="173" t="s">
        <v>110</v>
      </c>
      <c r="G35" s="173" t="s">
        <v>248</v>
      </c>
      <c r="H35" s="173" t="s">
        <v>111</v>
      </c>
      <c r="I35" s="51"/>
      <c r="J35" s="269"/>
      <c r="K35" s="508"/>
      <c r="L35" s="278"/>
      <c r="R35" s="269"/>
      <c r="S35" s="301"/>
      <c r="U35" s="269"/>
    </row>
    <row r="36" spans="1:34" x14ac:dyDescent="0.15">
      <c r="A36" s="51" t="s">
        <v>202</v>
      </c>
      <c r="B36" s="51"/>
      <c r="C36" s="51"/>
      <c r="D36" s="51"/>
      <c r="E36" s="51"/>
      <c r="F36" s="51"/>
      <c r="G36" s="302">
        <v>0</v>
      </c>
      <c r="H36" s="51" t="s">
        <v>267</v>
      </c>
      <c r="I36" s="51"/>
      <c r="J36" s="269"/>
      <c r="K36" s="507"/>
      <c r="L36" s="278"/>
      <c r="R36" s="269"/>
      <c r="S36" s="301"/>
      <c r="U36" s="269"/>
    </row>
    <row r="37" spans="1:34" x14ac:dyDescent="0.15">
      <c r="A37" s="51" t="s">
        <v>218</v>
      </c>
      <c r="B37" s="51"/>
      <c r="C37" s="51"/>
      <c r="D37" s="51"/>
      <c r="E37" s="51"/>
      <c r="F37" s="51"/>
      <c r="G37" s="302">
        <v>0</v>
      </c>
      <c r="H37" s="51" t="s">
        <v>267</v>
      </c>
      <c r="I37" s="51"/>
      <c r="J37" s="269"/>
      <c r="K37" s="508"/>
      <c r="L37" s="278"/>
      <c r="R37" s="269"/>
      <c r="S37" s="301"/>
      <c r="U37" s="269"/>
    </row>
    <row r="38" spans="1:34" x14ac:dyDescent="0.15">
      <c r="A38" s="51" t="s">
        <v>147</v>
      </c>
      <c r="B38" s="303">
        <v>400000</v>
      </c>
      <c r="C38" s="304">
        <f>IF(B30&lt;B38,1000*(7245.16976+(-7253.75113*EXP(-0.00000148905*(B30)))),1000*(7245.16976+(-7253.75113*EXP(-0.00000148905*(B38)))))</f>
        <v>3246751.962259877</v>
      </c>
      <c r="D38" s="305">
        <f>IF(B30&lt;B38,1,B$30/B38)</f>
        <v>1</v>
      </c>
      <c r="E38" s="302">
        <f>D38*C38</f>
        <v>3246751.962259877</v>
      </c>
      <c r="F38" s="396">
        <f>VLOOKUP("Other",cost_factors,2,FALSE)</f>
        <v>1.3</v>
      </c>
      <c r="G38" s="302">
        <f>E38*F38</f>
        <v>4220777.5509378407</v>
      </c>
      <c r="H38" s="51" t="s">
        <v>436</v>
      </c>
      <c r="I38" s="51"/>
      <c r="K38" s="507"/>
      <c r="L38" s="278"/>
      <c r="O38" s="13"/>
      <c r="R38" s="269"/>
      <c r="S38" s="301"/>
      <c r="U38" s="269"/>
      <c r="Y38" s="11"/>
      <c r="Z38" s="11"/>
      <c r="AA38" s="11"/>
      <c r="AH38" s="19"/>
    </row>
    <row r="39" spans="1:34" x14ac:dyDescent="0.15">
      <c r="A39" s="173" t="s">
        <v>258</v>
      </c>
      <c r="B39" s="51"/>
      <c r="C39" s="302"/>
      <c r="D39" s="306"/>
      <c r="E39" s="302"/>
      <c r="F39" s="51"/>
      <c r="G39" s="307">
        <f>SUM(G38:G38)</f>
        <v>4220777.5509378407</v>
      </c>
      <c r="H39" s="51"/>
      <c r="I39" s="51"/>
      <c r="J39" s="13"/>
      <c r="K39" s="508"/>
      <c r="L39" s="278"/>
      <c r="Y39" s="11"/>
    </row>
    <row r="40" spans="1:34" x14ac:dyDescent="0.15">
      <c r="C40" s="323"/>
      <c r="E40" s="323"/>
      <c r="F40" s="323"/>
      <c r="K40" s="507"/>
      <c r="L40" s="278"/>
    </row>
    <row r="41" spans="1:34" x14ac:dyDescent="0.15">
      <c r="D41" s="323"/>
      <c r="E41" s="323"/>
      <c r="F41" s="323"/>
      <c r="K41" s="508"/>
      <c r="L41" s="278"/>
    </row>
    <row r="42" spans="1:34" ht="16" x14ac:dyDescent="0.2">
      <c r="A42" s="56" t="s">
        <v>192</v>
      </c>
      <c r="B42" s="57"/>
      <c r="C42" s="57"/>
      <c r="D42" s="57"/>
      <c r="E42" s="56"/>
      <c r="F42" s="57"/>
      <c r="G42" s="57"/>
      <c r="H42" s="57"/>
      <c r="I42" s="57"/>
      <c r="J42" s="308"/>
      <c r="K42" s="507"/>
      <c r="L42" s="278"/>
    </row>
    <row r="43" spans="1:34" ht="15" customHeight="1" x14ac:dyDescent="0.2">
      <c r="A43" s="58" t="s">
        <v>297</v>
      </c>
      <c r="B43" s="426">
        <f>multiplier*fraction_oceanwater</f>
        <v>2.5665976521313357E-2</v>
      </c>
      <c r="C43" s="58"/>
      <c r="D43" s="58"/>
      <c r="E43" s="58"/>
      <c r="F43" s="60" t="s">
        <v>315</v>
      </c>
      <c r="G43" s="309">
        <f>G54</f>
        <v>2236588.0413373508</v>
      </c>
      <c r="H43" s="310"/>
      <c r="I43" s="58"/>
      <c r="J43" s="269"/>
      <c r="K43" s="508"/>
      <c r="L43" s="278"/>
    </row>
    <row r="44" spans="1:34" ht="16" x14ac:dyDescent="0.2">
      <c r="A44" s="58" t="s">
        <v>298</v>
      </c>
      <c r="B44" s="59">
        <f>m3_day*B43/B47</f>
        <v>10475.908784209532</v>
      </c>
      <c r="C44" s="58" t="s">
        <v>262</v>
      </c>
      <c r="D44" s="58"/>
      <c r="E44" s="58"/>
      <c r="F44" s="61" t="s">
        <v>263</v>
      </c>
      <c r="G44" s="311">
        <f>B45*bar_to_pa/(m3OW_to_kgCO2*E61*C61)*1/kWh_to_Ws*B43</f>
        <v>2.2696791380919523E-2</v>
      </c>
      <c r="H44" s="312" t="s">
        <v>132</v>
      </c>
      <c r="I44" s="58"/>
      <c r="J44" s="269"/>
      <c r="K44" s="507"/>
      <c r="L44" s="278"/>
    </row>
    <row r="45" spans="1:34" x14ac:dyDescent="0.15">
      <c r="A45" s="58" t="s">
        <v>197</v>
      </c>
      <c r="B45" s="62">
        <v>2</v>
      </c>
      <c r="C45" s="58" t="s">
        <v>173</v>
      </c>
      <c r="D45" s="313" t="s">
        <v>437</v>
      </c>
      <c r="E45" s="58"/>
      <c r="F45" s="58"/>
      <c r="G45" s="58"/>
      <c r="H45" s="58"/>
      <c r="I45" s="58"/>
      <c r="J45" s="269"/>
      <c r="K45" s="508"/>
      <c r="L45" s="278"/>
    </row>
    <row r="46" spans="1:34" x14ac:dyDescent="0.15">
      <c r="A46" s="58" t="s">
        <v>232</v>
      </c>
      <c r="B46" s="63">
        <f>B45*bar_to_fthead</f>
        <v>66.870540265035672</v>
      </c>
      <c r="C46" s="58" t="s">
        <v>123</v>
      </c>
      <c r="D46" s="58"/>
      <c r="E46" s="58"/>
      <c r="F46" s="58"/>
      <c r="G46" s="58"/>
      <c r="H46" s="58"/>
      <c r="I46" s="58"/>
      <c r="J46" s="13"/>
      <c r="K46" s="507"/>
      <c r="L46" s="278"/>
    </row>
    <row r="47" spans="1:34" x14ac:dyDescent="0.15">
      <c r="A47" s="58" t="s">
        <v>188</v>
      </c>
      <c r="B47" s="78">
        <v>0.98</v>
      </c>
      <c r="C47" s="58"/>
      <c r="D47" s="58"/>
      <c r="E47" s="58"/>
      <c r="F47" s="58"/>
      <c r="G47" s="58"/>
      <c r="H47" s="58"/>
      <c r="I47" s="58"/>
      <c r="J47" s="13"/>
      <c r="K47" s="508"/>
      <c r="L47" s="278"/>
    </row>
    <row r="48" spans="1:34" ht="13" customHeight="1" x14ac:dyDescent="0.15">
      <c r="A48" s="58"/>
      <c r="B48" s="58"/>
      <c r="C48" s="58"/>
      <c r="D48" s="58"/>
      <c r="E48" s="58"/>
      <c r="F48" s="58"/>
      <c r="G48" s="58"/>
      <c r="H48" s="58"/>
      <c r="I48" s="58"/>
      <c r="K48" s="507"/>
      <c r="L48" s="278"/>
    </row>
    <row r="49" spans="1:17" x14ac:dyDescent="0.15">
      <c r="A49" s="315" t="s">
        <v>264</v>
      </c>
      <c r="B49" s="58"/>
      <c r="C49" s="58"/>
      <c r="D49" s="58"/>
      <c r="E49" s="58"/>
      <c r="F49" s="58"/>
      <c r="G49" s="58"/>
      <c r="H49" s="58"/>
      <c r="I49" s="316"/>
      <c r="K49" s="508"/>
      <c r="L49" s="278"/>
    </row>
    <row r="50" spans="1:17" ht="15" x14ac:dyDescent="0.15">
      <c r="A50" s="316" t="s">
        <v>201</v>
      </c>
      <c r="B50" s="316" t="s">
        <v>265</v>
      </c>
      <c r="C50" s="316" t="s">
        <v>261</v>
      </c>
      <c r="D50" s="316" t="s">
        <v>246</v>
      </c>
      <c r="E50" s="316" t="s">
        <v>247</v>
      </c>
      <c r="F50" s="316" t="s">
        <v>110</v>
      </c>
      <c r="G50" s="316" t="s">
        <v>248</v>
      </c>
      <c r="H50" s="316" t="s">
        <v>111</v>
      </c>
      <c r="I50" s="58"/>
      <c r="J50" s="13"/>
      <c r="K50" s="507"/>
      <c r="L50" s="278"/>
      <c r="O50" s="269"/>
    </row>
    <row r="51" spans="1:17" x14ac:dyDescent="0.15">
      <c r="A51" s="58" t="s">
        <v>193</v>
      </c>
      <c r="B51" s="319">
        <f>C58*m3_day/gal_min</f>
        <v>27254.970246657482</v>
      </c>
      <c r="C51" s="321">
        <f>H58*607.5/500</f>
        <v>47040.136166584045</v>
      </c>
      <c r="D51" s="319">
        <f>ROUNDUP(B$44/B51,0)</f>
        <v>1</v>
      </c>
      <c r="E51" s="318">
        <f>D51*C51</f>
        <v>47040.136166584045</v>
      </c>
      <c r="F51" s="58">
        <f>VLOOKUP("Pumps",cost_factors,2,FALSE)</f>
        <v>3.7</v>
      </c>
      <c r="G51" s="318">
        <f>E51*F51</f>
        <v>174048.50381636099</v>
      </c>
      <c r="H51" s="58" t="s">
        <v>469</v>
      </c>
      <c r="I51" s="58"/>
      <c r="K51" s="508"/>
      <c r="L51" s="278"/>
    </row>
    <row r="52" spans="1:17" x14ac:dyDescent="0.15">
      <c r="A52" s="58" t="s">
        <v>296</v>
      </c>
      <c r="B52" s="319">
        <f>C58*m3_day/gal_min</f>
        <v>27254.970246657482</v>
      </c>
      <c r="C52" s="318">
        <f>I61*607.5/500</f>
        <v>10935.221847849931</v>
      </c>
      <c r="D52" s="319">
        <f>ROUNDUP(B$44/B52,0)</f>
        <v>1</v>
      </c>
      <c r="E52" s="318">
        <f>D52*C52</f>
        <v>10935.221847849931</v>
      </c>
      <c r="F52" s="58">
        <f>VLOOKUP("Pumps",cost_factors,2,FALSE)</f>
        <v>3.7</v>
      </c>
      <c r="G52" s="318">
        <f>E52*F52</f>
        <v>40460.320837044746</v>
      </c>
      <c r="H52" s="58" t="s">
        <v>469</v>
      </c>
      <c r="I52" s="58"/>
      <c r="J52" s="14"/>
      <c r="K52" s="507"/>
      <c r="L52" s="278"/>
    </row>
    <row r="53" spans="1:17" x14ac:dyDescent="0.15">
      <c r="A53" s="58" t="s">
        <v>195</v>
      </c>
      <c r="B53" s="320">
        <v>400000</v>
      </c>
      <c r="C53" s="321">
        <f>IF(B44&lt;B53,1000*(-0.00000003*B44^2+0.0582*B44+949.04),1000*(-0.00000003*B53^2+0.0582*B53+949.04))</f>
        <v>1555445.5512953424</v>
      </c>
      <c r="D53" s="427">
        <f>IF(AND(B44&lt;B53,B44&gt;0),1,B$44/B53)</f>
        <v>1</v>
      </c>
      <c r="E53" s="318">
        <f>D53*C53</f>
        <v>1555445.5512953424</v>
      </c>
      <c r="F53" s="62">
        <f>VLOOKUP("Other",cost_factors,2,FALSE)</f>
        <v>1.3</v>
      </c>
      <c r="G53" s="318">
        <f>E53*F53</f>
        <v>2022079.2166839452</v>
      </c>
      <c r="H53" s="58" t="s">
        <v>474</v>
      </c>
      <c r="I53" s="58"/>
      <c r="J53" s="269"/>
      <c r="K53" s="508"/>
      <c r="L53" s="278"/>
    </row>
    <row r="54" spans="1:17" x14ac:dyDescent="0.15">
      <c r="A54" s="316" t="s">
        <v>258</v>
      </c>
      <c r="B54" s="58"/>
      <c r="C54" s="318"/>
      <c r="D54" s="319"/>
      <c r="E54" s="318"/>
      <c r="F54" s="58"/>
      <c r="G54" s="322">
        <f>SUM(G51:G53)</f>
        <v>2236588.0413373508</v>
      </c>
      <c r="H54" s="58"/>
      <c r="I54" s="58"/>
      <c r="J54" s="13"/>
      <c r="K54" s="507"/>
      <c r="L54" s="278"/>
    </row>
    <row r="55" spans="1:17" x14ac:dyDescent="0.15">
      <c r="A55" s="58"/>
      <c r="B55" s="58"/>
      <c r="C55" s="58"/>
      <c r="D55" s="58"/>
      <c r="E55" s="58"/>
      <c r="F55" s="316"/>
      <c r="G55" s="58"/>
      <c r="H55" s="58"/>
      <c r="I55" s="58"/>
      <c r="J55" s="317"/>
      <c r="K55" s="508"/>
      <c r="L55" s="278"/>
    </row>
    <row r="56" spans="1:17" x14ac:dyDescent="0.15">
      <c r="A56" s="315" t="s">
        <v>268</v>
      </c>
      <c r="B56" s="58"/>
      <c r="C56" s="58"/>
      <c r="D56" s="58"/>
      <c r="E56" s="58"/>
      <c r="F56" s="58"/>
      <c r="G56" s="58"/>
      <c r="H56" s="58"/>
      <c r="I56" s="58"/>
      <c r="J56" s="314"/>
      <c r="K56" s="507"/>
      <c r="L56" s="278"/>
    </row>
    <row r="57" spans="1:17" x14ac:dyDescent="0.15">
      <c r="A57" s="316" t="s">
        <v>251</v>
      </c>
      <c r="B57" s="316" t="s">
        <v>233</v>
      </c>
      <c r="C57" s="316" t="s">
        <v>257</v>
      </c>
      <c r="D57" s="316" t="s">
        <v>244</v>
      </c>
      <c r="E57" s="316" t="s">
        <v>253</v>
      </c>
      <c r="F57" s="316" t="s">
        <v>245</v>
      </c>
      <c r="G57" s="316" t="s">
        <v>254</v>
      </c>
      <c r="H57" s="316" t="s">
        <v>260</v>
      </c>
      <c r="I57" s="316" t="s">
        <v>111</v>
      </c>
      <c r="J57" s="11"/>
      <c r="K57" s="508"/>
      <c r="L57" s="278"/>
    </row>
    <row r="58" spans="1:17" x14ac:dyDescent="0.15">
      <c r="A58" s="58">
        <v>4</v>
      </c>
      <c r="B58" s="58" t="str">
        <f>IF(B46&lt;VLOOKUP(A58,pump_types,8),"Yes","No")</f>
        <v>Yes</v>
      </c>
      <c r="C58" s="58">
        <f>VLOOKUP(A58,pump_types,6)</f>
        <v>5000</v>
      </c>
      <c r="D58" s="319">
        <f>C58*(B46^0.5)</f>
        <v>40887.204680998817</v>
      </c>
      <c r="E58" s="318">
        <f>EXP(9.7171-0.6019*LN(D58)+0.0519*LN(D58)^2)</f>
        <v>9679.0403634946597</v>
      </c>
      <c r="F58" s="58">
        <f>VLOOKUP("Stainless steel",pump_materials,2,FALSE)</f>
        <v>2</v>
      </c>
      <c r="G58" s="58">
        <f>VLOOKUP(A58,pump_types,10)</f>
        <v>2</v>
      </c>
      <c r="H58" s="318">
        <f>E58*F58*G58</f>
        <v>38716.161453978639</v>
      </c>
      <c r="I58" s="58"/>
      <c r="J58" s="269"/>
      <c r="K58" s="507"/>
      <c r="L58" s="278"/>
    </row>
    <row r="59" spans="1:17" x14ac:dyDescent="0.15">
      <c r="A59" s="58"/>
      <c r="B59" s="58"/>
      <c r="C59" s="58"/>
      <c r="D59" s="58"/>
      <c r="E59" s="58"/>
      <c r="F59" s="58"/>
      <c r="G59" s="58"/>
      <c r="H59" s="58"/>
      <c r="I59" s="58"/>
      <c r="J59" s="269"/>
      <c r="K59" s="508"/>
      <c r="L59" s="278"/>
    </row>
    <row r="60" spans="1:17" x14ac:dyDescent="0.15">
      <c r="A60" s="316" t="s">
        <v>234</v>
      </c>
      <c r="B60" s="316" t="s">
        <v>233</v>
      </c>
      <c r="C60" s="316" t="s">
        <v>126</v>
      </c>
      <c r="D60" s="316" t="s">
        <v>255</v>
      </c>
      <c r="E60" s="316" t="s">
        <v>121</v>
      </c>
      <c r="F60" s="316" t="s">
        <v>127</v>
      </c>
      <c r="G60" s="316" t="s">
        <v>249</v>
      </c>
      <c r="H60" s="316" t="s">
        <v>250</v>
      </c>
      <c r="I60" s="316" t="s">
        <v>260</v>
      </c>
      <c r="J60" s="269"/>
      <c r="K60" s="507"/>
      <c r="L60" s="278"/>
      <c r="O60" s="13"/>
      <c r="P60" s="13"/>
    </row>
    <row r="61" spans="1:17" x14ac:dyDescent="0.15">
      <c r="A61" s="58">
        <v>2</v>
      </c>
      <c r="B61" s="58" t="str">
        <f>IF(AND(D61&lt;VLOOKUP(A61,motor_types,5),VLOOKUP(A61,motor_types,3)=VLOOKUP(A58,pump_types,3)),"Yes","No")</f>
        <v>Yes</v>
      </c>
      <c r="C61" s="78">
        <f>-0.316+0.24015*(LN(C58))-0.01199*(LN(C58))^2</f>
        <v>0.85961841239832293</v>
      </c>
      <c r="D61" s="319">
        <f>C58*B46*density/(33000*C61)</f>
        <v>102.30689696745455</v>
      </c>
      <c r="E61" s="78">
        <f>0.8+(0.0319*(LN(D61)))-(0.000182*(LN(D61))^2)</f>
        <v>0.94373436186849891</v>
      </c>
      <c r="F61" s="319">
        <f>D61/E61</f>
        <v>108.40645535561215</v>
      </c>
      <c r="G61" s="318">
        <f>EXP(5.8259+0.13141*LN(F61)+0.053255*LN(F61)^2+0.028628*LN(F61)^3-0.0035549*LN(F61)^4)</f>
        <v>6923.217377556145</v>
      </c>
      <c r="H61" s="58">
        <f>VLOOKUP(A61,motor_types,6)</f>
        <v>1.3</v>
      </c>
      <c r="I61" s="318">
        <f>G61*H61</f>
        <v>9000.1825908229894</v>
      </c>
      <c r="J61" s="286"/>
      <c r="K61" s="508"/>
      <c r="L61" s="278"/>
      <c r="O61" s="13"/>
      <c r="P61" s="13"/>
    </row>
    <row r="62" spans="1:17" x14ac:dyDescent="0.15">
      <c r="J62" s="13"/>
      <c r="K62" s="507"/>
      <c r="L62" s="278"/>
      <c r="O62" s="269"/>
      <c r="P62" s="286"/>
      <c r="Q62" s="269"/>
    </row>
    <row r="63" spans="1:17" x14ac:dyDescent="0.15">
      <c r="K63" s="508"/>
      <c r="L63" s="278"/>
      <c r="O63" s="269"/>
      <c r="Q63" s="269"/>
    </row>
    <row r="64" spans="1:17" ht="16" x14ac:dyDescent="0.2">
      <c r="A64" s="68" t="s">
        <v>148</v>
      </c>
      <c r="B64" s="69"/>
      <c r="C64" s="69"/>
      <c r="D64" s="69"/>
      <c r="E64" s="68"/>
      <c r="F64" s="69"/>
      <c r="G64" s="69"/>
      <c r="H64" s="69"/>
      <c r="I64" s="69"/>
      <c r="K64" s="507"/>
      <c r="L64" s="278"/>
      <c r="P64" s="286"/>
      <c r="Q64" s="269"/>
    </row>
    <row r="65" spans="1:17" ht="16" x14ac:dyDescent="0.2">
      <c r="A65" s="70" t="s">
        <v>297</v>
      </c>
      <c r="B65" s="77">
        <f>1*fraction_oceanwater</f>
        <v>6.4164941303283393E-3</v>
      </c>
      <c r="C65" s="70"/>
      <c r="D65" s="70"/>
      <c r="E65" s="70"/>
      <c r="F65" s="72" t="s">
        <v>315</v>
      </c>
      <c r="G65" s="324">
        <f>G76</f>
        <v>467876.25618050236</v>
      </c>
      <c r="H65" s="325"/>
      <c r="I65" s="70"/>
      <c r="K65" s="508"/>
      <c r="L65" s="278"/>
      <c r="P65" s="286"/>
      <c r="Q65" s="269"/>
    </row>
    <row r="66" spans="1:17" ht="16" x14ac:dyDescent="0.2">
      <c r="A66" s="70" t="s">
        <v>298</v>
      </c>
      <c r="B66" s="71">
        <f>m3_day*B65/B69</f>
        <v>2851.7751690348173</v>
      </c>
      <c r="C66" s="70" t="s">
        <v>262</v>
      </c>
      <c r="D66" s="70"/>
      <c r="E66" s="70"/>
      <c r="F66" s="73" t="s">
        <v>263</v>
      </c>
      <c r="G66" s="326">
        <f>B67*bar_to_pa/(m3OW_to_kgCO2*E83*C83)*1/kWh_to_Ws*B65</f>
        <v>1.9809764573611915E-2</v>
      </c>
      <c r="H66" s="327" t="s">
        <v>132</v>
      </c>
      <c r="I66" s="70"/>
      <c r="K66" s="507"/>
      <c r="L66" s="278"/>
      <c r="O66" s="269"/>
      <c r="P66" s="286"/>
      <c r="Q66" s="269"/>
    </row>
    <row r="67" spans="1:17" x14ac:dyDescent="0.15">
      <c r="A67" s="70" t="s">
        <v>197</v>
      </c>
      <c r="B67" s="74">
        <v>6.5</v>
      </c>
      <c r="C67" s="70" t="s">
        <v>173</v>
      </c>
      <c r="D67" s="40" t="s">
        <v>440</v>
      </c>
      <c r="E67" s="70"/>
      <c r="F67" s="70"/>
      <c r="G67" s="70"/>
      <c r="H67" s="70"/>
      <c r="I67" s="70"/>
      <c r="K67" s="508"/>
      <c r="L67" s="278"/>
      <c r="O67" s="269"/>
      <c r="P67" s="323"/>
      <c r="Q67" s="269"/>
    </row>
    <row r="68" spans="1:17" x14ac:dyDescent="0.15">
      <c r="A68" s="70" t="s">
        <v>232</v>
      </c>
      <c r="B68" s="75">
        <f>B67*bar_to_fthead</f>
        <v>217.32925586136594</v>
      </c>
      <c r="C68" s="70" t="s">
        <v>123</v>
      </c>
      <c r="D68" s="70"/>
      <c r="E68" s="70"/>
      <c r="F68" s="70"/>
      <c r="G68" s="70"/>
      <c r="H68" s="70"/>
      <c r="I68" s="70"/>
      <c r="K68" s="507"/>
      <c r="L68" s="278"/>
      <c r="O68" s="269"/>
      <c r="P68" s="286"/>
      <c r="Q68" s="269"/>
    </row>
    <row r="69" spans="1:17" x14ac:dyDescent="0.15">
      <c r="A69" s="70" t="s">
        <v>188</v>
      </c>
      <c r="B69" s="76">
        <v>0.9</v>
      </c>
      <c r="C69" s="70"/>
      <c r="D69" s="70"/>
      <c r="E69" s="70"/>
      <c r="F69" s="70"/>
      <c r="G69" s="70"/>
      <c r="H69" s="70"/>
      <c r="I69" s="70"/>
      <c r="K69" s="508"/>
      <c r="L69" s="278"/>
      <c r="O69" s="269"/>
      <c r="P69" s="286"/>
      <c r="Q69" s="269"/>
    </row>
    <row r="70" spans="1:17" x14ac:dyDescent="0.15">
      <c r="A70" s="70"/>
      <c r="B70" s="70"/>
      <c r="C70" s="70"/>
      <c r="D70" s="70"/>
      <c r="E70" s="70"/>
      <c r="F70" s="70"/>
      <c r="G70" s="70"/>
      <c r="H70" s="70"/>
      <c r="I70" s="70"/>
      <c r="K70" s="507"/>
      <c r="L70" s="278"/>
    </row>
    <row r="71" spans="1:17" x14ac:dyDescent="0.15">
      <c r="A71" s="328" t="s">
        <v>264</v>
      </c>
      <c r="B71" s="70"/>
      <c r="C71" s="70"/>
      <c r="D71" s="70"/>
      <c r="E71" s="70"/>
      <c r="F71" s="70"/>
      <c r="G71" s="70"/>
      <c r="H71" s="70"/>
      <c r="I71" s="329"/>
      <c r="K71" s="508"/>
      <c r="L71" s="278"/>
    </row>
    <row r="72" spans="1:17" ht="15" x14ac:dyDescent="0.15">
      <c r="A72" s="329" t="s">
        <v>201</v>
      </c>
      <c r="B72" s="329" t="s">
        <v>265</v>
      </c>
      <c r="C72" s="329" t="s">
        <v>261</v>
      </c>
      <c r="D72" s="329" t="s">
        <v>246</v>
      </c>
      <c r="E72" s="329" t="s">
        <v>247</v>
      </c>
      <c r="F72" s="329" t="s">
        <v>110</v>
      </c>
      <c r="G72" s="329" t="s">
        <v>248</v>
      </c>
      <c r="H72" s="329" t="s">
        <v>111</v>
      </c>
      <c r="I72" s="70"/>
      <c r="K72" s="507"/>
      <c r="L72" s="278"/>
    </row>
    <row r="73" spans="1:17" x14ac:dyDescent="0.15">
      <c r="A73" s="70" t="s">
        <v>194</v>
      </c>
      <c r="B73" s="330">
        <f>C80*m3_day/gal_min</f>
        <v>8176.4910739972447</v>
      </c>
      <c r="C73" s="331">
        <f>H80*607.5/500</f>
        <v>29981.414016702638</v>
      </c>
      <c r="D73" s="330">
        <f>ROUNDUP(B$66/B73,0)</f>
        <v>1</v>
      </c>
      <c r="E73" s="332">
        <f>D73*C73</f>
        <v>29981.414016702638</v>
      </c>
      <c r="F73" s="70">
        <f>VLOOKUP("Pumps",cost_factors,2,FALSE)</f>
        <v>3.7</v>
      </c>
      <c r="G73" s="332">
        <f>E73*F73</f>
        <v>110931.23186179977</v>
      </c>
      <c r="H73" s="70" t="s">
        <v>469</v>
      </c>
      <c r="I73" s="70"/>
      <c r="K73" s="508"/>
      <c r="L73" s="278"/>
    </row>
    <row r="74" spans="1:17" x14ac:dyDescent="0.15">
      <c r="A74" s="70" t="s">
        <v>299</v>
      </c>
      <c r="B74" s="330">
        <f>C80*m3_day/gal_min</f>
        <v>8176.4910739972447</v>
      </c>
      <c r="C74" s="332">
        <f>I83*607.5/500</f>
        <v>12364.169366376882</v>
      </c>
      <c r="D74" s="330">
        <f>ROUNDUP(B$66/B74,0)</f>
        <v>1</v>
      </c>
      <c r="E74" s="332">
        <f>D74*C74</f>
        <v>12364.169366376882</v>
      </c>
      <c r="F74" s="70">
        <f>VLOOKUP("Pumps",cost_factors,2,FALSE)</f>
        <v>3.7</v>
      </c>
      <c r="G74" s="332">
        <f>E74*F74</f>
        <v>45747.426655594463</v>
      </c>
      <c r="H74" s="70" t="s">
        <v>469</v>
      </c>
      <c r="I74" s="70"/>
      <c r="K74" s="507"/>
      <c r="L74" s="278"/>
    </row>
    <row r="75" spans="1:17" x14ac:dyDescent="0.15">
      <c r="A75" s="70" t="s">
        <v>195</v>
      </c>
      <c r="B75" s="333">
        <f>1000*gal_to_m3</f>
        <v>3.7854125342579832</v>
      </c>
      <c r="C75" s="331">
        <f>(57.1+32.7)*2</f>
        <v>179.60000000000002</v>
      </c>
      <c r="D75" s="330">
        <f>B$66/B75</f>
        <v>753.35914995426583</v>
      </c>
      <c r="E75" s="332">
        <f>D75*C75</f>
        <v>135303.30333178616</v>
      </c>
      <c r="F75" s="70">
        <f>VLOOKUP("Filters",cost_factors,2,FALSE)</f>
        <v>2.2999999999999998</v>
      </c>
      <c r="G75" s="332">
        <f>E75*F75</f>
        <v>311197.59766310814</v>
      </c>
      <c r="H75" s="70" t="s">
        <v>443</v>
      </c>
      <c r="I75" s="70"/>
      <c r="J75" s="269"/>
      <c r="K75" s="508"/>
      <c r="L75" s="278"/>
    </row>
    <row r="76" spans="1:17" x14ac:dyDescent="0.15">
      <c r="A76" s="329" t="s">
        <v>258</v>
      </c>
      <c r="B76" s="70"/>
      <c r="C76" s="332"/>
      <c r="D76" s="330"/>
      <c r="E76" s="332"/>
      <c r="F76" s="70"/>
      <c r="G76" s="334">
        <f>SUM(G73:G75)</f>
        <v>467876.25618050236</v>
      </c>
      <c r="H76" s="70"/>
      <c r="I76" s="70"/>
      <c r="K76" s="507"/>
      <c r="L76" s="278"/>
    </row>
    <row r="77" spans="1:17" x14ac:dyDescent="0.15">
      <c r="A77" s="70"/>
      <c r="B77" s="70"/>
      <c r="C77" s="70"/>
      <c r="D77" s="70"/>
      <c r="E77" s="70"/>
      <c r="F77" s="329"/>
      <c r="G77" s="70"/>
      <c r="H77" s="70"/>
      <c r="I77" s="70"/>
      <c r="K77" s="508"/>
      <c r="L77" s="278"/>
    </row>
    <row r="78" spans="1:17" x14ac:dyDescent="0.15">
      <c r="A78" s="328" t="s">
        <v>268</v>
      </c>
      <c r="B78" s="70"/>
      <c r="C78" s="70"/>
      <c r="D78" s="70"/>
      <c r="E78" s="70"/>
      <c r="F78" s="70"/>
      <c r="G78" s="70"/>
      <c r="H78" s="70"/>
      <c r="I78" s="70"/>
      <c r="J78" s="287"/>
      <c r="K78" s="507"/>
      <c r="L78" s="278"/>
    </row>
    <row r="79" spans="1:17" x14ac:dyDescent="0.15">
      <c r="A79" s="329" t="s">
        <v>251</v>
      </c>
      <c r="B79" s="329" t="s">
        <v>233</v>
      </c>
      <c r="C79" s="329" t="s">
        <v>257</v>
      </c>
      <c r="D79" s="329" t="s">
        <v>244</v>
      </c>
      <c r="E79" s="329" t="s">
        <v>253</v>
      </c>
      <c r="F79" s="329" t="s">
        <v>245</v>
      </c>
      <c r="G79" s="329" t="s">
        <v>254</v>
      </c>
      <c r="H79" s="329" t="s">
        <v>260</v>
      </c>
      <c r="I79" s="329" t="s">
        <v>111</v>
      </c>
      <c r="J79" s="287"/>
    </row>
    <row r="80" spans="1:17" x14ac:dyDescent="0.15">
      <c r="A80" s="70">
        <v>3</v>
      </c>
      <c r="B80" s="70" t="str">
        <f>IF(B68&lt;VLOOKUP(A80,pump_types,8),"Yes","No")</f>
        <v>Yes</v>
      </c>
      <c r="C80" s="70">
        <f>VLOOKUP(A80,pump_types,6)</f>
        <v>1500</v>
      </c>
      <c r="D80" s="330">
        <f>C80*(B68^0.5)</f>
        <v>22113.136948159874</v>
      </c>
      <c r="E80" s="332">
        <f>EXP(9.7171-0.6019*LN(D80)+0.0519*LN(D80)^2)</f>
        <v>7257.6649762049474</v>
      </c>
      <c r="F80" s="70">
        <f>VLOOKUP("Stainless steel",pump_materials,2,FALSE)</f>
        <v>2</v>
      </c>
      <c r="G80" s="70">
        <f>VLOOKUP(A80,pump_types,10)</f>
        <v>1.7</v>
      </c>
      <c r="H80" s="332">
        <f>E80*F80*G80</f>
        <v>24676.060919096821</v>
      </c>
      <c r="I80" s="70"/>
      <c r="J80" s="323"/>
    </row>
    <row r="81" spans="1:12" x14ac:dyDescent="0.15">
      <c r="A81" s="70"/>
      <c r="B81" s="70"/>
      <c r="C81" s="70"/>
      <c r="D81" s="70"/>
      <c r="E81" s="70"/>
      <c r="F81" s="70"/>
      <c r="G81" s="70"/>
      <c r="H81" s="70"/>
      <c r="I81" s="70"/>
    </row>
    <row r="82" spans="1:12" x14ac:dyDescent="0.15">
      <c r="A82" s="329" t="s">
        <v>234</v>
      </c>
      <c r="B82" s="329" t="s">
        <v>233</v>
      </c>
      <c r="C82" s="329" t="s">
        <v>126</v>
      </c>
      <c r="D82" s="329" t="s">
        <v>255</v>
      </c>
      <c r="E82" s="329" t="s">
        <v>121</v>
      </c>
      <c r="F82" s="329" t="s">
        <v>127</v>
      </c>
      <c r="G82" s="329" t="s">
        <v>249</v>
      </c>
      <c r="H82" s="329" t="s">
        <v>250</v>
      </c>
      <c r="I82" s="329" t="s">
        <v>260</v>
      </c>
    </row>
    <row r="83" spans="1:12" x14ac:dyDescent="0.15">
      <c r="A83" s="70">
        <v>5</v>
      </c>
      <c r="B83" s="70" t="str">
        <f>IF(AND(D83&lt;VLOOKUP(A83,motor_types,5),VLOOKUP(A83,motor_types,3)=VLOOKUP(A80,pump_types,3)),"Yes","No")</f>
        <v>Yes</v>
      </c>
      <c r="C83" s="76">
        <f>-0.316+0.24015*(LN(C80))-0.01199*(LN(C80))^2</f>
        <v>0.79900639872219881</v>
      </c>
      <c r="D83" s="330">
        <f>C80*B68*density/(33000*C83)</f>
        <v>107.31612434766065</v>
      </c>
      <c r="E83" s="76">
        <f>0.8+(0.0319*(LN(D83)))-(0.000182*(LN(D83))^2)</f>
        <v>0.94517829795351338</v>
      </c>
      <c r="F83" s="330">
        <f>D83/E83</f>
        <v>113.54061406193942</v>
      </c>
      <c r="G83" s="332">
        <f>EXP(5.8259+0.13141*LN(F83)+0.053255*LN(F83)^2+0.028628*LN(F83)^3-0.0035549*LN(F83)^4)</f>
        <v>7268.7650595984023</v>
      </c>
      <c r="H83" s="70">
        <f>VLOOKUP(A83,motor_types,6)</f>
        <v>1.4</v>
      </c>
      <c r="I83" s="332">
        <f>G83*H83</f>
        <v>10176.271083437763</v>
      </c>
    </row>
    <row r="84" spans="1:12" x14ac:dyDescent="0.15">
      <c r="C84" s="323"/>
      <c r="E84" s="323"/>
      <c r="F84" s="323"/>
    </row>
    <row r="85" spans="1:12" x14ac:dyDescent="0.15">
      <c r="C85" s="323"/>
      <c r="E85" s="323"/>
      <c r="F85" s="323"/>
      <c r="I85" s="286"/>
    </row>
    <row r="86" spans="1:12" ht="16" x14ac:dyDescent="0.2">
      <c r="A86" s="30" t="s">
        <v>112</v>
      </c>
      <c r="B86" s="31"/>
      <c r="C86" s="31"/>
      <c r="D86" s="31"/>
      <c r="E86" s="30"/>
      <c r="F86" s="31"/>
      <c r="G86" s="31"/>
      <c r="H86" s="31"/>
      <c r="I86" s="31"/>
    </row>
    <row r="87" spans="1:12" ht="16" x14ac:dyDescent="0.2">
      <c r="A87" s="32" t="s">
        <v>297</v>
      </c>
      <c r="B87" s="81">
        <f>1*fraction_oceanwater</f>
        <v>6.4164941303283393E-3</v>
      </c>
      <c r="C87" s="32"/>
      <c r="D87" s="32"/>
      <c r="E87" s="32"/>
      <c r="F87" s="34" t="s">
        <v>259</v>
      </c>
      <c r="G87" s="335">
        <f>G97</f>
        <v>964464.60761826427</v>
      </c>
      <c r="H87" s="336"/>
      <c r="I87" s="32"/>
      <c r="J87" s="84" t="s">
        <v>499</v>
      </c>
    </row>
    <row r="88" spans="1:12" ht="16" x14ac:dyDescent="0.2">
      <c r="A88" s="32" t="s">
        <v>298</v>
      </c>
      <c r="B88" s="33">
        <f>m3_day*B87/B91</f>
        <v>2851.7751690348173</v>
      </c>
      <c r="C88" s="32" t="s">
        <v>262</v>
      </c>
      <c r="D88" s="32"/>
      <c r="E88" s="32"/>
      <c r="F88" s="35" t="s">
        <v>263</v>
      </c>
      <c r="G88" s="337">
        <f>voltage*faraday*B87*acid_concH*1/LOW_to_kgCO2*1/kWh_to_Ws</f>
        <v>2.2239904802295425</v>
      </c>
      <c r="H88" s="338" t="s">
        <v>132</v>
      </c>
      <c r="I88" s="32"/>
      <c r="J88" s="17">
        <f>voltage*100000*1/molar_mass*1/kWh_to_Ws</f>
        <v>1.5782828282828285</v>
      </c>
    </row>
    <row r="89" spans="1:12" x14ac:dyDescent="0.15">
      <c r="A89" s="32" t="s">
        <v>197</v>
      </c>
      <c r="B89" s="541">
        <v>1</v>
      </c>
      <c r="C89" s="32" t="s">
        <v>173</v>
      </c>
      <c r="D89" s="339" t="s">
        <v>473</v>
      </c>
      <c r="E89" s="32"/>
      <c r="F89" s="32"/>
      <c r="G89" s="32"/>
      <c r="H89" s="32"/>
      <c r="I89" s="32"/>
    </row>
    <row r="90" spans="1:12" x14ac:dyDescent="0.15">
      <c r="A90" s="32" t="s">
        <v>232</v>
      </c>
      <c r="B90" s="36">
        <f>B89*bar_to_fthead</f>
        <v>33.435270132517836</v>
      </c>
      <c r="C90" s="32" t="s">
        <v>123</v>
      </c>
      <c r="D90" s="32"/>
      <c r="E90" s="32"/>
      <c r="F90" s="32"/>
      <c r="G90" s="32"/>
      <c r="H90" s="32"/>
      <c r="I90" s="32"/>
    </row>
    <row r="91" spans="1:12" x14ac:dyDescent="0.15">
      <c r="A91" s="32" t="s">
        <v>188</v>
      </c>
      <c r="B91" s="82">
        <v>0.9</v>
      </c>
      <c r="C91" s="32"/>
      <c r="D91" s="32"/>
      <c r="E91" s="32"/>
      <c r="F91" s="32"/>
      <c r="G91" s="32"/>
      <c r="H91" s="32"/>
      <c r="I91" s="32"/>
    </row>
    <row r="92" spans="1:12" x14ac:dyDescent="0.15">
      <c r="A92" s="32"/>
      <c r="B92" s="32"/>
      <c r="C92" s="32"/>
      <c r="D92" s="32"/>
      <c r="E92" s="32"/>
      <c r="F92" s="32"/>
      <c r="G92" s="32"/>
      <c r="H92" s="32"/>
      <c r="I92" s="32"/>
    </row>
    <row r="93" spans="1:12" x14ac:dyDescent="0.15">
      <c r="A93" s="340" t="s">
        <v>264</v>
      </c>
      <c r="B93" s="32"/>
      <c r="C93" s="32"/>
      <c r="D93" s="32"/>
      <c r="E93" s="32"/>
      <c r="F93" s="32"/>
      <c r="G93" s="32"/>
      <c r="H93" s="32"/>
      <c r="I93" s="193"/>
      <c r="L93" s="352"/>
    </row>
    <row r="94" spans="1:12" ht="15" x14ac:dyDescent="0.15">
      <c r="A94" s="193" t="s">
        <v>201</v>
      </c>
      <c r="B94" s="193" t="s">
        <v>265</v>
      </c>
      <c r="C94" s="193" t="s">
        <v>261</v>
      </c>
      <c r="D94" s="193" t="s">
        <v>246</v>
      </c>
      <c r="E94" s="193" t="s">
        <v>247</v>
      </c>
      <c r="F94" s="193" t="s">
        <v>110</v>
      </c>
      <c r="G94" s="193" t="s">
        <v>248</v>
      </c>
      <c r="H94" s="193" t="s">
        <v>111</v>
      </c>
      <c r="I94" s="32"/>
      <c r="L94" s="352"/>
    </row>
    <row r="95" spans="1:12" x14ac:dyDescent="0.15">
      <c r="A95" s="32" t="s">
        <v>309</v>
      </c>
      <c r="B95" s="344">
        <f>B88</f>
        <v>2851.7751690348173</v>
      </c>
      <c r="C95" s="343">
        <f>D101</f>
        <v>688903.29115590313</v>
      </c>
      <c r="D95" s="341">
        <f>IF(B88&gt;0,ROUNDUP(B$88/B95,0),0)</f>
        <v>1</v>
      </c>
      <c r="E95" s="343">
        <f>D95*C95</f>
        <v>688903.29115590313</v>
      </c>
      <c r="F95" s="32">
        <f>VLOOKUP("ED",cost_factors,2,FALSE)</f>
        <v>1.4</v>
      </c>
      <c r="G95" s="343">
        <f>E95*F95</f>
        <v>964464.60761826427</v>
      </c>
      <c r="H95" s="32"/>
      <c r="I95" s="32"/>
      <c r="L95" s="352"/>
    </row>
    <row r="96" spans="1:12" x14ac:dyDescent="0.15">
      <c r="A96" s="32"/>
      <c r="B96" s="344"/>
      <c r="C96" s="342"/>
      <c r="D96" s="341"/>
      <c r="E96" s="343"/>
      <c r="F96" s="32"/>
      <c r="G96" s="343">
        <f>E96*F96</f>
        <v>0</v>
      </c>
      <c r="H96" s="32"/>
      <c r="I96" s="32"/>
      <c r="L96" s="352"/>
    </row>
    <row r="97" spans="1:12" x14ac:dyDescent="0.15">
      <c r="A97" s="193" t="s">
        <v>258</v>
      </c>
      <c r="B97" s="32"/>
      <c r="C97" s="343"/>
      <c r="D97" s="341"/>
      <c r="E97" s="343"/>
      <c r="F97" s="32"/>
      <c r="G97" s="345">
        <f>SUM(G95:G96)</f>
        <v>964464.60761826427</v>
      </c>
      <c r="H97" s="32"/>
      <c r="I97" s="32"/>
      <c r="L97" s="352"/>
    </row>
    <row r="98" spans="1:12" x14ac:dyDescent="0.15">
      <c r="A98" s="32"/>
      <c r="B98" s="32"/>
      <c r="C98" s="32"/>
      <c r="D98" s="32"/>
      <c r="E98" s="32"/>
      <c r="F98" s="193"/>
      <c r="G98" s="32"/>
      <c r="H98" s="32"/>
      <c r="I98" s="32"/>
      <c r="L98" s="352"/>
    </row>
    <row r="99" spans="1:12" x14ac:dyDescent="0.15">
      <c r="A99" s="340" t="s">
        <v>305</v>
      </c>
      <c r="B99" s="32"/>
      <c r="C99" s="32"/>
      <c r="D99" s="32"/>
      <c r="E99" s="32"/>
      <c r="F99" s="32"/>
      <c r="G99" s="32"/>
      <c r="H99" s="32"/>
      <c r="I99" s="32"/>
    </row>
    <row r="100" spans="1:12" ht="15" x14ac:dyDescent="0.15">
      <c r="A100" s="193" t="s">
        <v>306</v>
      </c>
      <c r="B100" s="193" t="s">
        <v>307</v>
      </c>
      <c r="C100" s="193" t="s">
        <v>308</v>
      </c>
      <c r="D100" s="193" t="s">
        <v>116</v>
      </c>
      <c r="E100" s="193"/>
      <c r="F100" s="193"/>
      <c r="G100" s="193"/>
      <c r="H100" s="193"/>
      <c r="I100" s="193"/>
    </row>
    <row r="101" spans="1:12" x14ac:dyDescent="0.15">
      <c r="A101" s="32">
        <v>0.05</v>
      </c>
      <c r="B101" s="343">
        <f>2*A101*1/(current_density/1000)*faraday*B87*acid_concH*l_s</f>
        <v>229634.43038530104</v>
      </c>
      <c r="C101" s="343">
        <f>A101*1/(current_density/1000)*faraday*B87*acid_concH*l_s</f>
        <v>114817.21519265052</v>
      </c>
      <c r="D101" s="343">
        <f>1.5*(B101+2*C101)</f>
        <v>688903.29115590313</v>
      </c>
      <c r="E101" s="343"/>
      <c r="F101" s="32"/>
      <c r="G101" s="32"/>
      <c r="H101" s="343"/>
      <c r="I101" s="32"/>
    </row>
    <row r="104" spans="1:12" ht="18" x14ac:dyDescent="0.25">
      <c r="A104" s="23" t="s">
        <v>310</v>
      </c>
      <c r="B104" s="24"/>
      <c r="C104" s="24"/>
      <c r="D104" s="24"/>
      <c r="E104" s="23"/>
      <c r="F104" s="24"/>
      <c r="G104" s="24"/>
      <c r="H104" s="24"/>
      <c r="I104" s="24"/>
    </row>
    <row r="105" spans="1:12" ht="16" x14ac:dyDescent="0.2">
      <c r="A105" s="25" t="s">
        <v>198</v>
      </c>
      <c r="B105" s="83">
        <v>1</v>
      </c>
      <c r="C105" s="25"/>
      <c r="D105" s="25"/>
      <c r="E105" s="25"/>
      <c r="F105" s="27" t="s">
        <v>259</v>
      </c>
      <c r="G105" s="346">
        <f>G118</f>
        <v>8778621.4071207568</v>
      </c>
      <c r="H105" s="347"/>
      <c r="I105" s="25"/>
    </row>
    <row r="106" spans="1:12" ht="16" x14ac:dyDescent="0.2">
      <c r="A106" s="25" t="s">
        <v>196</v>
      </c>
      <c r="B106" s="26">
        <f>m3_day*B105</f>
        <v>400000</v>
      </c>
      <c r="C106" s="25" t="s">
        <v>262</v>
      </c>
      <c r="D106" s="25"/>
      <c r="E106" s="25"/>
      <c r="F106" s="28" t="s">
        <v>263</v>
      </c>
      <c r="G106" s="348">
        <f>H130*B105</f>
        <v>0.3714188626928599</v>
      </c>
      <c r="H106" s="349" t="s">
        <v>132</v>
      </c>
      <c r="I106" s="25"/>
    </row>
    <row r="107" spans="1:12" x14ac:dyDescent="0.15">
      <c r="A107" s="25" t="s">
        <v>197</v>
      </c>
      <c r="B107" s="498">
        <v>0.5</v>
      </c>
      <c r="C107" s="25" t="s">
        <v>173</v>
      </c>
      <c r="D107" s="350" t="s">
        <v>497</v>
      </c>
      <c r="E107" s="25"/>
      <c r="F107" s="25"/>
      <c r="G107" s="25"/>
      <c r="H107" s="25"/>
      <c r="I107" s="25"/>
    </row>
    <row r="108" spans="1:12" x14ac:dyDescent="0.15">
      <c r="A108" s="25" t="s">
        <v>232</v>
      </c>
      <c r="B108" s="29">
        <f>B107*bar_to_fthead</f>
        <v>16.717635066258918</v>
      </c>
      <c r="C108" s="25" t="s">
        <v>123</v>
      </c>
      <c r="D108" s="25"/>
      <c r="E108" s="25"/>
      <c r="F108" s="25"/>
      <c r="G108" s="25"/>
      <c r="H108" s="25"/>
      <c r="I108" s="25"/>
    </row>
    <row r="109" spans="1:12" x14ac:dyDescent="0.15">
      <c r="A109" s="25" t="s">
        <v>428</v>
      </c>
      <c r="B109" s="29">
        <v>1</v>
      </c>
      <c r="C109" s="25"/>
      <c r="D109" s="25"/>
      <c r="E109" s="25"/>
      <c r="F109" s="25"/>
      <c r="G109" s="25"/>
      <c r="H109" s="25"/>
      <c r="I109" s="25"/>
    </row>
    <row r="110" spans="1:12" x14ac:dyDescent="0.15">
      <c r="A110" s="25"/>
      <c r="B110" s="25"/>
      <c r="C110" s="25"/>
      <c r="D110" s="25"/>
      <c r="E110" s="25"/>
      <c r="F110" s="25"/>
      <c r="G110" s="25"/>
      <c r="H110" s="25"/>
      <c r="I110" s="25"/>
    </row>
    <row r="111" spans="1:12" x14ac:dyDescent="0.15">
      <c r="A111" s="351" t="s">
        <v>264</v>
      </c>
      <c r="B111" s="25"/>
      <c r="C111" s="25"/>
      <c r="D111" s="25"/>
      <c r="E111" s="25"/>
      <c r="F111" s="25"/>
      <c r="G111" s="25"/>
      <c r="H111" s="25"/>
      <c r="I111" s="200"/>
    </row>
    <row r="112" spans="1:12" ht="15" x14ac:dyDescent="0.15">
      <c r="A112" s="200" t="s">
        <v>201</v>
      </c>
      <c r="B112" s="200" t="s">
        <v>265</v>
      </c>
      <c r="C112" s="200" t="s">
        <v>261</v>
      </c>
      <c r="D112" s="200" t="s">
        <v>246</v>
      </c>
      <c r="E112" s="200" t="s">
        <v>247</v>
      </c>
      <c r="F112" s="200" t="s">
        <v>110</v>
      </c>
      <c r="G112" s="200" t="s">
        <v>248</v>
      </c>
      <c r="H112" s="200" t="s">
        <v>111</v>
      </c>
      <c r="I112" s="25"/>
    </row>
    <row r="113" spans="1:10" x14ac:dyDescent="0.15">
      <c r="A113" s="25" t="s">
        <v>190</v>
      </c>
      <c r="B113" s="25"/>
      <c r="C113" s="25"/>
      <c r="D113" s="25"/>
      <c r="E113" s="25"/>
      <c r="F113" s="25"/>
      <c r="G113" s="355">
        <v>0</v>
      </c>
      <c r="H113" s="25" t="s">
        <v>267</v>
      </c>
      <c r="I113" s="25"/>
    </row>
    <row r="114" spans="1:10" x14ac:dyDescent="0.15">
      <c r="A114" s="25" t="s">
        <v>294</v>
      </c>
      <c r="B114" s="25"/>
      <c r="C114" s="25"/>
      <c r="D114" s="25"/>
      <c r="E114" s="25"/>
      <c r="F114" s="25"/>
      <c r="G114" s="355">
        <v>0</v>
      </c>
      <c r="H114" s="25" t="s">
        <v>267</v>
      </c>
      <c r="I114" s="25"/>
    </row>
    <row r="115" spans="1:10" x14ac:dyDescent="0.15">
      <c r="A115" s="25" t="s">
        <v>114</v>
      </c>
      <c r="B115" s="353">
        <f>D122</f>
        <v>1920</v>
      </c>
      <c r="C115" s="355">
        <f>VLOOKUP(B109,mc_types,3)</f>
        <v>6600</v>
      </c>
      <c r="D115" s="687">
        <f>B106/B115</f>
        <v>208.33333333333334</v>
      </c>
      <c r="E115" s="355">
        <f>D115*C115</f>
        <v>1375000</v>
      </c>
      <c r="F115" s="25">
        <f>VLOOKUP("Membrane contactor",cost_factors,2,FALSE)</f>
        <v>2.9</v>
      </c>
      <c r="G115" s="355">
        <f>E115*F115</f>
        <v>3987500</v>
      </c>
      <c r="H115" s="25" t="s">
        <v>476</v>
      </c>
      <c r="I115" s="25"/>
    </row>
    <row r="116" spans="1:10" x14ac:dyDescent="0.15">
      <c r="A116" s="25" t="s">
        <v>115</v>
      </c>
      <c r="B116" s="353">
        <f>labor_baseline_cap/m3OW_to_kgCO2</f>
        <v>272727.27272727271</v>
      </c>
      <c r="C116" s="355">
        <f>21000</f>
        <v>21000</v>
      </c>
      <c r="D116" s="353">
        <f>ROUNDUP(B106/B116,0)</f>
        <v>2</v>
      </c>
      <c r="E116" s="355">
        <f>D116*C116</f>
        <v>42000</v>
      </c>
      <c r="F116" s="25">
        <f>VLOOKUP("Water condenser",cost_factors,2,FALSE)</f>
        <v>3.3</v>
      </c>
      <c r="G116" s="355">
        <f>E116*F116</f>
        <v>138600</v>
      </c>
      <c r="H116" s="25" t="s">
        <v>468</v>
      </c>
      <c r="I116" s="25"/>
    </row>
    <row r="117" spans="1:10" x14ac:dyDescent="0.15">
      <c r="A117" s="25" t="s">
        <v>191</v>
      </c>
      <c r="B117" s="356">
        <f>I127</f>
        <v>80094.659935096483</v>
      </c>
      <c r="C117" s="354">
        <f>E127*607.5/500</f>
        <v>251785.21617844154</v>
      </c>
      <c r="D117" s="677">
        <f>B106/B117</f>
        <v>4.9940907461762629</v>
      </c>
      <c r="E117" s="355">
        <f>D117*C117</f>
        <v>1257438.2181407448</v>
      </c>
      <c r="F117" s="25">
        <f>VLOOKUP("Pumps",cost_factors,2,FALSE)</f>
        <v>3.7</v>
      </c>
      <c r="G117" s="355">
        <f>E117*F117</f>
        <v>4652521.4071207559</v>
      </c>
      <c r="H117" s="25" t="s">
        <v>617</v>
      </c>
      <c r="I117" s="25"/>
    </row>
    <row r="118" spans="1:10" x14ac:dyDescent="0.15">
      <c r="A118" s="200" t="s">
        <v>258</v>
      </c>
      <c r="B118" s="25"/>
      <c r="C118" s="355"/>
      <c r="D118" s="353"/>
      <c r="E118" s="355"/>
      <c r="F118" s="25"/>
      <c r="G118" s="357">
        <f>SUM(G113:G117)</f>
        <v>8778621.4071207568</v>
      </c>
      <c r="H118" s="25"/>
      <c r="I118" s="25"/>
    </row>
    <row r="119" spans="1:10" x14ac:dyDescent="0.15">
      <c r="A119" s="200"/>
      <c r="B119" s="25"/>
      <c r="C119" s="355"/>
      <c r="D119" s="353"/>
      <c r="E119" s="355"/>
      <c r="F119" s="25"/>
      <c r="G119" s="357"/>
      <c r="H119" s="25"/>
      <c r="I119" s="25"/>
    </row>
    <row r="120" spans="1:10" x14ac:dyDescent="0.15">
      <c r="A120" s="351" t="s">
        <v>615</v>
      </c>
      <c r="B120" s="25"/>
      <c r="C120" s="355"/>
      <c r="D120" s="353"/>
      <c r="E120" s="355"/>
      <c r="F120" s="25"/>
      <c r="G120" s="357"/>
      <c r="H120" s="25"/>
      <c r="I120" s="25"/>
    </row>
    <row r="121" spans="1:10" x14ac:dyDescent="0.15">
      <c r="A121" s="200" t="s">
        <v>627</v>
      </c>
      <c r="B121" s="200" t="s">
        <v>628</v>
      </c>
      <c r="C121" s="683" t="s">
        <v>630</v>
      </c>
      <c r="D121" s="684" t="s">
        <v>629</v>
      </c>
      <c r="E121" s="683"/>
      <c r="F121" s="200"/>
      <c r="G121" s="357"/>
      <c r="H121" s="200"/>
      <c r="I121" s="25"/>
    </row>
    <row r="122" spans="1:10" x14ac:dyDescent="0.15">
      <c r="A122" s="686">
        <f>lfr</f>
        <v>60</v>
      </c>
      <c r="B122" s="353">
        <f>VLOOKUP(B109,mc_types,9)</f>
        <v>38.095238095238088</v>
      </c>
      <c r="C122" s="690">
        <f>VLOOKUP(B109,mc_types,6)*(m3_day/m3_h)</f>
        <v>1920</v>
      </c>
      <c r="D122" s="687">
        <f>MIN(C122,min_n_VPs/min_n_MCs*C122)</f>
        <v>1920</v>
      </c>
      <c r="E122" s="685"/>
      <c r="F122" s="353"/>
      <c r="G122" s="609"/>
      <c r="H122" s="353"/>
      <c r="I122" s="25"/>
    </row>
    <row r="123" spans="1:10" x14ac:dyDescent="0.15">
      <c r="A123" s="25" t="s">
        <v>616</v>
      </c>
      <c r="B123" s="25"/>
      <c r="C123" s="25"/>
      <c r="D123" s="25"/>
      <c r="E123" s="25"/>
      <c r="F123" s="353"/>
      <c r="G123" s="353"/>
      <c r="H123" s="353"/>
      <c r="I123" s="25"/>
    </row>
    <row r="124" spans="1:10" x14ac:dyDescent="0.15">
      <c r="A124" s="25"/>
      <c r="B124" s="25"/>
      <c r="C124" s="25"/>
      <c r="D124" s="25"/>
      <c r="E124" s="25"/>
      <c r="F124" s="353"/>
      <c r="G124" s="353"/>
      <c r="H124" s="25"/>
      <c r="I124" s="25"/>
    </row>
    <row r="125" spans="1:10" x14ac:dyDescent="0.15">
      <c r="A125" s="351" t="s">
        <v>269</v>
      </c>
      <c r="B125" s="25"/>
      <c r="C125" s="25"/>
      <c r="D125" s="25"/>
      <c r="E125" s="25"/>
      <c r="F125" s="25"/>
      <c r="G125" s="25"/>
      <c r="H125" s="25"/>
      <c r="I125" s="25"/>
    </row>
    <row r="126" spans="1:10" ht="16" x14ac:dyDescent="0.2">
      <c r="A126" s="200" t="s">
        <v>251</v>
      </c>
      <c r="B126" s="200" t="s">
        <v>233</v>
      </c>
      <c r="C126" s="200" t="s">
        <v>515</v>
      </c>
      <c r="D126" s="200" t="s">
        <v>244</v>
      </c>
      <c r="E126" s="200" t="s">
        <v>260</v>
      </c>
      <c r="F126" s="200" t="s">
        <v>516</v>
      </c>
      <c r="G126" s="200" t="s">
        <v>507</v>
      </c>
      <c r="H126" s="200" t="s">
        <v>614</v>
      </c>
      <c r="I126" s="200" t="s">
        <v>508</v>
      </c>
    </row>
    <row r="127" spans="1:10" x14ac:dyDescent="0.15">
      <c r="A127" s="25">
        <v>2</v>
      </c>
      <c r="B127" s="25" t="str">
        <f>IF(TRUE,"Yes","No")</f>
        <v>Yes</v>
      </c>
      <c r="C127" s="353">
        <f>VLOOKUP(A127,vacuum_pump_types,4)</f>
        <v>10000</v>
      </c>
      <c r="D127" s="353">
        <f>C127</f>
        <v>10000</v>
      </c>
      <c r="E127" s="355">
        <f>VLOOKUP(A127,vacuum_pump_types,6)*D127^VLOOKUP(A127,vacuum_pump_types,5)</f>
        <v>207230.63059954034</v>
      </c>
      <c r="F127" s="607">
        <f>A130*torr_to_pa*C127/(gas_const*temp)/hr_to_s</f>
        <v>1.6315578875667807</v>
      </c>
      <c r="G127" s="604">
        <f>F127*molar_mass</f>
        <v>7.1788547052938342E-2</v>
      </c>
      <c r="H127" s="682">
        <f>C127*24</f>
        <v>240000</v>
      </c>
      <c r="I127" s="353">
        <f>G127/m3OW_to_kgCO2*day_to_min*60</f>
        <v>80094.659935096483</v>
      </c>
      <c r="J127" s="278"/>
    </row>
    <row r="128" spans="1:10" x14ac:dyDescent="0.15">
      <c r="A128" s="25"/>
      <c r="B128" s="25"/>
      <c r="C128" s="25"/>
      <c r="D128" s="25"/>
      <c r="E128" s="25"/>
      <c r="F128" s="25"/>
      <c r="G128" s="25"/>
      <c r="H128" s="25"/>
      <c r="I128" s="25"/>
    </row>
    <row r="129" spans="1:9" ht="16" x14ac:dyDescent="0.2">
      <c r="A129" s="200" t="s">
        <v>477</v>
      </c>
      <c r="B129" s="200" t="s">
        <v>478</v>
      </c>
      <c r="C129" s="200" t="s">
        <v>126</v>
      </c>
      <c r="D129" s="200" t="s">
        <v>517</v>
      </c>
      <c r="E129" s="200" t="s">
        <v>292</v>
      </c>
      <c r="F129" s="200" t="s">
        <v>526</v>
      </c>
      <c r="G129" s="200" t="s">
        <v>518</v>
      </c>
      <c r="H129" s="200" t="s">
        <v>293</v>
      </c>
      <c r="I129" s="200"/>
    </row>
    <row r="130" spans="1:9" x14ac:dyDescent="0.15">
      <c r="A130" s="25" cm="1">
        <f t="array" ref="A130">_xlfn.IFS(how="equilibrium",MAX(VLOOKUP(A127,vacuum_pump_types,7),15),how="steady-state",pressure_ss)</f>
        <v>10</v>
      </c>
      <c r="B130" s="25">
        <v>760</v>
      </c>
      <c r="C130" s="83">
        <v>0.35</v>
      </c>
      <c r="D130" s="353">
        <f>D117*A130*torr_to_pa*C127/3600*adiabatic_const/(adiabatic_const-1)*((B130/A130)^((adiabatic_const-1)/adiabatic_const)-1)/C130</f>
        <v>393089.91526811261</v>
      </c>
      <c r="E130" s="353">
        <f>D130/kg_s</f>
        <v>1096428.4826693223</v>
      </c>
      <c r="F130" s="609">
        <f>D130/(C127*D117)/G130</f>
        <v>9.5989033802790757</v>
      </c>
      <c r="G130" s="610">
        <v>0.82</v>
      </c>
      <c r="H130" s="428">
        <f>E130/kWh_to_Ws/G130</f>
        <v>0.3714188626928599</v>
      </c>
      <c r="I130" s="25" t="s">
        <v>519</v>
      </c>
    </row>
    <row r="131" spans="1:9" ht="15" x14ac:dyDescent="0.2">
      <c r="A131" s="25" cm="1">
        <f t="array" ref="A131">_xlfn.IFS(how="equilibrium",MAX(VLOOKUP(A127,vacuum_pump_types,7),15),how="steady-state",pressure_ss)</f>
        <v>10</v>
      </c>
      <c r="B131" s="25" t="s">
        <v>619</v>
      </c>
      <c r="C131" s="25"/>
      <c r="D131" s="353"/>
      <c r="E131" s="25"/>
      <c r="F131" s="688"/>
      <c r="G131" s="25"/>
      <c r="H131" s="350"/>
      <c r="I131" s="350" t="s">
        <v>618</v>
      </c>
    </row>
    <row r="132" spans="1:9" x14ac:dyDescent="0.15">
      <c r="C132" s="554"/>
      <c r="D132" s="507"/>
      <c r="F132" s="358"/>
      <c r="H132" s="269"/>
      <c r="I132" s="269"/>
    </row>
    <row r="133" spans="1:9" x14ac:dyDescent="0.15">
      <c r="B133" s="12"/>
      <c r="C133" s="554"/>
      <c r="D133" s="12"/>
      <c r="E133" s="12"/>
      <c r="F133" s="441"/>
      <c r="G133" s="12"/>
    </row>
    <row r="134" spans="1:9" x14ac:dyDescent="0.15">
      <c r="B134" s="12"/>
      <c r="C134" s="12"/>
      <c r="D134" s="12"/>
      <c r="E134" s="12"/>
      <c r="F134" s="12"/>
      <c r="G134" s="12"/>
    </row>
    <row r="135" spans="1:9" x14ac:dyDescent="0.15">
      <c r="B135" s="12"/>
      <c r="C135" s="12"/>
      <c r="D135" s="12"/>
      <c r="E135" s="12"/>
      <c r="F135" s="12"/>
      <c r="G135" s="12"/>
    </row>
    <row r="136" spans="1:9" x14ac:dyDescent="0.15">
      <c r="A136" s="7" t="s">
        <v>523</v>
      </c>
      <c r="B136" s="12" t="s">
        <v>521</v>
      </c>
      <c r="C136" s="12" t="s">
        <v>522</v>
      </c>
      <c r="D136" s="12"/>
      <c r="E136" s="12"/>
      <c r="F136" s="12"/>
      <c r="G136" s="12"/>
    </row>
    <row r="137" spans="1:9" x14ac:dyDescent="0.15">
      <c r="A137" s="12" t="s">
        <v>620</v>
      </c>
      <c r="B137" s="611">
        <v>519</v>
      </c>
      <c r="C137" s="555">
        <v>112</v>
      </c>
      <c r="D137" s="12"/>
      <c r="E137" s="12"/>
      <c r="F137" s="12"/>
      <c r="G137" s="12"/>
      <c r="H137" s="17">
        <f>E127/C127</f>
        <v>20.723063059954033</v>
      </c>
      <c r="I137" s="17" t="s">
        <v>624</v>
      </c>
    </row>
    <row r="138" spans="1:9" x14ac:dyDescent="0.15">
      <c r="A138" s="12" t="s">
        <v>621</v>
      </c>
      <c r="B138" s="555">
        <v>537</v>
      </c>
      <c r="C138" s="555">
        <v>117</v>
      </c>
      <c r="D138" s="12"/>
      <c r="E138" s="12"/>
      <c r="F138" s="12"/>
      <c r="G138" s="12"/>
      <c r="H138" s="17">
        <f>C115/(B115/24)</f>
        <v>82.5</v>
      </c>
      <c r="I138" s="17" t="s">
        <v>625</v>
      </c>
    </row>
    <row r="139" spans="1:9" x14ac:dyDescent="0.15">
      <c r="A139" s="12" t="s">
        <v>622</v>
      </c>
      <c r="B139" s="555">
        <v>621</v>
      </c>
      <c r="C139" s="555">
        <v>132</v>
      </c>
      <c r="D139" s="12"/>
      <c r="E139" s="12"/>
      <c r="F139" s="12"/>
      <c r="G139" s="12"/>
    </row>
    <row r="140" spans="1:9" x14ac:dyDescent="0.15">
      <c r="A140" s="12" t="s">
        <v>623</v>
      </c>
      <c r="B140" s="555">
        <v>1625</v>
      </c>
      <c r="C140" s="555">
        <v>297</v>
      </c>
      <c r="D140" s="12"/>
      <c r="E140" s="12"/>
      <c r="F140" s="12"/>
      <c r="G140" s="12"/>
    </row>
    <row r="141" spans="1:9" x14ac:dyDescent="0.15">
      <c r="A141" s="12"/>
      <c r="B141" s="555"/>
      <c r="C141" s="555"/>
      <c r="D141" s="12"/>
      <c r="E141" s="12"/>
      <c r="F141" s="12"/>
      <c r="G141" s="12"/>
    </row>
    <row r="142" spans="1:9" x14ac:dyDescent="0.15">
      <c r="B142" s="12"/>
      <c r="C142" s="12"/>
      <c r="D142" s="12"/>
      <c r="E142" s="12"/>
      <c r="F142" s="12"/>
      <c r="G142" s="12"/>
    </row>
    <row r="143" spans="1:9" x14ac:dyDescent="0.15">
      <c r="B143" s="12"/>
      <c r="C143" s="12"/>
      <c r="D143" s="12"/>
      <c r="E143" s="12"/>
      <c r="F143" s="12"/>
      <c r="G143" s="12"/>
    </row>
    <row r="144" spans="1:9" x14ac:dyDescent="0.15">
      <c r="B144" s="12"/>
      <c r="C144" s="12"/>
      <c r="D144" s="12"/>
      <c r="E144" s="12"/>
      <c r="F144" s="12"/>
      <c r="G144" s="12"/>
    </row>
    <row r="145" spans="2:7" x14ac:dyDescent="0.15">
      <c r="B145" s="12"/>
      <c r="C145" s="12"/>
      <c r="D145" s="12"/>
      <c r="E145" s="12"/>
      <c r="F145" s="12"/>
      <c r="G145" s="12"/>
    </row>
    <row r="146" spans="2:7" x14ac:dyDescent="0.15">
      <c r="B146" s="12"/>
      <c r="C146" s="12"/>
      <c r="D146" s="12"/>
      <c r="E146" s="12"/>
      <c r="F146" s="12"/>
      <c r="G146" s="12"/>
    </row>
    <row r="147" spans="2:7" x14ac:dyDescent="0.15">
      <c r="B147" s="12"/>
      <c r="C147" s="12"/>
      <c r="D147" s="12"/>
      <c r="E147" s="12"/>
      <c r="F147" s="12"/>
      <c r="G147" s="12"/>
    </row>
    <row r="148" spans="2:7" x14ac:dyDescent="0.15">
      <c r="B148" s="12"/>
      <c r="C148" s="12"/>
      <c r="D148" s="12"/>
      <c r="E148" s="12"/>
      <c r="F148" s="12"/>
      <c r="G148" s="12"/>
    </row>
    <row r="149" spans="2:7" x14ac:dyDescent="0.15">
      <c r="B149" s="12"/>
      <c r="C149" s="12"/>
      <c r="D149" s="12"/>
      <c r="E149" s="12"/>
      <c r="F149" s="12"/>
      <c r="G149" s="12"/>
    </row>
    <row r="150" spans="2:7" x14ac:dyDescent="0.15">
      <c r="B150" s="12"/>
      <c r="C150" s="12"/>
      <c r="D150" s="12"/>
      <c r="E150" s="12"/>
      <c r="F150" s="12"/>
      <c r="G150" s="12"/>
    </row>
    <row r="151" spans="2:7" x14ac:dyDescent="0.15">
      <c r="B151" s="12"/>
      <c r="C151" s="12"/>
      <c r="D151" s="12"/>
      <c r="E151" s="12"/>
      <c r="F151" s="12"/>
      <c r="G151" s="12"/>
    </row>
    <row r="152" spans="2:7" x14ac:dyDescent="0.15">
      <c r="B152" s="12"/>
      <c r="C152" s="12"/>
      <c r="D152" s="12"/>
      <c r="E152" s="12"/>
      <c r="F152" s="12"/>
      <c r="G152" s="12"/>
    </row>
    <row r="153" spans="2:7" x14ac:dyDescent="0.15">
      <c r="B153" s="12"/>
      <c r="C153" s="12"/>
      <c r="D153" s="12"/>
      <c r="E153" s="12"/>
      <c r="F153" s="12"/>
      <c r="G153" s="12"/>
    </row>
    <row r="154" spans="2:7" x14ac:dyDescent="0.15">
      <c r="B154" s="12"/>
      <c r="C154" s="12"/>
      <c r="D154" s="12"/>
      <c r="E154" s="12"/>
      <c r="F154" s="12"/>
      <c r="G154" s="12"/>
    </row>
    <row r="155" spans="2:7" x14ac:dyDescent="0.15">
      <c r="B155" s="12"/>
      <c r="C155" s="12"/>
      <c r="D155" s="12"/>
      <c r="E155" s="12"/>
      <c r="F155" s="12"/>
      <c r="G155" s="12"/>
    </row>
    <row r="156" spans="2:7" x14ac:dyDescent="0.15">
      <c r="B156" s="12"/>
      <c r="C156" s="12"/>
      <c r="D156" s="12"/>
      <c r="E156" s="12"/>
      <c r="F156" s="12"/>
      <c r="G156" s="12"/>
    </row>
    <row r="157" spans="2:7" x14ac:dyDescent="0.15">
      <c r="B157" s="12"/>
      <c r="C157" s="12"/>
      <c r="D157" s="12"/>
      <c r="E157" s="12"/>
      <c r="F157" s="12"/>
      <c r="G157" s="12"/>
    </row>
    <row r="158" spans="2:7" x14ac:dyDescent="0.15">
      <c r="B158" s="12"/>
      <c r="C158" s="12"/>
      <c r="D158" s="12"/>
      <c r="E158" s="12"/>
      <c r="F158" s="12"/>
      <c r="G158" s="12"/>
    </row>
    <row r="159" spans="2:7" x14ac:dyDescent="0.15">
      <c r="B159" s="12"/>
      <c r="C159" s="12"/>
      <c r="D159" s="12"/>
      <c r="E159" s="12"/>
      <c r="F159" s="12"/>
      <c r="G159" s="12"/>
    </row>
    <row r="160" spans="2:7" x14ac:dyDescent="0.15">
      <c r="B160" s="12"/>
      <c r="C160" s="12"/>
      <c r="D160" s="12"/>
      <c r="E160" s="12"/>
      <c r="F160" s="12"/>
      <c r="G160" s="12"/>
    </row>
    <row r="161" spans="2:7" x14ac:dyDescent="0.15">
      <c r="B161" s="12"/>
      <c r="C161" s="12"/>
      <c r="D161" s="12"/>
      <c r="E161" s="12"/>
      <c r="F161" s="12"/>
      <c r="G161" s="12"/>
    </row>
    <row r="162" spans="2:7" x14ac:dyDescent="0.15">
      <c r="B162" s="12"/>
      <c r="C162" s="12"/>
      <c r="D162" s="12"/>
      <c r="E162" s="12"/>
      <c r="F162" s="12"/>
      <c r="G162" s="12"/>
    </row>
    <row r="163" spans="2:7" x14ac:dyDescent="0.15">
      <c r="B163" s="12"/>
      <c r="C163" s="12"/>
      <c r="D163" s="12"/>
      <c r="E163" s="12"/>
      <c r="F163" s="12"/>
      <c r="G163" s="12"/>
    </row>
    <row r="164" spans="2:7" x14ac:dyDescent="0.15">
      <c r="B164" s="12"/>
      <c r="C164" s="12"/>
      <c r="D164" s="12"/>
      <c r="E164" s="12"/>
      <c r="F164" s="12"/>
      <c r="G164" s="12"/>
    </row>
    <row r="165" spans="2:7" x14ac:dyDescent="0.15">
      <c r="B165" s="12"/>
      <c r="C165" s="12"/>
      <c r="D165" s="12"/>
      <c r="E165" s="12"/>
      <c r="F165" s="12"/>
      <c r="G165" s="12"/>
    </row>
  </sheetData>
  <pageMargins left="0.7" right="0.7" top="0.75" bottom="0.75" header="0.3" footer="0.3"/>
  <pageSetup orientation="portrait" horizontalDpi="4294967295" verticalDpi="4294967295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1562C1-E3AF-DB41-992D-F9BCC722A7C8}">
  <sheetPr codeName="Sheet3"/>
  <dimension ref="A1:R142"/>
  <sheetViews>
    <sheetView zoomScaleNormal="100" workbookViewId="0">
      <pane ySplit="1" topLeftCell="A2" activePane="bottomLeft" state="frozen"/>
      <selection pane="bottomLeft" activeCell="D121" sqref="D121"/>
    </sheetView>
  </sheetViews>
  <sheetFormatPr baseColWidth="10" defaultColWidth="24.83203125" defaultRowHeight="13" x14ac:dyDescent="0.15"/>
  <cols>
    <col min="1" max="1" width="24.83203125" style="87" customWidth="1"/>
    <col min="2" max="16384" width="24.83203125" style="87"/>
  </cols>
  <sheetData>
    <row r="1" spans="1:8" s="187" customFormat="1" ht="27" x14ac:dyDescent="0.35">
      <c r="A1" s="383" t="s">
        <v>344</v>
      </c>
      <c r="B1" s="205">
        <f>H2_cost_infl*tons_to_kg</f>
        <v>138.15249440013105</v>
      </c>
      <c r="C1" s="204" t="s">
        <v>150</v>
      </c>
      <c r="H1" s="206"/>
    </row>
    <row r="3" spans="1:8" ht="16" x14ac:dyDescent="0.2">
      <c r="A3" s="359" t="s">
        <v>203</v>
      </c>
      <c r="B3" s="89"/>
      <c r="C3" s="89"/>
    </row>
    <row r="4" spans="1:8" x14ac:dyDescent="0.15">
      <c r="A4" s="43" t="s">
        <v>142</v>
      </c>
      <c r="B4" s="360">
        <v>2.2000000000000001E-3</v>
      </c>
      <c r="C4" s="43" t="s">
        <v>143</v>
      </c>
    </row>
    <row r="5" spans="1:8" ht="15" x14ac:dyDescent="0.2">
      <c r="A5" s="43" t="s">
        <v>199</v>
      </c>
      <c r="B5" s="360">
        <f>44/1000</f>
        <v>4.3999999999999997E-2</v>
      </c>
      <c r="C5" s="43" t="s">
        <v>146</v>
      </c>
    </row>
    <row r="6" spans="1:8" x14ac:dyDescent="0.15">
      <c r="A6" s="43" t="s">
        <v>256</v>
      </c>
      <c r="B6" s="43">
        <v>8.68</v>
      </c>
      <c r="C6" s="268" t="s">
        <v>124</v>
      </c>
      <c r="D6" s="269" t="s">
        <v>125</v>
      </c>
    </row>
    <row r="7" spans="1:8" x14ac:dyDescent="0.15">
      <c r="A7" s="17"/>
      <c r="B7" s="361"/>
      <c r="C7" s="17"/>
    </row>
    <row r="8" spans="1:8" x14ac:dyDescent="0.15">
      <c r="A8" s="17"/>
      <c r="B8" s="17"/>
      <c r="C8" s="17"/>
    </row>
    <row r="9" spans="1:8" ht="16" x14ac:dyDescent="0.15">
      <c r="A9" s="64" t="s">
        <v>204</v>
      </c>
      <c r="B9" s="51"/>
      <c r="C9" s="51"/>
    </row>
    <row r="10" spans="1:8" ht="15" customHeight="1" x14ac:dyDescent="0.15">
      <c r="A10" s="65" t="s">
        <v>302</v>
      </c>
      <c r="B10" s="393">
        <f>400000</f>
        <v>400000</v>
      </c>
      <c r="C10" s="51" t="s">
        <v>262</v>
      </c>
    </row>
    <row r="11" spans="1:8" ht="16" x14ac:dyDescent="0.15">
      <c r="A11" s="65" t="s">
        <v>303</v>
      </c>
      <c r="B11" s="393">
        <f>B10/24</f>
        <v>16666.666666666668</v>
      </c>
      <c r="C11" s="51" t="s">
        <v>290</v>
      </c>
    </row>
    <row r="12" spans="1:8" ht="14" x14ac:dyDescent="0.15">
      <c r="A12" s="65" t="s">
        <v>122</v>
      </c>
      <c r="B12" s="393">
        <f>m3_h*264.172/60</f>
        <v>73381.111111111109</v>
      </c>
      <c r="C12" s="51" t="s">
        <v>122</v>
      </c>
    </row>
    <row r="13" spans="1:8" ht="14" x14ac:dyDescent="0.15">
      <c r="A13" s="65" t="s">
        <v>291</v>
      </c>
      <c r="B13" s="393">
        <f>B10*264.172/1000000</f>
        <v>105.66880000000002</v>
      </c>
      <c r="C13" s="362" t="s">
        <v>291</v>
      </c>
    </row>
    <row r="14" spans="1:8" x14ac:dyDescent="0.15">
      <c r="A14" s="363" t="s">
        <v>304</v>
      </c>
      <c r="B14" s="393">
        <f>m3_h/hr_to_s/l_to_m3</f>
        <v>4629.6296296296296</v>
      </c>
      <c r="C14" s="363" t="s">
        <v>304</v>
      </c>
    </row>
    <row r="15" spans="1:8" x14ac:dyDescent="0.15">
      <c r="A15" s="15"/>
      <c r="B15" s="364"/>
      <c r="C15" s="365"/>
    </row>
    <row r="16" spans="1:8" x14ac:dyDescent="0.15">
      <c r="A16" s="19"/>
      <c r="B16" s="19"/>
      <c r="C16" s="17"/>
    </row>
    <row r="17" spans="1:7" ht="16" x14ac:dyDescent="0.15">
      <c r="A17" s="66" t="s">
        <v>289</v>
      </c>
      <c r="B17" s="58"/>
      <c r="C17" s="58"/>
    </row>
    <row r="18" spans="1:7" ht="15" x14ac:dyDescent="0.2">
      <c r="A18" s="538" t="s">
        <v>472</v>
      </c>
      <c r="B18" s="319">
        <f>B19/tons_to_kg*365</f>
        <v>11306.240000000002</v>
      </c>
      <c r="C18" s="58" t="s">
        <v>471</v>
      </c>
      <c r="E18" s="480" t="s">
        <v>597</v>
      </c>
      <c r="F18" s="481"/>
    </row>
    <row r="19" spans="1:7" ht="15" customHeight="1" x14ac:dyDescent="0.2">
      <c r="A19" s="67" t="s">
        <v>286</v>
      </c>
      <c r="B19" s="366">
        <f>baseline_cap</f>
        <v>30976.000000000004</v>
      </c>
      <c r="C19" s="367" t="s">
        <v>109</v>
      </c>
      <c r="E19" s="481">
        <v>10</v>
      </c>
      <c r="F19" s="481" t="s">
        <v>596</v>
      </c>
      <c r="G19" s="87">
        <f>'Process and cost assumptions'!A130</f>
        <v>10</v>
      </c>
    </row>
    <row r="20" spans="1:7" ht="16" x14ac:dyDescent="0.2">
      <c r="A20" s="67" t="s">
        <v>287</v>
      </c>
      <c r="B20" s="368">
        <f>B19/molar_mass*vol_mol*l_to_m3/24</f>
        <v>657.06666666666672</v>
      </c>
      <c r="C20" s="58" t="s">
        <v>524</v>
      </c>
      <c r="D20" s="603"/>
      <c r="E20" s="368">
        <f>mol_s*gas_const*temp/(E19*torr_to_pa)*hr_to_s</f>
        <v>49940.90746176261</v>
      </c>
      <c r="F20" s="481" t="s">
        <v>509</v>
      </c>
      <c r="G20" s="87" t="s">
        <v>599</v>
      </c>
    </row>
    <row r="21" spans="1:7" ht="14" x14ac:dyDescent="0.15">
      <c r="A21" s="67" t="s">
        <v>117</v>
      </c>
      <c r="B21" s="369">
        <f>B19/molar_mass/day_to_min/60</f>
        <v>8.1481481481481488</v>
      </c>
      <c r="C21" s="58" t="s">
        <v>117</v>
      </c>
      <c r="D21" s="603"/>
      <c r="E21" s="669">
        <f>m3_h/E20</f>
        <v>0.33372774972956881</v>
      </c>
      <c r="F21" s="481" t="s">
        <v>598</v>
      </c>
    </row>
    <row r="22" spans="1:7" ht="14" x14ac:dyDescent="0.15">
      <c r="A22" s="67" t="s">
        <v>470</v>
      </c>
      <c r="B22" s="369">
        <f>B19/molar_mass/24/1000</f>
        <v>29.333333333333339</v>
      </c>
      <c r="C22" s="58" t="s">
        <v>470</v>
      </c>
      <c r="D22" s="603"/>
    </row>
    <row r="23" spans="1:7" ht="14" x14ac:dyDescent="0.15">
      <c r="A23" s="67" t="s">
        <v>288</v>
      </c>
      <c r="B23" s="369">
        <f>B19/day_to_min/60</f>
        <v>0.35851851851851857</v>
      </c>
      <c r="C23" s="58" t="s">
        <v>288</v>
      </c>
    </row>
    <row r="24" spans="1:7" x14ac:dyDescent="0.15">
      <c r="A24" s="15"/>
      <c r="B24" s="370"/>
      <c r="C24" s="17"/>
    </row>
    <row r="25" spans="1:7" x14ac:dyDescent="0.15">
      <c r="A25" s="15"/>
      <c r="B25" s="370"/>
      <c r="C25" s="17"/>
      <c r="G25" s="603"/>
    </row>
    <row r="26" spans="1:7" ht="18" x14ac:dyDescent="0.15">
      <c r="A26" s="39" t="s">
        <v>411</v>
      </c>
      <c r="B26" s="70"/>
      <c r="C26" s="70"/>
      <c r="G26" s="603"/>
    </row>
    <row r="27" spans="1:7" ht="15" x14ac:dyDescent="0.2">
      <c r="A27" s="500" t="s">
        <v>610</v>
      </c>
      <c r="B27" s="456">
        <f>molar_mass*DIC_concentration*extraction_efficiency</f>
        <v>7.7440000000000004E-5</v>
      </c>
      <c r="C27" s="70" t="s">
        <v>609</v>
      </c>
    </row>
    <row r="28" spans="1:7" ht="15" x14ac:dyDescent="0.2">
      <c r="A28" s="40" t="s">
        <v>500</v>
      </c>
      <c r="B28" s="601">
        <f>1/(LOW_to_kgCO2/molar_mass*22.4)</f>
        <v>25.365259740259742</v>
      </c>
      <c r="C28" s="70" t="s">
        <v>501</v>
      </c>
      <c r="D28" s="602"/>
    </row>
    <row r="29" spans="1:7" ht="16" x14ac:dyDescent="0.2">
      <c r="A29" s="40" t="s">
        <v>611</v>
      </c>
      <c r="B29" s="456">
        <f>LOW_to_kgCO2*1/l_to_m3</f>
        <v>7.7440000000000009E-2</v>
      </c>
      <c r="C29" s="70" t="s">
        <v>612</v>
      </c>
    </row>
    <row r="30" spans="1:7" x14ac:dyDescent="0.15">
      <c r="A30" s="40"/>
      <c r="B30" s="456"/>
      <c r="C30" s="70"/>
    </row>
    <row r="31" spans="1:7" x14ac:dyDescent="0.15">
      <c r="A31" s="40" t="s">
        <v>415</v>
      </c>
      <c r="B31" s="456">
        <f>10^(-acid_pH)/acid_concH</f>
        <v>0.99379816963324885</v>
      </c>
      <c r="C31" s="70" t="s">
        <v>412</v>
      </c>
    </row>
    <row r="32" spans="1:7" ht="15" customHeight="1" x14ac:dyDescent="0.15">
      <c r="A32" s="499" t="s">
        <v>429</v>
      </c>
      <c r="B32" s="458">
        <f>co2_per_DIC*DIC_concentration/(fraction_oceanwater*10^-(acid_pH))</f>
        <v>0.8495146552082008</v>
      </c>
      <c r="C32" s="459" t="s">
        <v>412</v>
      </c>
    </row>
    <row r="33" spans="1:4" ht="15" x14ac:dyDescent="0.15">
      <c r="A33" s="457" t="s">
        <v>414</v>
      </c>
      <c r="B33" s="458">
        <f>molh_to_molco2eq*mc_efficiency</f>
        <v>0.76456318968738068</v>
      </c>
      <c r="C33" s="459" t="s">
        <v>412</v>
      </c>
    </row>
    <row r="34" spans="1:4" ht="16" x14ac:dyDescent="0.15">
      <c r="A34" s="460" t="s">
        <v>413</v>
      </c>
      <c r="B34" s="461">
        <f>LOW_to_kgCO2/(fraction_oceanwater*10^(-acid_pH))</f>
        <v>3.0315695971212257E-2</v>
      </c>
      <c r="C34" s="70" t="s">
        <v>146</v>
      </c>
    </row>
    <row r="35" spans="1:4" x14ac:dyDescent="0.15">
      <c r="A35" s="15"/>
      <c r="B35" s="370"/>
      <c r="C35" s="17"/>
    </row>
    <row r="36" spans="1:4" x14ac:dyDescent="0.15">
      <c r="A36" s="15"/>
      <c r="B36" s="364"/>
      <c r="C36" s="17"/>
    </row>
    <row r="37" spans="1:4" ht="16" x14ac:dyDescent="0.15">
      <c r="A37" s="38" t="s">
        <v>285</v>
      </c>
      <c r="B37" s="32"/>
      <c r="C37" s="32"/>
    </row>
    <row r="38" spans="1:4" ht="14" x14ac:dyDescent="0.15">
      <c r="A38" s="462" t="s">
        <v>118</v>
      </c>
      <c r="B38" s="463">
        <v>8.3144626181532395</v>
      </c>
      <c r="C38" s="339" t="s">
        <v>170</v>
      </c>
    </row>
    <row r="39" spans="1:4" ht="14" x14ac:dyDescent="0.15">
      <c r="A39" s="464" t="s">
        <v>119</v>
      </c>
      <c r="B39" s="339">
        <v>273</v>
      </c>
      <c r="C39" s="339" t="s">
        <v>120</v>
      </c>
      <c r="D39" s="87" t="s">
        <v>512</v>
      </c>
    </row>
    <row r="40" spans="1:4" ht="15" x14ac:dyDescent="0.2">
      <c r="A40" s="339" t="s">
        <v>312</v>
      </c>
      <c r="B40" s="339">
        <v>1.3</v>
      </c>
      <c r="C40" s="339"/>
    </row>
    <row r="41" spans="1:4" ht="15" x14ac:dyDescent="0.2">
      <c r="A41" s="339" t="s">
        <v>313</v>
      </c>
      <c r="B41" s="339">
        <v>1.4</v>
      </c>
      <c r="C41" s="339"/>
    </row>
    <row r="42" spans="1:4" x14ac:dyDescent="0.15">
      <c r="A42" s="465" t="s">
        <v>301</v>
      </c>
      <c r="B42" s="465">
        <v>96485.3</v>
      </c>
      <c r="C42" s="339" t="s">
        <v>300</v>
      </c>
    </row>
    <row r="43" spans="1:4" x14ac:dyDescent="0.15">
      <c r="A43" s="16"/>
      <c r="B43" s="269"/>
      <c r="C43" s="269"/>
    </row>
    <row r="44" spans="1:4" x14ac:dyDescent="0.15">
      <c r="C44" s="269"/>
    </row>
    <row r="45" spans="1:4" ht="16" x14ac:dyDescent="0.2">
      <c r="A45" s="371" t="s">
        <v>166</v>
      </c>
      <c r="B45" s="25"/>
      <c r="C45" s="25"/>
    </row>
    <row r="46" spans="1:4" ht="15" x14ac:dyDescent="0.15">
      <c r="A46" s="372" t="s">
        <v>160</v>
      </c>
      <c r="B46" s="466">
        <f>1/1000</f>
        <v>1E-3</v>
      </c>
      <c r="C46" s="25" t="s">
        <v>200</v>
      </c>
    </row>
    <row r="47" spans="1:4" x14ac:dyDescent="0.15">
      <c r="A47" s="350" t="s">
        <v>159</v>
      </c>
      <c r="B47" s="467">
        <f>60*60</f>
        <v>3600</v>
      </c>
      <c r="C47" s="350" t="s">
        <v>158</v>
      </c>
    </row>
    <row r="48" spans="1:4" x14ac:dyDescent="0.15">
      <c r="A48" s="350" t="s">
        <v>283</v>
      </c>
      <c r="B48" s="467">
        <f>24*60</f>
        <v>1440</v>
      </c>
      <c r="C48" s="350" t="s">
        <v>284</v>
      </c>
    </row>
    <row r="49" spans="1:17" x14ac:dyDescent="0.15">
      <c r="A49" s="25" t="s">
        <v>165</v>
      </c>
      <c r="B49" s="466">
        <f>1000*hr_to_s</f>
        <v>3600000</v>
      </c>
      <c r="C49" s="25" t="s">
        <v>157</v>
      </c>
    </row>
    <row r="50" spans="1:17" x14ac:dyDescent="0.15">
      <c r="A50" s="350" t="s">
        <v>161</v>
      </c>
      <c r="B50" s="466">
        <v>1000</v>
      </c>
      <c r="C50" s="25" t="s">
        <v>162</v>
      </c>
      <c r="E50" s="606"/>
    </row>
    <row r="51" spans="1:17" x14ac:dyDescent="0.15">
      <c r="A51" s="25" t="s">
        <v>163</v>
      </c>
      <c r="B51" s="466">
        <v>100000</v>
      </c>
      <c r="C51" s="25" t="s">
        <v>164</v>
      </c>
    </row>
    <row r="52" spans="1:17" x14ac:dyDescent="0.15">
      <c r="A52" s="25" t="s">
        <v>510</v>
      </c>
      <c r="B52" s="466">
        <f>133.322</f>
        <v>133.322</v>
      </c>
      <c r="C52" s="25" t="s">
        <v>511</v>
      </c>
    </row>
    <row r="53" spans="1:17" x14ac:dyDescent="0.15">
      <c r="A53" s="25" t="s">
        <v>171</v>
      </c>
      <c r="B53" s="466">
        <f>1/9.81*3.28*bar_to_pa*l_to_m3</f>
        <v>33.435270132517836</v>
      </c>
      <c r="C53" s="25" t="s">
        <v>172</v>
      </c>
    </row>
    <row r="54" spans="1:17" x14ac:dyDescent="0.15">
      <c r="A54" s="25" t="s">
        <v>168</v>
      </c>
      <c r="B54" s="466">
        <v>22.4</v>
      </c>
      <c r="C54" s="25" t="s">
        <v>169</v>
      </c>
    </row>
    <row r="55" spans="1:17" ht="15" x14ac:dyDescent="0.15">
      <c r="A55" s="25" t="s">
        <v>442</v>
      </c>
      <c r="B55" s="466">
        <f>1/264.172</f>
        <v>3.7854125342579831E-3</v>
      </c>
      <c r="C55" s="25" t="s">
        <v>441</v>
      </c>
    </row>
    <row r="56" spans="1:17" ht="15" x14ac:dyDescent="0.15">
      <c r="A56" s="350" t="s">
        <v>282</v>
      </c>
      <c r="B56" s="466">
        <v>2.83168E-2</v>
      </c>
      <c r="C56" s="25" t="s">
        <v>281</v>
      </c>
    </row>
    <row r="59" spans="1:17" ht="16" x14ac:dyDescent="0.2">
      <c r="A59" s="373" t="s">
        <v>205</v>
      </c>
      <c r="B59" s="374"/>
      <c r="C59" s="374"/>
      <c r="D59" s="374"/>
      <c r="E59" s="374"/>
      <c r="F59" s="374"/>
      <c r="G59" s="374"/>
      <c r="H59" s="374"/>
      <c r="I59" s="374"/>
      <c r="J59" s="374"/>
    </row>
    <row r="60" spans="1:17" s="170" customFormat="1" x14ac:dyDescent="0.15">
      <c r="A60" s="375" t="s">
        <v>217</v>
      </c>
      <c r="B60" s="376"/>
      <c r="C60" s="376"/>
      <c r="D60" s="376"/>
      <c r="E60" s="376"/>
      <c r="F60" s="376"/>
      <c r="G60" s="376"/>
      <c r="H60" s="376"/>
      <c r="I60" s="376"/>
      <c r="J60" s="376"/>
    </row>
    <row r="61" spans="1:17" s="170" customFormat="1" x14ac:dyDescent="0.15">
      <c r="A61" s="377"/>
      <c r="B61" s="376"/>
      <c r="C61" s="376"/>
      <c r="D61" s="376"/>
      <c r="E61" s="376"/>
      <c r="F61" s="376"/>
      <c r="G61" s="376"/>
      <c r="H61" s="376"/>
      <c r="I61" s="376"/>
      <c r="J61" s="376"/>
    </row>
    <row r="62" spans="1:17" s="170" customFormat="1" x14ac:dyDescent="0.15">
      <c r="A62" s="378" t="s">
        <v>231</v>
      </c>
      <c r="B62" s="378" t="s">
        <v>206</v>
      </c>
      <c r="C62" s="378" t="s">
        <v>207</v>
      </c>
      <c r="D62" s="378" t="s">
        <v>208</v>
      </c>
      <c r="E62" s="378" t="s">
        <v>213</v>
      </c>
      <c r="F62" s="378" t="s">
        <v>214</v>
      </c>
      <c r="G62" s="378" t="s">
        <v>215</v>
      </c>
      <c r="H62" s="378" t="s">
        <v>216</v>
      </c>
      <c r="I62" s="378" t="s">
        <v>209</v>
      </c>
      <c r="J62" s="378" t="s">
        <v>210</v>
      </c>
      <c r="K62" s="160"/>
      <c r="L62" s="160"/>
      <c r="M62" s="160"/>
      <c r="N62" s="160"/>
      <c r="O62" s="160"/>
      <c r="P62" s="160"/>
      <c r="Q62" s="160"/>
    </row>
    <row r="63" spans="1:17" x14ac:dyDescent="0.15">
      <c r="A63" s="374">
        <v>1</v>
      </c>
      <c r="B63" s="374">
        <v>1</v>
      </c>
      <c r="C63" s="374">
        <v>3600</v>
      </c>
      <c r="D63" s="374" t="s">
        <v>211</v>
      </c>
      <c r="E63" s="374">
        <v>50</v>
      </c>
      <c r="F63" s="374">
        <v>900</v>
      </c>
      <c r="G63" s="374">
        <v>50</v>
      </c>
      <c r="H63" s="374">
        <v>400</v>
      </c>
      <c r="I63" s="374">
        <v>75</v>
      </c>
      <c r="J63" s="374">
        <v>1</v>
      </c>
    </row>
    <row r="64" spans="1:17" x14ac:dyDescent="0.15">
      <c r="A64" s="374">
        <v>2</v>
      </c>
      <c r="B64" s="374">
        <v>1</v>
      </c>
      <c r="C64" s="374">
        <v>1800</v>
      </c>
      <c r="D64" s="374" t="s">
        <v>211</v>
      </c>
      <c r="E64" s="374">
        <v>50</v>
      </c>
      <c r="F64" s="374">
        <v>3500</v>
      </c>
      <c r="G64" s="374">
        <v>50</v>
      </c>
      <c r="H64" s="374">
        <v>200</v>
      </c>
      <c r="I64" s="374">
        <v>200</v>
      </c>
      <c r="J64" s="374">
        <v>1.5</v>
      </c>
    </row>
    <row r="65" spans="1:10" x14ac:dyDescent="0.15">
      <c r="A65" s="374">
        <v>3</v>
      </c>
      <c r="B65" s="374">
        <v>1</v>
      </c>
      <c r="C65" s="374">
        <v>3600</v>
      </c>
      <c r="D65" s="374" t="s">
        <v>212</v>
      </c>
      <c r="E65" s="374">
        <v>100</v>
      </c>
      <c r="F65" s="374">
        <v>1500</v>
      </c>
      <c r="G65" s="374">
        <v>100</v>
      </c>
      <c r="H65" s="374">
        <v>450</v>
      </c>
      <c r="I65" s="374">
        <v>150</v>
      </c>
      <c r="J65" s="374">
        <v>1.7</v>
      </c>
    </row>
    <row r="66" spans="1:10" x14ac:dyDescent="0.15">
      <c r="A66" s="374">
        <v>4</v>
      </c>
      <c r="B66" s="374">
        <v>1</v>
      </c>
      <c r="C66" s="374">
        <v>1800</v>
      </c>
      <c r="D66" s="374" t="s">
        <v>212</v>
      </c>
      <c r="E66" s="374">
        <v>250</v>
      </c>
      <c r="F66" s="374">
        <v>5000</v>
      </c>
      <c r="G66" s="374">
        <v>50</v>
      </c>
      <c r="H66" s="374">
        <v>500</v>
      </c>
      <c r="I66" s="374">
        <v>250</v>
      </c>
      <c r="J66" s="374">
        <v>2</v>
      </c>
    </row>
    <row r="67" spans="1:10" x14ac:dyDescent="0.15">
      <c r="A67" s="374">
        <v>5</v>
      </c>
      <c r="B67" s="374">
        <v>2</v>
      </c>
      <c r="C67" s="374">
        <v>3600</v>
      </c>
      <c r="D67" s="374" t="s">
        <v>212</v>
      </c>
      <c r="E67" s="374">
        <v>50</v>
      </c>
      <c r="F67" s="374">
        <v>1100</v>
      </c>
      <c r="G67" s="374">
        <v>300</v>
      </c>
      <c r="H67" s="374">
        <v>1100</v>
      </c>
      <c r="I67" s="374">
        <v>250</v>
      </c>
      <c r="J67" s="374">
        <v>2.7</v>
      </c>
    </row>
    <row r="68" spans="1:10" x14ac:dyDescent="0.15">
      <c r="A68" s="374">
        <v>6</v>
      </c>
      <c r="B68" s="374">
        <v>2</v>
      </c>
      <c r="C68" s="374">
        <v>3600</v>
      </c>
      <c r="D68" s="374" t="s">
        <v>212</v>
      </c>
      <c r="E68" s="374">
        <v>100</v>
      </c>
      <c r="F68" s="374">
        <v>1500</v>
      </c>
      <c r="G68" s="374">
        <v>650</v>
      </c>
      <c r="H68" s="374">
        <v>3200</v>
      </c>
      <c r="I68" s="374">
        <v>1450</v>
      </c>
      <c r="J68" s="374">
        <v>8.9</v>
      </c>
    </row>
    <row r="69" spans="1:10" s="188" customFormat="1" x14ac:dyDescent="0.15"/>
    <row r="71" spans="1:10" ht="16" x14ac:dyDescent="0.2">
      <c r="A71" s="468" t="s">
        <v>219</v>
      </c>
      <c r="B71" s="469"/>
    </row>
    <row r="72" spans="1:10" x14ac:dyDescent="0.15">
      <c r="A72" s="470" t="s">
        <v>220</v>
      </c>
      <c r="B72" s="471"/>
    </row>
    <row r="73" spans="1:10" x14ac:dyDescent="0.15">
      <c r="A73" s="472"/>
      <c r="B73" s="471"/>
    </row>
    <row r="74" spans="1:10" x14ac:dyDescent="0.15">
      <c r="A74" s="473" t="s">
        <v>221</v>
      </c>
      <c r="B74" s="473" t="s">
        <v>222</v>
      </c>
    </row>
    <row r="75" spans="1:10" x14ac:dyDescent="0.15">
      <c r="A75" s="469" t="s">
        <v>223</v>
      </c>
      <c r="B75" s="469">
        <v>1</v>
      </c>
    </row>
    <row r="76" spans="1:10" x14ac:dyDescent="0.15">
      <c r="A76" s="469" t="s">
        <v>224</v>
      </c>
      <c r="B76" s="469">
        <v>1.1499999999999999</v>
      </c>
    </row>
    <row r="77" spans="1:10" x14ac:dyDescent="0.15">
      <c r="A77" s="469" t="s">
        <v>225</v>
      </c>
      <c r="B77" s="469">
        <v>1.35</v>
      </c>
    </row>
    <row r="78" spans="1:10" x14ac:dyDescent="0.15">
      <c r="A78" s="469" t="s">
        <v>226</v>
      </c>
      <c r="B78" s="469">
        <v>1.9</v>
      </c>
    </row>
    <row r="79" spans="1:10" x14ac:dyDescent="0.15">
      <c r="A79" s="469" t="s">
        <v>227</v>
      </c>
      <c r="B79" s="469">
        <v>2</v>
      </c>
    </row>
    <row r="80" spans="1:10" x14ac:dyDescent="0.15">
      <c r="A80" s="469" t="s">
        <v>228</v>
      </c>
      <c r="B80" s="469">
        <v>2.95</v>
      </c>
    </row>
    <row r="81" spans="1:10" x14ac:dyDescent="0.15">
      <c r="A81" s="469" t="s">
        <v>229</v>
      </c>
      <c r="B81" s="469">
        <v>3.3</v>
      </c>
    </row>
    <row r="82" spans="1:10" x14ac:dyDescent="0.15">
      <c r="A82" s="469" t="s">
        <v>230</v>
      </c>
      <c r="B82" s="469">
        <v>3.5</v>
      </c>
    </row>
    <row r="83" spans="1:10" x14ac:dyDescent="0.15">
      <c r="A83" s="469" t="s">
        <v>252</v>
      </c>
      <c r="B83" s="469">
        <v>9.6999999999999993</v>
      </c>
    </row>
    <row r="86" spans="1:10" ht="16" x14ac:dyDescent="0.2">
      <c r="A86" s="474" t="s">
        <v>235</v>
      </c>
      <c r="B86" s="89"/>
      <c r="C86" s="89"/>
      <c r="D86" s="89"/>
      <c r="E86" s="89"/>
      <c r="F86" s="89"/>
    </row>
    <row r="87" spans="1:10" x14ac:dyDescent="0.15">
      <c r="A87" s="379" t="s">
        <v>236</v>
      </c>
      <c r="B87" s="380"/>
      <c r="C87" s="380"/>
      <c r="D87" s="89"/>
      <c r="E87" s="89"/>
      <c r="F87" s="89"/>
    </row>
    <row r="88" spans="1:10" x14ac:dyDescent="0.15">
      <c r="A88" s="381"/>
      <c r="B88" s="380"/>
      <c r="C88" s="380"/>
      <c r="D88" s="89"/>
      <c r="E88" s="89"/>
      <c r="F88" s="89"/>
    </row>
    <row r="89" spans="1:10" x14ac:dyDescent="0.15">
      <c r="A89" s="159" t="s">
        <v>231</v>
      </c>
      <c r="B89" s="159" t="s">
        <v>237</v>
      </c>
      <c r="C89" s="159" t="s">
        <v>207</v>
      </c>
      <c r="D89" s="159" t="s">
        <v>241</v>
      </c>
      <c r="E89" s="159" t="s">
        <v>242</v>
      </c>
      <c r="F89" s="159" t="s">
        <v>243</v>
      </c>
    </row>
    <row r="90" spans="1:10" x14ac:dyDescent="0.15">
      <c r="A90" s="89">
        <v>1</v>
      </c>
      <c r="B90" s="89" t="s">
        <v>238</v>
      </c>
      <c r="C90" s="89">
        <v>1800</v>
      </c>
      <c r="D90" s="89">
        <v>1</v>
      </c>
      <c r="E90" s="89">
        <v>700</v>
      </c>
      <c r="F90" s="89">
        <v>0.9</v>
      </c>
    </row>
    <row r="91" spans="1:10" x14ac:dyDescent="0.15">
      <c r="A91" s="89">
        <v>2</v>
      </c>
      <c r="B91" s="89" t="s">
        <v>239</v>
      </c>
      <c r="C91" s="89">
        <v>1800</v>
      </c>
      <c r="D91" s="89">
        <v>1</v>
      </c>
      <c r="E91" s="89">
        <v>250</v>
      </c>
      <c r="F91" s="89">
        <v>1.3</v>
      </c>
    </row>
    <row r="92" spans="1:10" x14ac:dyDescent="0.15">
      <c r="A92" s="89">
        <v>3</v>
      </c>
      <c r="B92" s="89" t="s">
        <v>240</v>
      </c>
      <c r="C92" s="89">
        <v>1800</v>
      </c>
      <c r="D92" s="89">
        <v>1</v>
      </c>
      <c r="E92" s="89">
        <v>250</v>
      </c>
      <c r="F92" s="89">
        <v>1.7</v>
      </c>
    </row>
    <row r="93" spans="1:10" x14ac:dyDescent="0.15">
      <c r="A93" s="89">
        <v>4</v>
      </c>
      <c r="B93" s="89" t="s">
        <v>238</v>
      </c>
      <c r="C93" s="89">
        <v>3600</v>
      </c>
      <c r="D93" s="89">
        <v>1</v>
      </c>
      <c r="E93" s="89">
        <v>700</v>
      </c>
      <c r="F93" s="89">
        <v>1</v>
      </c>
    </row>
    <row r="94" spans="1:10" x14ac:dyDescent="0.15">
      <c r="A94" s="89">
        <v>5</v>
      </c>
      <c r="B94" s="89" t="s">
        <v>239</v>
      </c>
      <c r="C94" s="89">
        <v>3600</v>
      </c>
      <c r="D94" s="89">
        <v>1</v>
      </c>
      <c r="E94" s="89">
        <v>250</v>
      </c>
      <c r="F94" s="89">
        <v>1.4</v>
      </c>
    </row>
    <row r="95" spans="1:10" x14ac:dyDescent="0.15">
      <c r="A95" s="89">
        <v>6</v>
      </c>
      <c r="B95" s="89" t="s">
        <v>240</v>
      </c>
      <c r="C95" s="89">
        <v>3600</v>
      </c>
      <c r="D95" s="89">
        <v>1</v>
      </c>
      <c r="E95" s="89">
        <v>250</v>
      </c>
      <c r="F95" s="89">
        <v>1.8</v>
      </c>
    </row>
    <row r="96" spans="1:10" x14ac:dyDescent="0.15">
      <c r="I96" s="188"/>
      <c r="J96" s="188"/>
    </row>
    <row r="97" spans="1:18" x14ac:dyDescent="0.15">
      <c r="I97" s="188"/>
      <c r="J97" s="188"/>
    </row>
    <row r="98" spans="1:18" ht="16" x14ac:dyDescent="0.2">
      <c r="A98" s="503" t="s">
        <v>270</v>
      </c>
      <c r="B98" s="363"/>
      <c r="C98" s="363"/>
      <c r="D98" s="363" t="s">
        <v>525</v>
      </c>
      <c r="E98" s="363"/>
      <c r="F98" s="363"/>
      <c r="G98" s="363"/>
      <c r="H98" s="363"/>
      <c r="I98" s="363"/>
      <c r="J98" s="363"/>
    </row>
    <row r="99" spans="1:18" x14ac:dyDescent="0.15">
      <c r="A99" s="382" t="s">
        <v>271</v>
      </c>
      <c r="B99" s="395" t="s">
        <v>276</v>
      </c>
      <c r="C99" s="395"/>
      <c r="D99" s="363" t="s">
        <v>502</v>
      </c>
      <c r="E99" s="363"/>
      <c r="F99" s="363"/>
      <c r="G99" s="363"/>
      <c r="H99" s="363"/>
      <c r="I99" s="363"/>
      <c r="J99" s="363"/>
    </row>
    <row r="100" spans="1:18" x14ac:dyDescent="0.15">
      <c r="A100" s="475"/>
      <c r="B100" s="395"/>
      <c r="C100" s="395"/>
      <c r="D100" s="363"/>
      <c r="E100" s="363"/>
      <c r="F100" s="363"/>
      <c r="G100" s="363"/>
      <c r="H100" s="363"/>
      <c r="I100" s="363"/>
      <c r="J100" s="363"/>
    </row>
    <row r="101" spans="1:18" ht="15" x14ac:dyDescent="0.15">
      <c r="A101" s="394" t="s">
        <v>231</v>
      </c>
      <c r="B101" s="394" t="s">
        <v>237</v>
      </c>
      <c r="C101" s="394" t="s">
        <v>513</v>
      </c>
      <c r="D101" s="394" t="s">
        <v>514</v>
      </c>
      <c r="E101" s="394" t="s">
        <v>274</v>
      </c>
      <c r="F101" s="394" t="s">
        <v>275</v>
      </c>
      <c r="G101" s="394" t="s">
        <v>311</v>
      </c>
      <c r="H101" s="394" t="s">
        <v>111</v>
      </c>
      <c r="I101" s="394" t="s">
        <v>272</v>
      </c>
      <c r="J101" s="394" t="s">
        <v>273</v>
      </c>
      <c r="O101" s="605"/>
      <c r="P101" s="602"/>
      <c r="Q101" s="602"/>
      <c r="R101" s="602"/>
    </row>
    <row r="102" spans="1:18" ht="15" x14ac:dyDescent="0.2">
      <c r="A102" s="363">
        <v>1</v>
      </c>
      <c r="B102" s="363" t="s">
        <v>277</v>
      </c>
      <c r="C102" s="393">
        <f>m3co2_h</f>
        <v>657.06666666666672</v>
      </c>
      <c r="D102" s="393">
        <f>m3co2_h</f>
        <v>657.06666666666672</v>
      </c>
      <c r="E102" s="363">
        <v>0.41</v>
      </c>
      <c r="F102" s="363">
        <v>1690</v>
      </c>
      <c r="G102" s="395">
        <v>75</v>
      </c>
      <c r="H102" s="363" t="s">
        <v>504</v>
      </c>
      <c r="I102" s="553" cm="1">
        <f t="array" ref="I102">ft3_min</f>
        <v>429.15337302287008</v>
      </c>
      <c r="J102" s="553">
        <f>_xlfn.SINGLE(ft3_min)</f>
        <v>429.15337302287008</v>
      </c>
      <c r="L102" s="602"/>
      <c r="M102" s="602"/>
      <c r="N102" s="608"/>
      <c r="O102" s="605"/>
      <c r="P102" s="602"/>
    </row>
    <row r="103" spans="1:18" ht="15" x14ac:dyDescent="0.2">
      <c r="A103" s="363">
        <v>2</v>
      </c>
      <c r="B103" s="363" t="s">
        <v>278</v>
      </c>
      <c r="C103" s="393">
        <f>I103*ft3_to_m3*60</f>
        <v>84.950400000000002</v>
      </c>
      <c r="D103" s="612">
        <v>10000</v>
      </c>
      <c r="E103" s="363">
        <v>0.35</v>
      </c>
      <c r="F103" s="363">
        <v>8250</v>
      </c>
      <c r="G103" s="395">
        <v>35</v>
      </c>
      <c r="H103" s="363" t="s">
        <v>505</v>
      </c>
      <c r="I103" s="363">
        <v>50</v>
      </c>
      <c r="J103" s="363">
        <v>350</v>
      </c>
      <c r="L103" s="602"/>
      <c r="M103" s="602"/>
      <c r="N103" s="608"/>
      <c r="O103" s="605"/>
      <c r="P103" s="602"/>
    </row>
    <row r="104" spans="1:18" x14ac:dyDescent="0.15">
      <c r="A104" s="363">
        <v>3</v>
      </c>
      <c r="B104" s="363" t="s">
        <v>503</v>
      </c>
      <c r="C104" s="393">
        <f>I104*ft3_to_m3*60</f>
        <v>101.94048000000001</v>
      </c>
      <c r="D104" s="393">
        <v>100000</v>
      </c>
      <c r="E104" s="363">
        <v>0.41</v>
      </c>
      <c r="F104" s="363">
        <v>7120</v>
      </c>
      <c r="G104" s="551">
        <v>1E-3</v>
      </c>
      <c r="H104" s="363" t="s">
        <v>506</v>
      </c>
      <c r="I104" s="363">
        <v>60</v>
      </c>
      <c r="J104" s="363">
        <v>240</v>
      </c>
      <c r="L104" s="602"/>
      <c r="M104" s="602"/>
      <c r="O104" s="603"/>
      <c r="P104" s="602"/>
    </row>
    <row r="105" spans="1:18" ht="15" x14ac:dyDescent="0.2">
      <c r="A105" s="363">
        <v>4</v>
      </c>
      <c r="B105" s="363" t="s">
        <v>279</v>
      </c>
      <c r="C105" s="393">
        <f>I105*ft3_to_m3*60</f>
        <v>101.94048000000001</v>
      </c>
      <c r="D105" s="393">
        <v>800</v>
      </c>
      <c r="E105" s="363">
        <v>0.36</v>
      </c>
      <c r="F105" s="363">
        <v>8630</v>
      </c>
      <c r="G105" s="551">
        <v>1E-3</v>
      </c>
      <c r="H105" s="363" t="s">
        <v>520</v>
      </c>
      <c r="I105" s="363">
        <v>60</v>
      </c>
      <c r="J105" s="363">
        <v>270</v>
      </c>
      <c r="L105" s="602"/>
      <c r="M105" s="602"/>
      <c r="N105" s="608"/>
      <c r="O105" s="603"/>
    </row>
    <row r="106" spans="1:18" x14ac:dyDescent="0.15">
      <c r="A106" s="363">
        <v>5</v>
      </c>
      <c r="B106" s="363" t="s">
        <v>280</v>
      </c>
      <c r="C106" s="393">
        <f>I106*ft3_to_m3*60</f>
        <v>84.950400000000002</v>
      </c>
      <c r="D106" s="393">
        <v>750</v>
      </c>
      <c r="E106" s="363">
        <v>0.38</v>
      </c>
      <c r="F106" s="363">
        <v>9590</v>
      </c>
      <c r="G106" s="552">
        <v>0.01</v>
      </c>
      <c r="H106" s="363" t="s">
        <v>520</v>
      </c>
      <c r="I106" s="363">
        <v>50</v>
      </c>
      <c r="J106" s="363">
        <v>350</v>
      </c>
      <c r="L106" s="602"/>
      <c r="M106" s="602"/>
    </row>
    <row r="107" spans="1:18" x14ac:dyDescent="0.15">
      <c r="L107" s="602"/>
      <c r="P107" s="602"/>
    </row>
    <row r="108" spans="1:18" x14ac:dyDescent="0.15">
      <c r="J108" s="188"/>
      <c r="K108" s="188"/>
      <c r="L108" s="665"/>
      <c r="P108" s="602"/>
    </row>
    <row r="109" spans="1:18" ht="16" x14ac:dyDescent="0.2">
      <c r="A109" s="502" t="s">
        <v>337</v>
      </c>
      <c r="B109" s="58"/>
      <c r="C109" s="58"/>
      <c r="E109" s="480" t="s">
        <v>357</v>
      </c>
      <c r="F109" s="481"/>
      <c r="H109" s="480" t="s">
        <v>359</v>
      </c>
      <c r="J109" s="188"/>
      <c r="K109" s="666"/>
      <c r="L109" s="667"/>
    </row>
    <row r="110" spans="1:18" x14ac:dyDescent="0.15">
      <c r="A110" s="476"/>
      <c r="B110" s="455"/>
      <c r="C110" s="58"/>
      <c r="E110" s="481" t="s">
        <v>346</v>
      </c>
      <c r="F110" s="481">
        <v>0.3</v>
      </c>
      <c r="H110" s="485">
        <v>1</v>
      </c>
      <c r="J110" s="188"/>
      <c r="K110" s="188"/>
      <c r="L110" s="188"/>
    </row>
    <row r="111" spans="1:18" s="160" customFormat="1" x14ac:dyDescent="0.15">
      <c r="A111" s="477" t="s">
        <v>338</v>
      </c>
      <c r="B111" s="478" t="s">
        <v>339</v>
      </c>
      <c r="C111" s="477" t="s">
        <v>111</v>
      </c>
      <c r="E111" s="482" t="s">
        <v>347</v>
      </c>
      <c r="F111" s="482">
        <v>0.8</v>
      </c>
      <c r="H111" s="486">
        <v>1.25</v>
      </c>
      <c r="J111" s="667"/>
      <c r="K111" s="668"/>
      <c r="L111" s="665"/>
    </row>
    <row r="112" spans="1:18" x14ac:dyDescent="0.15">
      <c r="A112" s="313" t="s">
        <v>341</v>
      </c>
      <c r="B112" s="479">
        <v>3.7</v>
      </c>
      <c r="C112" s="313" t="s">
        <v>340</v>
      </c>
      <c r="E112" s="481" t="s">
        <v>348</v>
      </c>
      <c r="F112" s="481">
        <v>0.3</v>
      </c>
      <c r="H112" s="486">
        <v>1</v>
      </c>
      <c r="J112" s="188"/>
      <c r="K112" s="667"/>
      <c r="L112" s="666"/>
    </row>
    <row r="113" spans="1:12" x14ac:dyDescent="0.15">
      <c r="A113" s="58" t="s">
        <v>342</v>
      </c>
      <c r="B113" s="427">
        <v>1.4</v>
      </c>
      <c r="C113" s="58" t="s">
        <v>340</v>
      </c>
      <c r="E113" s="482" t="s">
        <v>349</v>
      </c>
      <c r="F113" s="481">
        <v>0.2</v>
      </c>
      <c r="H113" s="486">
        <v>1</v>
      </c>
      <c r="J113" s="188"/>
      <c r="K113" s="188"/>
      <c r="L113" s="188"/>
    </row>
    <row r="114" spans="1:12" x14ac:dyDescent="0.15">
      <c r="A114" s="313" t="s">
        <v>114</v>
      </c>
      <c r="B114" s="427">
        <v>2.9</v>
      </c>
      <c r="C114" s="58" t="s">
        <v>340</v>
      </c>
      <c r="E114" s="481" t="s">
        <v>350</v>
      </c>
      <c r="F114" s="481">
        <v>0.3</v>
      </c>
      <c r="H114" s="486">
        <v>1</v>
      </c>
      <c r="J114" s="188"/>
      <c r="K114" s="665"/>
      <c r="L114" s="188"/>
    </row>
    <row r="115" spans="1:12" x14ac:dyDescent="0.15">
      <c r="A115" s="58" t="s">
        <v>115</v>
      </c>
      <c r="B115" s="427">
        <v>3.3</v>
      </c>
      <c r="C115" s="58" t="s">
        <v>340</v>
      </c>
      <c r="E115" s="482" t="s">
        <v>351</v>
      </c>
      <c r="F115" s="481">
        <v>0.2</v>
      </c>
      <c r="H115" s="486">
        <v>1</v>
      </c>
    </row>
    <row r="116" spans="1:12" x14ac:dyDescent="0.15">
      <c r="A116" s="58" t="s">
        <v>343</v>
      </c>
      <c r="B116" s="427">
        <v>2.2999999999999998</v>
      </c>
      <c r="C116" s="58" t="s">
        <v>340</v>
      </c>
      <c r="E116" s="481" t="s">
        <v>352</v>
      </c>
      <c r="F116" s="481">
        <v>0.1</v>
      </c>
    </row>
    <row r="117" spans="1:12" x14ac:dyDescent="0.15">
      <c r="A117" s="58" t="s">
        <v>345</v>
      </c>
      <c r="B117" s="427">
        <v>1.3</v>
      </c>
      <c r="C117" s="58" t="s">
        <v>433</v>
      </c>
      <c r="E117" s="483" t="s">
        <v>353</v>
      </c>
      <c r="F117" s="481">
        <f>SUM(F110:F116)+1</f>
        <v>3.2</v>
      </c>
    </row>
    <row r="118" spans="1:12" x14ac:dyDescent="0.15">
      <c r="E118" s="481" t="s">
        <v>354</v>
      </c>
      <c r="F118" s="482">
        <v>0.3</v>
      </c>
    </row>
    <row r="119" spans="1:12" x14ac:dyDescent="0.15">
      <c r="E119" s="481" t="s">
        <v>355</v>
      </c>
      <c r="F119" s="481">
        <v>0.3</v>
      </c>
    </row>
    <row r="120" spans="1:12" x14ac:dyDescent="0.15">
      <c r="E120" s="481" t="s">
        <v>356</v>
      </c>
      <c r="F120" s="481">
        <v>0.3</v>
      </c>
    </row>
    <row r="121" spans="1:12" x14ac:dyDescent="0.15">
      <c r="E121" s="483" t="s">
        <v>358</v>
      </c>
      <c r="F121" s="481">
        <f>1+SUM(F118:F120)</f>
        <v>1.9</v>
      </c>
    </row>
    <row r="122" spans="1:12" x14ac:dyDescent="0.15">
      <c r="E122" s="483" t="s">
        <v>29</v>
      </c>
      <c r="F122" s="484">
        <f>F117*F121</f>
        <v>6.08</v>
      </c>
    </row>
    <row r="125" spans="1:12" ht="16" x14ac:dyDescent="0.2">
      <c r="A125" s="501" t="s">
        <v>416</v>
      </c>
      <c r="B125" s="488"/>
      <c r="C125" s="488"/>
      <c r="D125" s="488"/>
      <c r="E125" s="488"/>
      <c r="F125" s="488"/>
      <c r="G125" s="488"/>
      <c r="H125" s="488"/>
      <c r="I125" s="488"/>
      <c r="J125" s="488"/>
      <c r="K125" s="488"/>
      <c r="L125" s="188"/>
    </row>
    <row r="126" spans="1:12" x14ac:dyDescent="0.15">
      <c r="A126" s="489" t="s">
        <v>420</v>
      </c>
      <c r="B126" s="490" t="s">
        <v>421</v>
      </c>
      <c r="C126" s="490"/>
      <c r="D126" s="488"/>
      <c r="E126" s="488"/>
      <c r="F126" s="488"/>
      <c r="G126" s="488"/>
      <c r="H126" s="488"/>
      <c r="I126" s="488"/>
      <c r="J126" s="488"/>
      <c r="K126" s="488"/>
      <c r="L126" s="188"/>
    </row>
    <row r="127" spans="1:12" x14ac:dyDescent="0.15">
      <c r="A127" s="491"/>
      <c r="B127" s="490"/>
      <c r="C127" s="490"/>
      <c r="D127" s="488"/>
      <c r="E127" s="488"/>
      <c r="F127" s="488"/>
      <c r="G127" s="488"/>
      <c r="H127" s="488"/>
      <c r="I127" s="488"/>
      <c r="J127" s="488"/>
      <c r="K127" s="488"/>
      <c r="L127" s="188"/>
    </row>
    <row r="128" spans="1:12" x14ac:dyDescent="0.15">
      <c r="A128" s="492" t="s">
        <v>231</v>
      </c>
      <c r="B128" s="492" t="s">
        <v>237</v>
      </c>
      <c r="C128" s="492" t="s">
        <v>375</v>
      </c>
      <c r="D128" s="492" t="s">
        <v>417</v>
      </c>
      <c r="E128" s="492" t="s">
        <v>418</v>
      </c>
      <c r="F128" s="492" t="s">
        <v>419</v>
      </c>
      <c r="G128" s="492" t="s">
        <v>427</v>
      </c>
      <c r="H128" s="492" t="s">
        <v>422</v>
      </c>
      <c r="I128" s="492" t="s">
        <v>626</v>
      </c>
      <c r="J128" s="492" t="s">
        <v>423</v>
      </c>
      <c r="K128" s="492" t="s">
        <v>424</v>
      </c>
      <c r="L128" s="666"/>
    </row>
    <row r="129" spans="1:12" x14ac:dyDescent="0.15">
      <c r="A129" s="488">
        <v>1</v>
      </c>
      <c r="B129" s="488" t="s">
        <v>425</v>
      </c>
      <c r="C129" s="493">
        <v>6600</v>
      </c>
      <c r="D129" s="488">
        <v>220</v>
      </c>
      <c r="E129" s="494">
        <f>C129/D129</f>
        <v>30</v>
      </c>
      <c r="F129" s="488">
        <v>80</v>
      </c>
      <c r="G129" s="504">
        <f>F129/D129</f>
        <v>0.36363636363636365</v>
      </c>
      <c r="H129" s="488">
        <f>35*l_to_m3</f>
        <v>3.5000000000000003E-2</v>
      </c>
      <c r="I129" s="496">
        <f>F129/H129/60</f>
        <v>38.095238095238088</v>
      </c>
      <c r="J129" s="496">
        <f>D129/H129</f>
        <v>6285.7142857142853</v>
      </c>
      <c r="K129" s="495">
        <v>3.0000000000000001E-5</v>
      </c>
      <c r="L129" s="668"/>
    </row>
    <row r="130" spans="1:12" x14ac:dyDescent="0.15">
      <c r="A130" s="488">
        <v>2</v>
      </c>
      <c r="B130" s="488" t="s">
        <v>426</v>
      </c>
      <c r="C130" s="493">
        <v>1045</v>
      </c>
      <c r="D130" s="488">
        <v>2.1</v>
      </c>
      <c r="E130" s="494">
        <f>C130/D130</f>
        <v>497.61904761904759</v>
      </c>
      <c r="F130" s="488">
        <f>8*l_to_m3*60</f>
        <v>0.48</v>
      </c>
      <c r="G130" s="504">
        <f>F130/D130</f>
        <v>0.22857142857142856</v>
      </c>
      <c r="H130" s="495">
        <f>PI()*(0.089/2)^2*0.142</f>
        <v>8.8340171702250845E-4</v>
      </c>
      <c r="I130" s="496">
        <f>F130/H130/60</f>
        <v>9.0559027063744839</v>
      </c>
      <c r="J130" s="496">
        <f>D130/H130</f>
        <v>2377.1744604233022</v>
      </c>
      <c r="K130" s="495">
        <v>5.5000000000000002E-5</v>
      </c>
      <c r="L130" s="668"/>
    </row>
    <row r="131" spans="1:12" x14ac:dyDescent="0.15">
      <c r="A131" s="188"/>
      <c r="B131" s="188"/>
      <c r="C131" s="188"/>
      <c r="D131" s="188"/>
      <c r="E131" s="188"/>
      <c r="F131" s="188"/>
      <c r="G131" s="188"/>
      <c r="H131" s="497"/>
      <c r="I131" s="188"/>
      <c r="J131" s="188"/>
    </row>
    <row r="132" spans="1:12" x14ac:dyDescent="0.15">
      <c r="A132" s="188"/>
      <c r="B132" s="188"/>
      <c r="C132" s="188"/>
      <c r="D132" s="188"/>
      <c r="E132" s="188"/>
      <c r="F132" s="188"/>
      <c r="G132" s="188"/>
      <c r="H132" s="497"/>
      <c r="I132" s="188"/>
      <c r="J132" s="188"/>
    </row>
    <row r="133" spans="1:12" x14ac:dyDescent="0.15">
      <c r="A133" s="188"/>
      <c r="B133" s="188"/>
      <c r="C133" s="188"/>
      <c r="D133" s="188"/>
      <c r="E133" s="188"/>
      <c r="F133" s="188"/>
      <c r="G133" s="188"/>
      <c r="H133" s="188"/>
      <c r="I133" s="188"/>
      <c r="J133" s="188"/>
    </row>
    <row r="135" spans="1:12" x14ac:dyDescent="0.15">
      <c r="A135" s="87" t="s">
        <v>632</v>
      </c>
      <c r="B135" s="87">
        <v>0.25</v>
      </c>
      <c r="C135" s="87" t="s">
        <v>634</v>
      </c>
    </row>
    <row r="136" spans="1:12" x14ac:dyDescent="0.15">
      <c r="A136" s="87" t="s">
        <v>633</v>
      </c>
      <c r="B136" s="87">
        <f>0.00005</f>
        <v>5.0000000000000002E-5</v>
      </c>
      <c r="C136" s="87" t="s">
        <v>639</v>
      </c>
    </row>
    <row r="137" spans="1:12" x14ac:dyDescent="0.15">
      <c r="A137" s="87" t="s">
        <v>635</v>
      </c>
      <c r="B137" s="87">
        <v>34</v>
      </c>
      <c r="C137" s="87" t="s">
        <v>640</v>
      </c>
    </row>
    <row r="138" spans="1:12" x14ac:dyDescent="0.15">
      <c r="A138" s="87" t="s">
        <v>636</v>
      </c>
      <c r="B138" s="87">
        <v>2</v>
      </c>
      <c r="C138" s="87" t="s">
        <v>641</v>
      </c>
      <c r="E138" s="87" t="s">
        <v>649</v>
      </c>
    </row>
    <row r="139" spans="1:12" x14ac:dyDescent="0.15">
      <c r="A139" s="87" t="s">
        <v>637</v>
      </c>
      <c r="B139" s="87">
        <v>0.06</v>
      </c>
      <c r="C139" s="87" t="s">
        <v>642</v>
      </c>
      <c r="E139" s="87" t="s">
        <v>647</v>
      </c>
    </row>
    <row r="140" spans="1:12" x14ac:dyDescent="0.15">
      <c r="A140" s="87" t="s">
        <v>638</v>
      </c>
      <c r="B140" s="606">
        <v>1.1E-12</v>
      </c>
      <c r="C140" s="87" t="s">
        <v>643</v>
      </c>
      <c r="E140" s="87" t="s">
        <v>648</v>
      </c>
    </row>
    <row r="141" spans="1:12" x14ac:dyDescent="0.15">
      <c r="A141" s="87" t="s">
        <v>645</v>
      </c>
      <c r="B141" s="87">
        <v>4.3600000000000003</v>
      </c>
      <c r="C141" s="87" t="s">
        <v>644</v>
      </c>
      <c r="E141" s="87" t="s">
        <v>650</v>
      </c>
    </row>
    <row r="142" spans="1:12" x14ac:dyDescent="0.15">
      <c r="B142" s="606">
        <v>3.2400000000000001E-5</v>
      </c>
      <c r="C142" s="87" t="s">
        <v>646</v>
      </c>
    </row>
  </sheetData>
  <pageMargins left="0.7" right="0.7" top="0.75" bottom="0.75" header="0.3" footer="0.3"/>
  <pageSetup orientation="portrait" horizontalDpi="0" verticalDpi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0D1CA0-F412-4738-A17C-9FCD22952F5F}">
  <sheetPr codeName="Sheet5"/>
  <dimension ref="A2:R146"/>
  <sheetViews>
    <sheetView workbookViewId="0">
      <selection activeCell="A6" sqref="A6"/>
    </sheetView>
  </sheetViews>
  <sheetFormatPr baseColWidth="10" defaultColWidth="9.1640625" defaultRowHeight="13" x14ac:dyDescent="0.15"/>
  <cols>
    <col min="1" max="3" width="9.33203125" style="20" bestFit="1" customWidth="1"/>
    <col min="4" max="5" width="12.33203125" style="20" bestFit="1" customWidth="1"/>
    <col min="6" max="7" width="9.33203125" style="20" bestFit="1" customWidth="1"/>
    <col min="8" max="8" width="12.33203125" style="20" bestFit="1" customWidth="1"/>
    <col min="9" max="12" width="9.33203125" style="20" bestFit="1" customWidth="1"/>
    <col min="13" max="13" width="9.1640625" style="20"/>
    <col min="14" max="14" width="9.33203125" style="20" bestFit="1" customWidth="1"/>
    <col min="15" max="15" width="9.1640625" style="142"/>
    <col min="16" max="16384" width="9.1640625" style="20"/>
  </cols>
  <sheetData>
    <row r="2" spans="1:18" x14ac:dyDescent="0.15">
      <c r="A2" s="7" t="s">
        <v>137</v>
      </c>
      <c r="B2" s="7">
        <f>0.0022</f>
        <v>2.2000000000000001E-3</v>
      </c>
      <c r="D2" s="7" t="s">
        <v>138</v>
      </c>
      <c r="E2" s="7">
        <f>10^(-5.86)</f>
        <v>1.3803842646028812E-6</v>
      </c>
      <c r="G2" s="7" t="s">
        <v>139</v>
      </c>
      <c r="H2" s="7">
        <f>10^(-8.92)</f>
        <v>1.2022644346174128E-9</v>
      </c>
    </row>
    <row r="3" spans="1:18" x14ac:dyDescent="0.15">
      <c r="A3" s="140" t="s">
        <v>140</v>
      </c>
      <c r="B3" s="140"/>
      <c r="C3" s="140"/>
      <c r="D3" s="140"/>
      <c r="E3" s="140"/>
      <c r="F3" s="140"/>
      <c r="G3" s="140"/>
      <c r="H3" s="140"/>
      <c r="I3" s="140"/>
      <c r="J3" s="140"/>
      <c r="K3" s="140"/>
      <c r="L3" s="140"/>
    </row>
    <row r="4" spans="1:18" x14ac:dyDescent="0.15">
      <c r="A4" s="691" t="s">
        <v>409</v>
      </c>
      <c r="B4" s="691"/>
      <c r="C4" s="691"/>
      <c r="D4" s="691"/>
      <c r="E4" s="691"/>
      <c r="F4" s="140"/>
      <c r="G4" s="691" t="s">
        <v>408</v>
      </c>
      <c r="H4" s="691"/>
      <c r="I4" s="691"/>
      <c r="J4" s="691"/>
      <c r="K4" s="691"/>
      <c r="L4" s="691"/>
    </row>
    <row r="5" spans="1:18" ht="16" x14ac:dyDescent="0.2">
      <c r="A5" s="20" t="s">
        <v>651</v>
      </c>
      <c r="B5" s="20" t="s">
        <v>653</v>
      </c>
      <c r="C5" s="20" t="s">
        <v>655</v>
      </c>
      <c r="D5" s="20" t="s">
        <v>654</v>
      </c>
      <c r="E5" s="20" t="s">
        <v>652</v>
      </c>
      <c r="F5" s="141" t="s">
        <v>141</v>
      </c>
      <c r="G5" s="20" t="s">
        <v>651</v>
      </c>
      <c r="H5" s="20" t="s">
        <v>322</v>
      </c>
      <c r="I5" s="20" t="s">
        <v>323</v>
      </c>
      <c r="J5" s="20" t="s">
        <v>324</v>
      </c>
      <c r="K5" s="20" t="s">
        <v>325</v>
      </c>
      <c r="L5" s="20" t="s">
        <v>326</v>
      </c>
      <c r="N5" s="20" t="s">
        <v>327</v>
      </c>
      <c r="O5" s="142" t="s">
        <v>527</v>
      </c>
      <c r="P5" s="20" t="s">
        <v>360</v>
      </c>
      <c r="Q5" s="20" t="s">
        <v>465</v>
      </c>
      <c r="R5" s="20" t="s">
        <v>410</v>
      </c>
    </row>
    <row r="6" spans="1:18" x14ac:dyDescent="0.15">
      <c r="A6" s="142">
        <f>$B$2/(1+($E$2/D6)+($E$2*$H$2/D6^2))</f>
        <v>2.1999969631588063E-3</v>
      </c>
      <c r="B6" s="142">
        <f>$B$2/(1+(D6/$E$2)+($H$2/D6))</f>
        <v>3.0368411901185413E-9</v>
      </c>
      <c r="C6" s="142">
        <f>$B$2/(1+(D6/$H$2)+(D6^2/($E$2*$H$2)))</f>
        <v>3.6510861564607388E-18</v>
      </c>
      <c r="D6" s="143">
        <f t="shared" ref="D6:D69" si="0">10^(-F6)</f>
        <v>1</v>
      </c>
      <c r="E6" s="142">
        <f>10^(-(13.22+LOG(D6)))</f>
        <v>6.0255958607435464E-14</v>
      </c>
      <c r="F6" s="141">
        <v>0</v>
      </c>
      <c r="H6" s="142">
        <f>B6-$B$87</f>
        <v>-1.9012846569067541E-3</v>
      </c>
      <c r="I6" s="142">
        <f>2*(C6-$C$87)</f>
        <v>-5.7554307507710054E-4</v>
      </c>
      <c r="J6" s="142">
        <f>D6-$D$87</f>
        <v>0.99999999205671763</v>
      </c>
      <c r="K6" s="142">
        <f>E6-$E$87</f>
        <v>-7.58577569003586E-6</v>
      </c>
      <c r="L6" s="142">
        <f>J6-(H6+I6+K6)</f>
        <v>1.0024844055643916</v>
      </c>
      <c r="N6" s="142"/>
      <c r="P6" s="398">
        <f>A6/L6</f>
        <v>2.1945448237872824E-3</v>
      </c>
      <c r="Q6" s="514">
        <f t="shared" ref="Q6:Q37" si="1">A6/DIC_concentration</f>
        <v>0.99999861961763914</v>
      </c>
      <c r="R6" s="142">
        <f t="shared" ref="R6:R37" si="2">1/(molar_mass*mc_efficiency*A6)</f>
        <v>11478.436413960815</v>
      </c>
    </row>
    <row r="7" spans="1:18" x14ac:dyDescent="0.15">
      <c r="A7" s="142">
        <f t="shared" ref="A7:A70" si="3">$B$2/(1+($E$2/D7)+($E$2*$H$2/D7^2))</f>
        <v>2.1999961768448149E-3</v>
      </c>
      <c r="B7" s="142">
        <f t="shared" ref="B7:B70" si="4">$B$2/(1+(D7/$E$2)+($H$2/D7))</f>
        <v>3.8231551793663671E-9</v>
      </c>
      <c r="C7" s="142">
        <f t="shared" ref="C7:C70" si="5">$B$2/(1+(D7/$H$2)+(D7^2/($E$2*$H$2)))</f>
        <v>5.786579526247113E-18</v>
      </c>
      <c r="D7" s="143">
        <f t="shared" si="0"/>
        <v>0.79432823472428149</v>
      </c>
      <c r="E7" s="142">
        <f t="shared" ref="E7:E70" si="6">10^(-(13.22+LOG(D7)))</f>
        <v>7.5857757502917909E-14</v>
      </c>
      <c r="F7" s="141">
        <v>0.1</v>
      </c>
      <c r="H7" s="142">
        <f t="shared" ref="H7:H70" si="7">B7-$B$87</f>
        <v>-1.9012838705927649E-3</v>
      </c>
      <c r="I7" s="142">
        <f t="shared" ref="I7:I70" si="8">2*(C7-$C$87)</f>
        <v>-5.7554307507709621E-4</v>
      </c>
      <c r="J7" s="142">
        <f t="shared" ref="J7:J70" si="9">D7-$D$87</f>
        <v>0.79432822678099912</v>
      </c>
      <c r="K7" s="142">
        <f t="shared" ref="K7:K70" si="10">E7-$E$87</f>
        <v>-7.5857756744340611E-6</v>
      </c>
      <c r="L7" s="142">
        <f t="shared" ref="L7:L70" si="11">J7-(H7+I7+K7)</f>
        <v>0.79681263950234338</v>
      </c>
      <c r="N7" s="142"/>
      <c r="P7" s="398">
        <f t="shared" ref="P7:P70" si="12">A7/L7</f>
        <v>2.7609955813688429E-3</v>
      </c>
      <c r="Q7" s="514">
        <f t="shared" si="1"/>
        <v>0.99999826220218857</v>
      </c>
      <c r="R7" s="142">
        <f t="shared" si="2"/>
        <v>11478.440516538469</v>
      </c>
    </row>
    <row r="8" spans="1:18" x14ac:dyDescent="0.15">
      <c r="A8" s="142">
        <f t="shared" si="3"/>
        <v>2.1999951869349482E-3</v>
      </c>
      <c r="B8" s="142">
        <f t="shared" si="4"/>
        <v>4.8130650428499888E-9</v>
      </c>
      <c r="C8" s="142">
        <f t="shared" si="5"/>
        <v>9.1711063721527455E-18</v>
      </c>
      <c r="D8" s="143">
        <f t="shared" si="0"/>
        <v>0.63095734448019325</v>
      </c>
      <c r="E8" s="142">
        <f t="shared" si="6"/>
        <v>9.549925860214291E-14</v>
      </c>
      <c r="F8" s="141">
        <v>0.2</v>
      </c>
      <c r="H8" s="142">
        <f t="shared" si="7"/>
        <v>-1.9012828806829014E-3</v>
      </c>
      <c r="I8" s="142">
        <f t="shared" si="8"/>
        <v>-5.7554307507708949E-4</v>
      </c>
      <c r="J8" s="142">
        <f t="shared" si="9"/>
        <v>0.63095733653691088</v>
      </c>
      <c r="K8" s="142">
        <f t="shared" si="10"/>
        <v>-7.5857756547925605E-6</v>
      </c>
      <c r="L8" s="142">
        <f t="shared" si="11"/>
        <v>0.63344174826832567</v>
      </c>
      <c r="N8" s="142"/>
      <c r="P8" s="398">
        <f t="shared" si="12"/>
        <v>3.4730820836315181E-3</v>
      </c>
      <c r="Q8" s="514">
        <f t="shared" si="1"/>
        <v>0.9999978122431582</v>
      </c>
      <c r="R8" s="142">
        <f t="shared" si="2"/>
        <v>11478.445681377734</v>
      </c>
    </row>
    <row r="9" spans="1:18" x14ac:dyDescent="0.15">
      <c r="A9" s="142">
        <f t="shared" si="3"/>
        <v>2.199993940713527E-3</v>
      </c>
      <c r="B9" s="142">
        <f t="shared" si="4"/>
        <v>6.0592864586832253E-9</v>
      </c>
      <c r="C9" s="142">
        <f t="shared" si="5"/>
        <v>1.4535215822858354E-17</v>
      </c>
      <c r="D9" s="143">
        <f t="shared" si="0"/>
        <v>0.50118723362727224</v>
      </c>
      <c r="E9" s="142">
        <f t="shared" si="6"/>
        <v>1.2022644346174119E-13</v>
      </c>
      <c r="F9" s="141">
        <v>0.3</v>
      </c>
      <c r="H9" s="142">
        <f t="shared" si="7"/>
        <v>-1.9012816344614856E-3</v>
      </c>
      <c r="I9" s="142">
        <f t="shared" si="8"/>
        <v>-5.7554307507707875E-4</v>
      </c>
      <c r="J9" s="142">
        <f t="shared" si="9"/>
        <v>0.50118722568398988</v>
      </c>
      <c r="K9" s="142">
        <f t="shared" si="10"/>
        <v>-7.585775630065375E-6</v>
      </c>
      <c r="L9" s="142">
        <f t="shared" si="11"/>
        <v>0.50367163616915855</v>
      </c>
      <c r="N9" s="142"/>
      <c r="P9" s="398">
        <f t="shared" si="12"/>
        <v>4.3679131059400321E-3</v>
      </c>
      <c r="Q9" s="514">
        <f t="shared" si="1"/>
        <v>0.99999724577887583</v>
      </c>
      <c r="R9" s="142">
        <f t="shared" si="2"/>
        <v>11478.452183525136</v>
      </c>
    </row>
    <row r="10" spans="1:18" x14ac:dyDescent="0.15">
      <c r="A10" s="142">
        <f t="shared" si="3"/>
        <v>2.1999923718157171E-3</v>
      </c>
      <c r="B10" s="142">
        <f t="shared" si="4"/>
        <v>7.6281842602297465E-9</v>
      </c>
      <c r="C10" s="142">
        <f t="shared" si="5"/>
        <v>2.3036748180224406E-17</v>
      </c>
      <c r="D10" s="142">
        <f>10^(-F10)</f>
        <v>0.3981071705534972</v>
      </c>
      <c r="E10" s="142">
        <f t="shared" si="6"/>
        <v>1.5135612484362054E-13</v>
      </c>
      <c r="F10" s="141">
        <v>0.4</v>
      </c>
      <c r="H10" s="142">
        <f t="shared" si="7"/>
        <v>-1.901280065563684E-3</v>
      </c>
      <c r="I10" s="142">
        <f t="shared" si="8"/>
        <v>-5.7554307507706173E-4</v>
      </c>
      <c r="J10" s="142">
        <f t="shared" si="9"/>
        <v>0.39810716261021484</v>
      </c>
      <c r="K10" s="142">
        <f t="shared" si="10"/>
        <v>-7.5857755989356936E-6</v>
      </c>
      <c r="L10" s="142">
        <f t="shared" si="11"/>
        <v>0.40059157152645453</v>
      </c>
      <c r="N10" s="144">
        <f>10^(-acid_pH)/L10</f>
        <v>0.99379816963324885</v>
      </c>
      <c r="O10" s="142">
        <f>1/N10</f>
        <v>1.0062405330944006</v>
      </c>
      <c r="P10" s="398">
        <f t="shared" si="12"/>
        <v>5.491858861215288E-3</v>
      </c>
      <c r="Q10" s="514">
        <f t="shared" si="1"/>
        <v>0.99999653264350774</v>
      </c>
      <c r="R10" s="142">
        <f t="shared" si="2"/>
        <v>11478.460369243743</v>
      </c>
    </row>
    <row r="11" spans="1:18" x14ac:dyDescent="0.15">
      <c r="A11" s="142">
        <f t="shared" si="3"/>
        <v>2.1999903966935744E-3</v>
      </c>
      <c r="B11" s="142">
        <f t="shared" si="4"/>
        <v>9.6033063893306589E-9</v>
      </c>
      <c r="C11" s="142">
        <f t="shared" si="5"/>
        <v>3.6510752588410108E-17</v>
      </c>
      <c r="D11" s="142">
        <f t="shared" si="0"/>
        <v>0.31622776601683794</v>
      </c>
      <c r="E11" s="142">
        <f t="shared" si="6"/>
        <v>1.9054607179632417E-13</v>
      </c>
      <c r="F11" s="141">
        <v>0.5</v>
      </c>
      <c r="H11" s="142">
        <f t="shared" si="7"/>
        <v>-1.901278090441555E-3</v>
      </c>
      <c r="I11" s="142">
        <f t="shared" si="8"/>
        <v>-5.7554307507703473E-4</v>
      </c>
      <c r="J11" s="142">
        <f t="shared" si="9"/>
        <v>0.31622775807355558</v>
      </c>
      <c r="K11" s="142">
        <f t="shared" si="10"/>
        <v>-7.5857755597457467E-6</v>
      </c>
      <c r="L11" s="142">
        <f t="shared" si="11"/>
        <v>0.3187121650146339</v>
      </c>
      <c r="M11" s="142"/>
      <c r="N11" s="144">
        <f t="shared" ref="N11:N41" si="13">10^(-acid_pH)/L11</f>
        <v>1.2491119394053183</v>
      </c>
      <c r="O11" s="142">
        <f t="shared" ref="O11:O74" si="14">1/N11</f>
        <v>0.80056876285730127</v>
      </c>
      <c r="P11" s="398">
        <f t="shared" si="12"/>
        <v>6.9027499988667217E-3</v>
      </c>
      <c r="Q11" s="514">
        <f t="shared" si="1"/>
        <v>0.99999563486071563</v>
      </c>
      <c r="R11" s="142">
        <f t="shared" si="2"/>
        <v>11478.470674452927</v>
      </c>
    </row>
    <row r="12" spans="1:18" x14ac:dyDescent="0.15">
      <c r="A12" s="142">
        <f t="shared" si="3"/>
        <v>2.1999879101671565E-3</v>
      </c>
      <c r="B12" s="142">
        <f t="shared" si="4"/>
        <v>1.2089832786294652E-8</v>
      </c>
      <c r="C12" s="142">
        <f t="shared" si="5"/>
        <v>5.7865577826694664E-17</v>
      </c>
      <c r="D12" s="142">
        <f t="shared" si="0"/>
        <v>0.25118864315095801</v>
      </c>
      <c r="E12" s="142">
        <f t="shared" si="6"/>
        <v>2.3988329190194817E-13</v>
      </c>
      <c r="F12" s="141">
        <v>0.6</v>
      </c>
      <c r="H12" s="142">
        <f t="shared" si="7"/>
        <v>-1.9012756039151579E-3</v>
      </c>
      <c r="I12" s="142">
        <f t="shared" si="8"/>
        <v>-5.7554307507699212E-4</v>
      </c>
      <c r="J12" s="142">
        <f t="shared" si="9"/>
        <v>0.25118863520767565</v>
      </c>
      <c r="K12" s="142">
        <f t="shared" si="10"/>
        <v>-7.5857755104085271E-6</v>
      </c>
      <c r="L12" s="142">
        <f t="shared" si="11"/>
        <v>0.25367303966217819</v>
      </c>
      <c r="N12" s="144">
        <f t="shared" si="13"/>
        <v>1.5693712311078269</v>
      </c>
      <c r="O12" s="142">
        <f t="shared" si="14"/>
        <v>0.63719786636721709</v>
      </c>
      <c r="P12" s="398">
        <f t="shared" si="12"/>
        <v>8.6725334040106405E-3</v>
      </c>
      <c r="Q12" s="514">
        <f t="shared" si="1"/>
        <v>0.99999450462143469</v>
      </c>
      <c r="R12" s="142">
        <f t="shared" si="2"/>
        <v>11478.483647942661</v>
      </c>
    </row>
    <row r="13" spans="1:18" x14ac:dyDescent="0.15">
      <c r="A13" s="142">
        <f t="shared" si="3"/>
        <v>2.199984779823846E-3</v>
      </c>
      <c r="B13" s="142">
        <f t="shared" si="4"/>
        <v>1.5220176062324102E-8</v>
      </c>
      <c r="C13" s="142">
        <f t="shared" si="5"/>
        <v>9.1710629880928596E-17</v>
      </c>
      <c r="D13" s="142">
        <f t="shared" si="0"/>
        <v>0.19952623149688795</v>
      </c>
      <c r="E13" s="142">
        <f t="shared" si="6"/>
        <v>3.0199517204020016E-13</v>
      </c>
      <c r="F13" s="141">
        <v>0.7</v>
      </c>
      <c r="H13" s="142">
        <f t="shared" si="7"/>
        <v>-1.9012724735718819E-3</v>
      </c>
      <c r="I13" s="142">
        <f t="shared" si="8"/>
        <v>-5.7554307507692436E-4</v>
      </c>
      <c r="J13" s="142">
        <f t="shared" si="9"/>
        <v>0.19952622355360561</v>
      </c>
      <c r="K13" s="142">
        <f t="shared" si="10"/>
        <v>-7.5857754482966463E-6</v>
      </c>
      <c r="L13" s="142">
        <f t="shared" si="11"/>
        <v>0.20201062487770272</v>
      </c>
      <c r="N13" s="144">
        <f t="shared" si="13"/>
        <v>1.9707239200636668</v>
      </c>
      <c r="O13" s="142">
        <f t="shared" si="14"/>
        <v>0.50742774765107312</v>
      </c>
      <c r="P13" s="398">
        <f t="shared" si="12"/>
        <v>1.0890440941686693E-2</v>
      </c>
      <c r="Q13" s="514">
        <f t="shared" si="1"/>
        <v>0.99999308173811174</v>
      </c>
      <c r="R13" s="142">
        <f t="shared" si="2"/>
        <v>11478.49998059861</v>
      </c>
    </row>
    <row r="14" spans="1:18" x14ac:dyDescent="0.15">
      <c r="A14" s="142">
        <f t="shared" si="3"/>
        <v>2.199980838967761E-3</v>
      </c>
      <c r="B14" s="142">
        <f t="shared" si="4"/>
        <v>1.9161032093419471E-8</v>
      </c>
      <c r="C14" s="142">
        <f t="shared" si="5"/>
        <v>1.4535129260482507E-16</v>
      </c>
      <c r="D14" s="142">
        <f t="shared" si="0"/>
        <v>0.15848931924611132</v>
      </c>
      <c r="E14" s="142">
        <f t="shared" si="6"/>
        <v>3.8018939632056036E-13</v>
      </c>
      <c r="F14" s="141">
        <v>0.8</v>
      </c>
      <c r="H14" s="142">
        <f t="shared" si="7"/>
        <v>-1.9012685327158508E-3</v>
      </c>
      <c r="I14" s="142">
        <f t="shared" si="8"/>
        <v>-5.7554307507681713E-4</v>
      </c>
      <c r="J14" s="142">
        <f t="shared" si="9"/>
        <v>0.15848931130282898</v>
      </c>
      <c r="K14" s="142">
        <f t="shared" si="10"/>
        <v>-7.585775370102422E-6</v>
      </c>
      <c r="L14" s="142">
        <f t="shared" si="11"/>
        <v>0.16097370868599176</v>
      </c>
      <c r="N14" s="144">
        <f t="shared" si="13"/>
        <v>2.4731192056342381</v>
      </c>
      <c r="O14" s="142">
        <f t="shared" si="14"/>
        <v>0.40434767467811861</v>
      </c>
      <c r="P14" s="398">
        <f t="shared" si="12"/>
        <v>1.3666709035443919E-2</v>
      </c>
      <c r="Q14" s="514">
        <f t="shared" si="1"/>
        <v>0.99999129043989132</v>
      </c>
      <c r="R14" s="142">
        <f t="shared" si="2"/>
        <v>11478.520542194283</v>
      </c>
    </row>
    <row r="15" spans="1:18" x14ac:dyDescent="0.15">
      <c r="A15" s="142">
        <f t="shared" si="3"/>
        <v>2.1999758777439494E-3</v>
      </c>
      <c r="B15" s="142">
        <f t="shared" si="4"/>
        <v>2.412225581987201E-8</v>
      </c>
      <c r="C15" s="142">
        <f t="shared" si="5"/>
        <v>2.3036575466090208E-16</v>
      </c>
      <c r="D15" s="142">
        <f t="shared" si="0"/>
        <v>0.12589254117941667</v>
      </c>
      <c r="E15" s="142">
        <f t="shared" si="6"/>
        <v>4.7863009232263685E-13</v>
      </c>
      <c r="F15" s="141">
        <v>0.9</v>
      </c>
      <c r="H15" s="142">
        <f t="shared" si="7"/>
        <v>-1.9012635714921245E-3</v>
      </c>
      <c r="I15" s="142">
        <f t="shared" si="8"/>
        <v>-5.7554307507664713E-4</v>
      </c>
      <c r="J15" s="142">
        <f t="shared" si="9"/>
        <v>0.12589253323613434</v>
      </c>
      <c r="K15" s="142">
        <f t="shared" si="10"/>
        <v>-7.5857752716617267E-6</v>
      </c>
      <c r="L15" s="142">
        <f t="shared" si="11"/>
        <v>0.12837692565797476</v>
      </c>
      <c r="N15" s="144">
        <f t="shared" si="13"/>
        <v>3.1010804201227327</v>
      </c>
      <c r="O15" s="142">
        <f t="shared" si="14"/>
        <v>0.32246825767918091</v>
      </c>
      <c r="P15" s="398">
        <f t="shared" si="12"/>
        <v>1.7136848124912913E-2</v>
      </c>
      <c r="Q15" s="514">
        <f t="shared" si="1"/>
        <v>0.99998903533815875</v>
      </c>
      <c r="R15" s="142">
        <f t="shared" si="2"/>
        <v>11478.546427709669</v>
      </c>
    </row>
    <row r="16" spans="1:18" x14ac:dyDescent="0.15">
      <c r="A16" s="142">
        <f t="shared" si="3"/>
        <v>2.1999696319650094E-3</v>
      </c>
      <c r="B16" s="142">
        <f t="shared" si="4"/>
        <v>3.0368034625686902E-8</v>
      </c>
      <c r="C16" s="142">
        <f t="shared" si="5"/>
        <v>3.6510407979693479E-16</v>
      </c>
      <c r="D16" s="142">
        <f t="shared" si="0"/>
        <v>0.1</v>
      </c>
      <c r="E16" s="142">
        <f t="shared" si="6"/>
        <v>6.025595860743553E-13</v>
      </c>
      <c r="F16" s="141">
        <v>1</v>
      </c>
      <c r="H16" s="142">
        <f t="shared" si="7"/>
        <v>-1.9012573257133187E-3</v>
      </c>
      <c r="I16" s="142">
        <f t="shared" si="8"/>
        <v>-5.755430750763776E-4</v>
      </c>
      <c r="J16" s="142">
        <f t="shared" si="9"/>
        <v>9.9999992056717654E-2</v>
      </c>
      <c r="K16" s="142">
        <f t="shared" si="10"/>
        <v>-7.5857751477322329E-6</v>
      </c>
      <c r="L16" s="142">
        <f t="shared" si="11"/>
        <v>0.10248437823265508</v>
      </c>
      <c r="N16" s="144">
        <f t="shared" si="13"/>
        <v>3.884564432344348</v>
      </c>
      <c r="O16" s="142">
        <f t="shared" si="14"/>
        <v>0.25742911912430205</v>
      </c>
      <c r="P16" s="398">
        <f t="shared" si="12"/>
        <v>2.1466389999173774E-2</v>
      </c>
      <c r="Q16" s="514">
        <f t="shared" si="1"/>
        <v>0.99998619634773145</v>
      </c>
      <c r="R16" s="142">
        <f t="shared" si="2"/>
        <v>11478.57901564293</v>
      </c>
    </row>
    <row r="17" spans="1:18" x14ac:dyDescent="0.15">
      <c r="A17" s="142">
        <f t="shared" si="3"/>
        <v>2.1999617690455667E-3</v>
      </c>
      <c r="B17" s="142">
        <f t="shared" si="4"/>
        <v>3.8230953854643209E-8</v>
      </c>
      <c r="C17" s="142">
        <f t="shared" si="5"/>
        <v>5.7864890245140868E-16</v>
      </c>
      <c r="D17" s="142">
        <f t="shared" si="0"/>
        <v>7.9432823472428096E-2</v>
      </c>
      <c r="E17" s="142">
        <f t="shared" si="6"/>
        <v>7.5857757502917993E-13</v>
      </c>
      <c r="F17" s="141">
        <v>1.1000000000000001</v>
      </c>
      <c r="H17" s="142">
        <f t="shared" si="7"/>
        <v>-1.9012494627940895E-3</v>
      </c>
      <c r="I17" s="142">
        <f t="shared" si="8"/>
        <v>-5.7554307507595053E-4</v>
      </c>
      <c r="J17" s="142">
        <f t="shared" si="9"/>
        <v>7.9432815529145745E-2</v>
      </c>
      <c r="K17" s="142">
        <f t="shared" si="10"/>
        <v>-7.5857749917142435E-6</v>
      </c>
      <c r="L17" s="142">
        <f t="shared" si="11"/>
        <v>8.1917193842007505E-2</v>
      </c>
      <c r="N17" s="144">
        <f t="shared" si="13"/>
        <v>4.859873146061628</v>
      </c>
      <c r="O17" s="142">
        <f t="shared" si="14"/>
        <v>0.2057666877190788</v>
      </c>
      <c r="P17" s="398">
        <f t="shared" si="12"/>
        <v>2.6855922009347645E-2</v>
      </c>
      <c r="Q17" s="514">
        <f t="shared" si="1"/>
        <v>0.99998262229343937</v>
      </c>
      <c r="R17" s="142">
        <f t="shared" si="2"/>
        <v>11478.620041420463</v>
      </c>
    </row>
    <row r="18" spans="1:18" x14ac:dyDescent="0.15">
      <c r="A18" s="142">
        <f t="shared" si="3"/>
        <v>2.1999518702963197E-3</v>
      </c>
      <c r="B18" s="142">
        <f t="shared" si="4"/>
        <v>4.8129702763703188E-8</v>
      </c>
      <c r="C18" s="142">
        <f t="shared" si="5"/>
        <v>9.1709257983483561E-16</v>
      </c>
      <c r="D18" s="142">
        <f t="shared" si="0"/>
        <v>6.3095734448019317E-2</v>
      </c>
      <c r="E18" s="142">
        <f t="shared" si="6"/>
        <v>9.5499258602143024E-13</v>
      </c>
      <c r="F18" s="141">
        <v>1.2</v>
      </c>
      <c r="H18" s="142">
        <f t="shared" si="7"/>
        <v>-1.9012395640451807E-3</v>
      </c>
      <c r="I18" s="142">
        <f t="shared" si="8"/>
        <v>-5.7554307507527366E-4</v>
      </c>
      <c r="J18" s="142">
        <f t="shared" si="9"/>
        <v>6.3095726504736965E-2</v>
      </c>
      <c r="K18" s="142">
        <f t="shared" si="10"/>
        <v>-7.5857747952992326E-6</v>
      </c>
      <c r="L18" s="142">
        <f t="shared" si="11"/>
        <v>6.5580094918652715E-2</v>
      </c>
      <c r="N18" s="144">
        <f t="shared" si="13"/>
        <v>6.070548861622111</v>
      </c>
      <c r="O18" s="142">
        <f t="shared" si="14"/>
        <v>0.16472975060327413</v>
      </c>
      <c r="P18" s="398">
        <f t="shared" si="12"/>
        <v>3.354603059091632E-2</v>
      </c>
      <c r="Q18" s="514">
        <f t="shared" si="1"/>
        <v>0.99997812286196341</v>
      </c>
      <c r="R18" s="142">
        <f t="shared" si="2"/>
        <v>11478.671689814695</v>
      </c>
    </row>
    <row r="19" spans="1:18" x14ac:dyDescent="0.15">
      <c r="A19" s="142">
        <f t="shared" si="3"/>
        <v>2.1999394086358983E-3</v>
      </c>
      <c r="B19" s="142">
        <f t="shared" si="4"/>
        <v>6.0591362648697687E-8</v>
      </c>
      <c r="C19" s="142">
        <f t="shared" si="5"/>
        <v>1.4534855532994406E-15</v>
      </c>
      <c r="D19" s="142">
        <f t="shared" si="0"/>
        <v>5.0118723362727206E-2</v>
      </c>
      <c r="E19" s="142">
        <f t="shared" si="6"/>
        <v>1.2022644346174088E-12</v>
      </c>
      <c r="F19" s="141">
        <v>1.3</v>
      </c>
      <c r="H19" s="142">
        <f t="shared" si="7"/>
        <v>-1.9012271023852957E-3</v>
      </c>
      <c r="I19" s="142">
        <f t="shared" si="8"/>
        <v>-5.7554307507420085E-4</v>
      </c>
      <c r="J19" s="142">
        <f t="shared" si="9"/>
        <v>5.0118715419444862E-2</v>
      </c>
      <c r="K19" s="142">
        <f t="shared" si="10"/>
        <v>-7.5857745480273844E-6</v>
      </c>
      <c r="L19" s="142">
        <f t="shared" si="11"/>
        <v>5.2603071371452384E-2</v>
      </c>
      <c r="N19" s="144">
        <f t="shared" si="13"/>
        <v>7.568135475251915</v>
      </c>
      <c r="O19" s="142">
        <f t="shared" si="14"/>
        <v>0.1321329412336813</v>
      </c>
      <c r="P19" s="398">
        <f t="shared" si="12"/>
        <v>4.1821501126829683E-2</v>
      </c>
      <c r="Q19" s="514">
        <f t="shared" si="1"/>
        <v>0.9999724584708628</v>
      </c>
      <c r="R19" s="142">
        <f t="shared" si="2"/>
        <v>11478.736711291253</v>
      </c>
    </row>
    <row r="20" spans="1:18" x14ac:dyDescent="0.15">
      <c r="A20" s="142">
        <f t="shared" si="3"/>
        <v>2.1999237205354871E-3</v>
      </c>
      <c r="B20" s="142">
        <f t="shared" si="4"/>
        <v>7.6279462209428816E-8</v>
      </c>
      <c r="C20" s="142">
        <f t="shared" si="5"/>
        <v>2.3036029313070511E-15</v>
      </c>
      <c r="D20" s="142">
        <f t="shared" si="0"/>
        <v>3.9810717055349727E-2</v>
      </c>
      <c r="E20" s="142">
        <f t="shared" si="6"/>
        <v>1.5135612484362015E-12</v>
      </c>
      <c r="F20" s="141">
        <v>1.4</v>
      </c>
      <c r="H20" s="142">
        <f t="shared" si="7"/>
        <v>-1.9012114142857349E-3</v>
      </c>
      <c r="I20" s="142">
        <f t="shared" si="8"/>
        <v>-5.755430750725006E-4</v>
      </c>
      <c r="J20" s="142">
        <f t="shared" si="9"/>
        <v>3.9810709112067383E-2</v>
      </c>
      <c r="K20" s="142">
        <f t="shared" si="10"/>
        <v>-7.5857742367305706E-6</v>
      </c>
      <c r="L20" s="142">
        <f t="shared" si="11"/>
        <v>4.229504937566235E-2</v>
      </c>
      <c r="N20" s="144">
        <f t="shared" si="13"/>
        <v>9.412618649940109</v>
      </c>
      <c r="O20" s="142">
        <f t="shared" si="14"/>
        <v>0.106240360646754</v>
      </c>
      <c r="P20" s="398">
        <f t="shared" si="12"/>
        <v>5.2013740449760044E-2</v>
      </c>
      <c r="Q20" s="514">
        <f t="shared" si="1"/>
        <v>0.99996532751613043</v>
      </c>
      <c r="R20" s="142">
        <f t="shared" si="2"/>
        <v>11478.818568481318</v>
      </c>
    </row>
    <row r="21" spans="1:18" x14ac:dyDescent="0.15">
      <c r="A21" s="142">
        <f t="shared" si="3"/>
        <v>2.1999039707050871E-3</v>
      </c>
      <c r="B21" s="142">
        <f t="shared" si="4"/>
        <v>9.6029291262077449E-8</v>
      </c>
      <c r="C21" s="142">
        <f t="shared" si="5"/>
        <v>3.6509318274020578E-15</v>
      </c>
      <c r="D21" s="142">
        <f t="shared" si="0"/>
        <v>3.1622776601683784E-2</v>
      </c>
      <c r="E21" s="142">
        <f t="shared" si="6"/>
        <v>1.905460717963237E-12</v>
      </c>
      <c r="F21" s="141">
        <v>1.5</v>
      </c>
      <c r="H21" s="142">
        <f t="shared" si="7"/>
        <v>-1.9011916644566822E-3</v>
      </c>
      <c r="I21" s="142">
        <f t="shared" si="8"/>
        <v>-5.7554307506980592E-4</v>
      </c>
      <c r="J21" s="142">
        <f t="shared" si="9"/>
        <v>3.162276865840144E-2</v>
      </c>
      <c r="K21" s="142">
        <f t="shared" si="10"/>
        <v>-7.585773844831101E-6</v>
      </c>
      <c r="L21" s="142">
        <f t="shared" si="11"/>
        <v>3.4107089171772756E-2</v>
      </c>
      <c r="N21" s="144">
        <f t="shared" si="13"/>
        <v>11.672270493342868</v>
      </c>
      <c r="O21" s="142">
        <f t="shared" si="14"/>
        <v>8.5673134508863324E-2</v>
      </c>
      <c r="P21" s="398">
        <f t="shared" si="12"/>
        <v>6.4499903806676695E-2</v>
      </c>
      <c r="Q21" s="514">
        <f t="shared" si="1"/>
        <v>0.99995635032049401</v>
      </c>
      <c r="R21" s="142">
        <f t="shared" si="2"/>
        <v>11478.921620579473</v>
      </c>
    </row>
    <row r="22" spans="1:18" x14ac:dyDescent="0.15">
      <c r="A22" s="142">
        <f t="shared" si="3"/>
        <v>2.1998791076454942E-3</v>
      </c>
      <c r="B22" s="142">
        <f t="shared" si="4"/>
        <v>1.2089234871966343E-7</v>
      </c>
      <c r="C22" s="142">
        <f t="shared" si="5"/>
        <v>5.7862716028793129E-15</v>
      </c>
      <c r="D22" s="142">
        <f t="shared" si="0"/>
        <v>2.511886431509578E-2</v>
      </c>
      <c r="E22" s="142">
        <f t="shared" si="6"/>
        <v>2.3988329190194755E-12</v>
      </c>
      <c r="F22" s="141">
        <v>1.6</v>
      </c>
      <c r="H22" s="142">
        <f t="shared" si="7"/>
        <v>-1.9011668013992247E-3</v>
      </c>
      <c r="I22" s="142">
        <f t="shared" si="8"/>
        <v>-5.7554307506553525E-4</v>
      </c>
      <c r="J22" s="142">
        <f t="shared" si="9"/>
        <v>2.5118856371813433E-2</v>
      </c>
      <c r="K22" s="142">
        <f t="shared" si="10"/>
        <v>-7.5857733514588994E-6</v>
      </c>
      <c r="L22" s="142">
        <f t="shared" si="11"/>
        <v>2.7603152021629652E-2</v>
      </c>
      <c r="N22" s="144">
        <f t="shared" si="13"/>
        <v>14.422525740594516</v>
      </c>
      <c r="O22" s="142">
        <f t="shared" si="14"/>
        <v>6.9335983030027762E-2</v>
      </c>
      <c r="P22" s="398">
        <f t="shared" si="12"/>
        <v>7.9696663117374528E-2</v>
      </c>
      <c r="Q22" s="514">
        <f t="shared" si="1"/>
        <v>0.99994504892976999</v>
      </c>
      <c r="R22" s="142">
        <f t="shared" si="2"/>
        <v>11479.05135548687</v>
      </c>
    </row>
    <row r="23" spans="1:18" x14ac:dyDescent="0.15">
      <c r="A23" s="142">
        <f t="shared" si="3"/>
        <v>2.1998478077063619E-3</v>
      </c>
      <c r="B23" s="142">
        <f t="shared" si="4"/>
        <v>1.5219228446793826E-7</v>
      </c>
      <c r="C23" s="142">
        <f t="shared" si="5"/>
        <v>9.1704919932711791E-15</v>
      </c>
      <c r="D23" s="142">
        <f t="shared" si="0"/>
        <v>1.9952623149688792E-2</v>
      </c>
      <c r="E23" s="142">
        <f t="shared" si="6"/>
        <v>3.0199517204020161E-12</v>
      </c>
      <c r="F23" s="141">
        <v>1.7</v>
      </c>
      <c r="H23" s="142">
        <f t="shared" si="7"/>
        <v>-1.9011355014634764E-3</v>
      </c>
      <c r="I23" s="142">
        <f t="shared" si="8"/>
        <v>-5.7554307505876679E-4</v>
      </c>
      <c r="J23" s="142">
        <f t="shared" si="9"/>
        <v>1.9952615206406444E-2</v>
      </c>
      <c r="K23" s="142">
        <f t="shared" si="10"/>
        <v>-7.5857727303400984E-6</v>
      </c>
      <c r="L23" s="142">
        <f t="shared" si="11"/>
        <v>2.2436879555659026E-2</v>
      </c>
      <c r="N23" s="144">
        <f t="shared" si="13"/>
        <v>17.743428606723821</v>
      </c>
      <c r="O23" s="142">
        <f t="shared" si="14"/>
        <v>5.6358893321274611E-2</v>
      </c>
      <c r="P23" s="398">
        <f t="shared" si="12"/>
        <v>9.8046067513497731E-2</v>
      </c>
      <c r="Q23" s="514">
        <f t="shared" si="1"/>
        <v>0.99993082168470993</v>
      </c>
      <c r="R23" s="142">
        <f t="shared" si="2"/>
        <v>11479.214682062218</v>
      </c>
    </row>
    <row r="24" spans="1:18" x14ac:dyDescent="0.15">
      <c r="A24" s="142">
        <f t="shared" si="3"/>
        <v>2.1998084046829301E-3</v>
      </c>
      <c r="B24" s="142">
        <f t="shared" si="4"/>
        <v>1.9159530253581999E-7</v>
      </c>
      <c r="C24" s="142">
        <f t="shared" si="5"/>
        <v>1.4533989998460522E-14</v>
      </c>
      <c r="D24" s="142">
        <f t="shared" si="0"/>
        <v>1.5848931924611124E-2</v>
      </c>
      <c r="E24" s="142">
        <f t="shared" si="6"/>
        <v>3.8018939632056084E-12</v>
      </c>
      <c r="F24" s="141">
        <v>1.8</v>
      </c>
      <c r="H24" s="142">
        <f t="shared" si="7"/>
        <v>-1.9010960984454084E-3</v>
      </c>
      <c r="I24" s="142">
        <f t="shared" si="8"/>
        <v>-5.7554307504803981E-4</v>
      </c>
      <c r="J24" s="142">
        <f t="shared" si="9"/>
        <v>1.5848923981328776E-2</v>
      </c>
      <c r="K24" s="142">
        <f t="shared" si="10"/>
        <v>-7.5857719483978554E-6</v>
      </c>
      <c r="L24" s="142">
        <f t="shared" si="11"/>
        <v>1.8333148926770623E-2</v>
      </c>
      <c r="N24" s="144">
        <f t="shared" si="13"/>
        <v>21.715154998395775</v>
      </c>
      <c r="O24" s="142">
        <f t="shared" si="14"/>
        <v>4.6050788035999553E-2</v>
      </c>
      <c r="P24" s="398">
        <f t="shared" si="12"/>
        <v>0.11999075627813741</v>
      </c>
      <c r="Q24" s="514">
        <f t="shared" si="1"/>
        <v>0.99991291121951364</v>
      </c>
      <c r="R24" s="142">
        <f t="shared" si="2"/>
        <v>11479.420298044108</v>
      </c>
    </row>
    <row r="25" spans="1:18" x14ac:dyDescent="0.15">
      <c r="A25" s="142">
        <f t="shared" si="3"/>
        <v>2.1997588012207347E-3</v>
      </c>
      <c r="B25" s="142">
        <f t="shared" si="4"/>
        <v>2.4119875623126011E-7</v>
      </c>
      <c r="C25" s="142">
        <f t="shared" si="5"/>
        <v>2.3034302395844517E-14</v>
      </c>
      <c r="D25" s="142">
        <f t="shared" si="0"/>
        <v>1.2589254117941664E-2</v>
      </c>
      <c r="E25" s="142">
        <f t="shared" si="6"/>
        <v>4.7863009232263738E-12</v>
      </c>
      <c r="F25" s="141">
        <v>1.9</v>
      </c>
      <c r="H25" s="142">
        <f t="shared" si="7"/>
        <v>-1.901046494991713E-3</v>
      </c>
      <c r="I25" s="142">
        <f t="shared" si="8"/>
        <v>-5.7554307503103919E-4</v>
      </c>
      <c r="J25" s="142">
        <f t="shared" si="9"/>
        <v>1.2589246174659317E-2</v>
      </c>
      <c r="K25" s="142">
        <f t="shared" si="10"/>
        <v>-7.5857709639908957E-6</v>
      </c>
      <c r="L25" s="142">
        <f t="shared" si="11"/>
        <v>1.5073421515646061E-2</v>
      </c>
      <c r="N25" s="144">
        <f t="shared" si="13"/>
        <v>26.411201341398563</v>
      </c>
      <c r="O25" s="142">
        <f t="shared" si="14"/>
        <v>3.7862722981575912E-2</v>
      </c>
      <c r="P25" s="398">
        <f t="shared" si="12"/>
        <v>0.14593626264198922</v>
      </c>
      <c r="Q25" s="514">
        <f t="shared" si="1"/>
        <v>0.999890364191243</v>
      </c>
      <c r="R25" s="142">
        <f t="shared" si="2"/>
        <v>11479.679153237896</v>
      </c>
    </row>
    <row r="26" spans="1:18" x14ac:dyDescent="0.15">
      <c r="A26" s="142">
        <f t="shared" si="3"/>
        <v>2.1996963573396367E-3</v>
      </c>
      <c r="B26" s="142">
        <f t="shared" si="4"/>
        <v>3.0364262385759108E-7</v>
      </c>
      <c r="C26" s="142">
        <f t="shared" si="5"/>
        <v>3.6505872749789444E-14</v>
      </c>
      <c r="D26" s="142">
        <f t="shared" si="0"/>
        <v>0.01</v>
      </c>
      <c r="E26" s="142">
        <f t="shared" si="6"/>
        <v>6.0255958607435596E-12</v>
      </c>
      <c r="F26" s="141">
        <v>2</v>
      </c>
      <c r="H26" s="142">
        <f t="shared" si="7"/>
        <v>-1.9009840511240866E-3</v>
      </c>
      <c r="I26" s="142">
        <f t="shared" si="8"/>
        <v>-5.7554307500409612E-4</v>
      </c>
      <c r="J26" s="142">
        <f t="shared" si="9"/>
        <v>9.9999920567176524E-3</v>
      </c>
      <c r="K26" s="142">
        <f t="shared" si="10"/>
        <v>-7.585769724695958E-6</v>
      </c>
      <c r="L26" s="142">
        <f t="shared" si="11"/>
        <v>1.248410495257053E-2</v>
      </c>
      <c r="N26" s="144">
        <f t="shared" si="13"/>
        <v>31.889123975325539</v>
      </c>
      <c r="O26" s="142">
        <f t="shared" si="14"/>
        <v>3.1358653839903466E-2</v>
      </c>
      <c r="P26" s="398">
        <f t="shared" si="12"/>
        <v>0.17619976487675312</v>
      </c>
      <c r="Q26" s="514">
        <f t="shared" si="1"/>
        <v>0.99986198060892573</v>
      </c>
      <c r="R26" s="142">
        <f t="shared" si="2"/>
        <v>11480.005032633793</v>
      </c>
    </row>
    <row r="27" spans="1:18" x14ac:dyDescent="0.15">
      <c r="A27" s="142">
        <f t="shared" si="3"/>
        <v>2.1996177501872236E-3</v>
      </c>
      <c r="B27" s="142">
        <f t="shared" si="4"/>
        <v>3.8224975492071849E-7</v>
      </c>
      <c r="C27" s="142">
        <f t="shared" si="5"/>
        <v>5.7855841627223738E-14</v>
      </c>
      <c r="D27" s="142">
        <f t="shared" si="0"/>
        <v>7.9432823472428121E-3</v>
      </c>
      <c r="E27" s="142">
        <f t="shared" si="6"/>
        <v>7.5857757502918081E-12</v>
      </c>
      <c r="F27" s="141">
        <v>2.1</v>
      </c>
      <c r="H27" s="142">
        <f t="shared" si="7"/>
        <v>-1.9009054439930236E-3</v>
      </c>
      <c r="I27" s="142">
        <f t="shared" si="8"/>
        <v>-5.7554307496139611E-4</v>
      </c>
      <c r="J27" s="142">
        <f t="shared" si="9"/>
        <v>7.9432744039604642E-3</v>
      </c>
      <c r="K27" s="142">
        <f t="shared" si="10"/>
        <v>-7.5857681645160688E-6</v>
      </c>
      <c r="L27" s="142">
        <f t="shared" si="11"/>
        <v>1.04273086910794E-2</v>
      </c>
      <c r="N27" s="144">
        <f t="shared" si="13"/>
        <v>38.179283106299451</v>
      </c>
      <c r="O27" s="142">
        <f t="shared" si="14"/>
        <v>2.619221521828427E-2</v>
      </c>
      <c r="P27" s="398">
        <f t="shared" si="12"/>
        <v>0.21094779250843551</v>
      </c>
      <c r="Q27" s="514">
        <f t="shared" si="1"/>
        <v>0.99982625008510162</v>
      </c>
      <c r="R27" s="142">
        <f t="shared" si="2"/>
        <v>11480.415290509385</v>
      </c>
    </row>
    <row r="28" spans="1:18" x14ac:dyDescent="0.15">
      <c r="A28" s="142">
        <f t="shared" si="3"/>
        <v>2.1995187976266489E-3</v>
      </c>
      <c r="B28" s="142">
        <f t="shared" si="4"/>
        <v>4.8120228166032366E-7</v>
      </c>
      <c r="C28" s="142">
        <f t="shared" si="5"/>
        <v>9.1691204509803401E-14</v>
      </c>
      <c r="D28" s="142">
        <f t="shared" si="0"/>
        <v>6.3095734448019251E-3</v>
      </c>
      <c r="E28" s="142">
        <f t="shared" si="6"/>
        <v>9.5499258602143472E-12</v>
      </c>
      <c r="F28" s="141">
        <v>2.2000000000000002</v>
      </c>
      <c r="H28" s="142">
        <f t="shared" si="7"/>
        <v>-1.900806491466284E-3</v>
      </c>
      <c r="I28" s="142">
        <f t="shared" si="8"/>
        <v>-5.7554307489372542E-4</v>
      </c>
      <c r="J28" s="142">
        <f t="shared" si="9"/>
        <v>6.3095655015195781E-3</v>
      </c>
      <c r="K28" s="142">
        <f t="shared" si="10"/>
        <v>-7.5857662003659585E-6</v>
      </c>
      <c r="L28" s="142">
        <f t="shared" si="11"/>
        <v>8.7935008340799536E-3</v>
      </c>
      <c r="N28" s="144">
        <f t="shared" si="13"/>
        <v>45.27288710892018</v>
      </c>
      <c r="O28" s="142">
        <f t="shared" si="14"/>
        <v>2.2088275430593614E-2</v>
      </c>
      <c r="P28" s="398">
        <f t="shared" si="12"/>
        <v>0.25013004935443101</v>
      </c>
      <c r="Q28" s="514">
        <f t="shared" si="1"/>
        <v>0.99978127164847674</v>
      </c>
      <c r="R28" s="142">
        <f t="shared" si="2"/>
        <v>11480.931774610672</v>
      </c>
    </row>
    <row r="29" spans="1:18" x14ac:dyDescent="0.15">
      <c r="A29" s="142">
        <f t="shared" si="3"/>
        <v>2.1993942363811077E-3</v>
      </c>
      <c r="B29" s="142">
        <f t="shared" si="4"/>
        <v>6.0576347357973618E-7</v>
      </c>
      <c r="C29" s="142">
        <f t="shared" si="5"/>
        <v>1.4531253615626649E-13</v>
      </c>
      <c r="D29" s="142">
        <f t="shared" si="0"/>
        <v>5.0118723362727212E-3</v>
      </c>
      <c r="E29" s="142">
        <f t="shared" si="6"/>
        <v>1.2022644346174101E-11</v>
      </c>
      <c r="F29" s="141">
        <v>2.2999999999999998</v>
      </c>
      <c r="H29" s="142">
        <f t="shared" si="7"/>
        <v>-1.9006819302743645E-3</v>
      </c>
      <c r="I29" s="142">
        <f t="shared" si="8"/>
        <v>-5.7554307478648275E-4</v>
      </c>
      <c r="J29" s="142">
        <f t="shared" si="9"/>
        <v>5.0118643929903742E-3</v>
      </c>
      <c r="K29" s="142">
        <f t="shared" si="10"/>
        <v>-7.5857637276474725E-6</v>
      </c>
      <c r="L29" s="142">
        <f t="shared" si="11"/>
        <v>7.4956751617788683E-3</v>
      </c>
      <c r="N29" s="144">
        <f t="shared" si="13"/>
        <v>53.111582607459034</v>
      </c>
      <c r="O29" s="142">
        <f t="shared" si="14"/>
        <v>1.8828284733875718E-2</v>
      </c>
      <c r="P29" s="398">
        <f t="shared" si="12"/>
        <v>0.29342176507274753</v>
      </c>
      <c r="Q29" s="514">
        <f t="shared" si="1"/>
        <v>0.9997246529005035</v>
      </c>
      <c r="R29" s="142">
        <f t="shared" si="2"/>
        <v>11481.581989628135</v>
      </c>
    </row>
    <row r="30" spans="1:18" x14ac:dyDescent="0.15">
      <c r="A30" s="142">
        <f t="shared" si="3"/>
        <v>2.1992374431052918E-3</v>
      </c>
      <c r="B30" s="142">
        <f t="shared" si="4"/>
        <v>7.6255666441960598E-7</v>
      </c>
      <c r="C30" s="142">
        <f t="shared" si="5"/>
        <v>2.3028843106180119E-13</v>
      </c>
      <c r="D30" s="142">
        <f t="shared" si="0"/>
        <v>3.9810717055349717E-3</v>
      </c>
      <c r="E30" s="142">
        <f t="shared" si="6"/>
        <v>1.5135612484362034E-11</v>
      </c>
      <c r="F30" s="141">
        <v>2.4</v>
      </c>
      <c r="H30" s="142">
        <f t="shared" si="7"/>
        <v>-1.9005251370835246E-3</v>
      </c>
      <c r="I30" s="142">
        <f t="shared" si="8"/>
        <v>-5.7554307461653092E-4</v>
      </c>
      <c r="J30" s="142">
        <f t="shared" si="9"/>
        <v>3.9810637622526247E-3</v>
      </c>
      <c r="K30" s="142">
        <f t="shared" si="10"/>
        <v>-7.5857606146793347E-6</v>
      </c>
      <c r="L30" s="142">
        <f t="shared" si="11"/>
        <v>6.4647177345673601E-3</v>
      </c>
      <c r="N30" s="144">
        <f t="shared" si="13"/>
        <v>61.581524035424856</v>
      </c>
      <c r="O30" s="142">
        <f t="shared" si="14"/>
        <v>1.6238636760999105E-2</v>
      </c>
      <c r="P30" s="398">
        <f t="shared" si="12"/>
        <v>0.340190791524554</v>
      </c>
      <c r="Q30" s="514">
        <f t="shared" si="1"/>
        <v>0.99965338322967801</v>
      </c>
      <c r="R30" s="142">
        <f t="shared" si="2"/>
        <v>11482.40056192798</v>
      </c>
    </row>
    <row r="31" spans="1:18" x14ac:dyDescent="0.15">
      <c r="A31" s="142">
        <f t="shared" si="3"/>
        <v>2.1990400838227311E-3</v>
      </c>
      <c r="B31" s="142">
        <f t="shared" si="4"/>
        <v>9.5991581231936222E-7</v>
      </c>
      <c r="C31" s="142">
        <f t="shared" si="5"/>
        <v>3.6494981320425974E-13</v>
      </c>
      <c r="D31" s="142">
        <f t="shared" si="0"/>
        <v>3.1622776601683764E-3</v>
      </c>
      <c r="E31" s="142">
        <f t="shared" si="6"/>
        <v>1.9054607179632392E-11</v>
      </c>
      <c r="F31" s="141">
        <v>2.5</v>
      </c>
      <c r="H31" s="142">
        <f t="shared" si="7"/>
        <v>-1.9003277779356248E-3</v>
      </c>
      <c r="I31" s="142">
        <f t="shared" si="8"/>
        <v>-5.7554307434720816E-4</v>
      </c>
      <c r="J31" s="142">
        <f t="shared" si="9"/>
        <v>3.1622697168860289E-3</v>
      </c>
      <c r="K31" s="142">
        <f t="shared" si="10"/>
        <v>-7.5857566956846394E-6</v>
      </c>
      <c r="L31" s="142">
        <f t="shared" si="11"/>
        <v>5.6457263258645465E-3</v>
      </c>
      <c r="N31" s="144">
        <f t="shared" si="13"/>
        <v>70.514783674452005</v>
      </c>
      <c r="O31" s="142">
        <f t="shared" si="14"/>
        <v>1.4181423353955589E-2</v>
      </c>
      <c r="P31" s="398">
        <f t="shared" si="12"/>
        <v>0.389505257055829</v>
      </c>
      <c r="Q31" s="514">
        <f t="shared" si="1"/>
        <v>0.99956367446487771</v>
      </c>
      <c r="R31" s="142">
        <f t="shared" si="2"/>
        <v>11483.431083542227</v>
      </c>
    </row>
    <row r="32" spans="1:18" x14ac:dyDescent="0.15">
      <c r="A32" s="142">
        <f t="shared" si="3"/>
        <v>2.19879167352396E-3</v>
      </c>
      <c r="B32" s="142">
        <f t="shared" si="4"/>
        <v>1.2083258976992235E-6</v>
      </c>
      <c r="C32" s="142">
        <f t="shared" si="5"/>
        <v>5.7834113597161467E-13</v>
      </c>
      <c r="D32" s="142">
        <f t="shared" si="0"/>
        <v>2.5118864315095777E-3</v>
      </c>
      <c r="E32" s="142">
        <f t="shared" si="6"/>
        <v>2.3988329190194783E-11</v>
      </c>
      <c r="F32" s="141">
        <v>2.6</v>
      </c>
      <c r="H32" s="142">
        <f t="shared" si="7"/>
        <v>-1.9000793678502451E-3</v>
      </c>
      <c r="I32" s="142">
        <f t="shared" si="8"/>
        <v>-5.7554307392042553E-4</v>
      </c>
      <c r="J32" s="142">
        <f t="shared" si="9"/>
        <v>2.5118784882272303E-3</v>
      </c>
      <c r="K32" s="142">
        <f t="shared" si="10"/>
        <v>-7.5857517619626285E-6</v>
      </c>
      <c r="L32" s="142">
        <f t="shared" si="11"/>
        <v>4.9950866817598631E-3</v>
      </c>
      <c r="N32" s="144">
        <f t="shared" si="13"/>
        <v>79.699752159903767</v>
      </c>
      <c r="O32" s="142">
        <f t="shared" si="14"/>
        <v>1.2547090460126814E-2</v>
      </c>
      <c r="P32" s="398">
        <f t="shared" si="12"/>
        <v>0.44019089429480818</v>
      </c>
      <c r="Q32" s="514">
        <f t="shared" si="1"/>
        <v>0.99945076069270899</v>
      </c>
      <c r="R32" s="142">
        <f t="shared" si="2"/>
        <v>11484.728433618966</v>
      </c>
    </row>
    <row r="33" spans="1:18" x14ac:dyDescent="0.15">
      <c r="A33" s="142">
        <f t="shared" si="3"/>
        <v>2.1984790232063515E-3</v>
      </c>
      <c r="B33" s="142">
        <f t="shared" si="4"/>
        <v>1.5209758771697625E-6</v>
      </c>
      <c r="C33" s="142">
        <f t="shared" si="5"/>
        <v>9.1647859497649594E-13</v>
      </c>
      <c r="D33" s="142">
        <f t="shared" si="0"/>
        <v>1.9952623149688781E-3</v>
      </c>
      <c r="E33" s="142">
        <f t="shared" si="6"/>
        <v>3.0199517204020087E-11</v>
      </c>
      <c r="F33" s="141">
        <v>2.7</v>
      </c>
      <c r="H33" s="142">
        <f t="shared" si="7"/>
        <v>-1.8997667178707745E-3</v>
      </c>
      <c r="I33" s="142">
        <f t="shared" si="8"/>
        <v>-5.7554307324415063E-4</v>
      </c>
      <c r="J33" s="142">
        <f t="shared" si="9"/>
        <v>1.9952543716865306E-3</v>
      </c>
      <c r="K33" s="142">
        <f t="shared" si="10"/>
        <v>-7.5857455507746145E-6</v>
      </c>
      <c r="L33" s="142">
        <f t="shared" si="11"/>
        <v>4.478149908352231E-3</v>
      </c>
      <c r="N33" s="144">
        <f t="shared" si="13"/>
        <v>88.899920436112367</v>
      </c>
      <c r="O33" s="142">
        <f t="shared" si="14"/>
        <v>1.124860399305584E-2</v>
      </c>
      <c r="P33" s="398">
        <f t="shared" si="12"/>
        <v>0.49093466458234275</v>
      </c>
      <c r="Q33" s="514">
        <f t="shared" si="1"/>
        <v>0.99930864691197785</v>
      </c>
      <c r="R33" s="142">
        <f t="shared" si="2"/>
        <v>11486.361700961761</v>
      </c>
    </row>
    <row r="34" spans="1:18" x14ac:dyDescent="0.15">
      <c r="A34" s="142">
        <f t="shared" si="3"/>
        <v>2.1980855460695041E-3</v>
      </c>
      <c r="B34" s="142">
        <f t="shared" si="4"/>
        <v>1.9144524782352624E-6</v>
      </c>
      <c r="C34" s="142">
        <f t="shared" si="5"/>
        <v>1.4522607184483165E-12</v>
      </c>
      <c r="D34" s="142">
        <f t="shared" si="0"/>
        <v>1.5848931924611134E-3</v>
      </c>
      <c r="E34" s="142">
        <f t="shared" si="6"/>
        <v>3.801893963205585E-11</v>
      </c>
      <c r="F34" s="141">
        <v>2.8</v>
      </c>
      <c r="H34" s="142">
        <f t="shared" si="7"/>
        <v>-1.8993732412697091E-3</v>
      </c>
      <c r="I34" s="142">
        <f t="shared" si="8"/>
        <v>-5.7554307217258635E-4</v>
      </c>
      <c r="J34" s="142">
        <f t="shared" si="9"/>
        <v>1.5848852491787662E-3</v>
      </c>
      <c r="K34" s="142">
        <f t="shared" si="10"/>
        <v>-7.5857377313521868E-6</v>
      </c>
      <c r="L34" s="142">
        <f t="shared" si="11"/>
        <v>4.0673873003524135E-3</v>
      </c>
      <c r="N34" s="144">
        <f t="shared" si="13"/>
        <v>97.877861426917406</v>
      </c>
      <c r="O34" s="142">
        <f t="shared" si="14"/>
        <v>1.0216814971449609E-2</v>
      </c>
      <c r="P34" s="398">
        <f t="shared" si="12"/>
        <v>0.54041707458718125</v>
      </c>
      <c r="Q34" s="514">
        <f t="shared" si="1"/>
        <v>0.99912979366795629</v>
      </c>
      <c r="R34" s="142">
        <f t="shared" si="2"/>
        <v>11488.417863299468</v>
      </c>
    </row>
    <row r="35" spans="1:18" x14ac:dyDescent="0.15">
      <c r="A35" s="142">
        <f t="shared" si="3"/>
        <v>2.1975903877546137E-3</v>
      </c>
      <c r="B35" s="142">
        <f t="shared" si="4"/>
        <v>2.4096099442267768E-6</v>
      </c>
      <c r="C35" s="142">
        <f t="shared" si="5"/>
        <v>2.3011596319400995E-12</v>
      </c>
      <c r="D35" s="142">
        <f t="shared" si="0"/>
        <v>1.2589254117941662E-3</v>
      </c>
      <c r="E35" s="142">
        <f t="shared" si="6"/>
        <v>4.786300923226362E-11</v>
      </c>
      <c r="F35" s="141">
        <v>2.9</v>
      </c>
      <c r="H35" s="142">
        <f t="shared" si="7"/>
        <v>-1.8988780838037175E-3</v>
      </c>
      <c r="I35" s="142">
        <f t="shared" si="8"/>
        <v>-5.7554307047478852E-4</v>
      </c>
      <c r="J35" s="142">
        <f t="shared" si="9"/>
        <v>1.258917468511819E-3</v>
      </c>
      <c r="K35" s="142">
        <f t="shared" si="10"/>
        <v>-7.5857278872825864E-6</v>
      </c>
      <c r="L35" s="142">
        <f t="shared" si="11"/>
        <v>3.7409243506776073E-3</v>
      </c>
      <c r="N35" s="144">
        <f t="shared" si="13"/>
        <v>106.41946568135937</v>
      </c>
      <c r="O35" s="142">
        <f t="shared" si="14"/>
        <v>9.3967771177708697E-3</v>
      </c>
      <c r="P35" s="398">
        <f t="shared" si="12"/>
        <v>0.58744582401313628</v>
      </c>
      <c r="Q35" s="514">
        <f t="shared" si="1"/>
        <v>0.99890472170664257</v>
      </c>
      <c r="R35" s="142">
        <f t="shared" si="2"/>
        <v>11491.006419229474</v>
      </c>
    </row>
    <row r="36" spans="1:18" x14ac:dyDescent="0.15">
      <c r="A36" s="142">
        <f t="shared" si="3"/>
        <v>2.1969673372118081E-3</v>
      </c>
      <c r="B36" s="142">
        <f t="shared" si="4"/>
        <v>3.032659142133672E-6</v>
      </c>
      <c r="C36" s="142">
        <f t="shared" si="5"/>
        <v>3.6460582289046674E-12</v>
      </c>
      <c r="D36" s="142">
        <f t="shared" si="0"/>
        <v>1E-3</v>
      </c>
      <c r="E36" s="142">
        <f t="shared" si="6"/>
        <v>6.0255958607435443E-11</v>
      </c>
      <c r="F36" s="141">
        <v>3</v>
      </c>
      <c r="H36" s="142">
        <f t="shared" si="7"/>
        <v>-1.8982550346058106E-3</v>
      </c>
      <c r="I36" s="142">
        <f t="shared" si="8"/>
        <v>-5.7554306778499135E-4</v>
      </c>
      <c r="J36" s="142">
        <f t="shared" si="9"/>
        <v>9.9999205671765282E-4</v>
      </c>
      <c r="K36" s="142">
        <f t="shared" si="10"/>
        <v>-7.5857154943332115E-6</v>
      </c>
      <c r="L36" s="142">
        <f t="shared" si="11"/>
        <v>3.4813758746027879E-3</v>
      </c>
      <c r="N36" s="144">
        <f t="shared" si="13"/>
        <v>114.35340075105213</v>
      </c>
      <c r="O36" s="142">
        <f t="shared" si="14"/>
        <v>8.7448208223995412E-3</v>
      </c>
      <c r="P36" s="398">
        <f t="shared" si="12"/>
        <v>0.63106295221927855</v>
      </c>
      <c r="Q36" s="514">
        <f t="shared" si="1"/>
        <v>0.99862151691445822</v>
      </c>
      <c r="R36" s="142">
        <f t="shared" si="2"/>
        <v>11494.265219515493</v>
      </c>
    </row>
    <row r="37" spans="1:18" x14ac:dyDescent="0.15">
      <c r="A37" s="142">
        <f t="shared" si="3"/>
        <v>2.1961834647782714E-3</v>
      </c>
      <c r="B37" s="142">
        <f t="shared" si="4"/>
        <v>3.8165294451773473E-6</v>
      </c>
      <c r="C37" s="142">
        <f t="shared" si="5"/>
        <v>5.7765510717361782E-12</v>
      </c>
      <c r="D37" s="142">
        <f t="shared" si="0"/>
        <v>7.9432823472428099E-4</v>
      </c>
      <c r="E37" s="142">
        <f t="shared" si="6"/>
        <v>7.5857757502918162E-11</v>
      </c>
      <c r="F37" s="141">
        <v>3.1</v>
      </c>
      <c r="H37" s="142">
        <f t="shared" si="7"/>
        <v>-1.8974711643027669E-3</v>
      </c>
      <c r="I37" s="142">
        <f t="shared" si="8"/>
        <v>-5.7554306352400569E-4</v>
      </c>
      <c r="J37" s="142">
        <f t="shared" si="9"/>
        <v>7.9432029144193379E-4</v>
      </c>
      <c r="K37" s="142">
        <f t="shared" si="10"/>
        <v>-7.5856998925343161E-6</v>
      </c>
      <c r="L37" s="142">
        <f t="shared" si="11"/>
        <v>3.2749202191612405E-3</v>
      </c>
      <c r="N37" s="144">
        <f t="shared" si="13"/>
        <v>121.56240271876267</v>
      </c>
      <c r="O37" s="142">
        <f t="shared" si="14"/>
        <v>8.2262276627875011E-3</v>
      </c>
      <c r="P37" s="398">
        <f t="shared" si="12"/>
        <v>0.67060670728056671</v>
      </c>
      <c r="Q37" s="514">
        <f t="shared" si="1"/>
        <v>0.99826521126285062</v>
      </c>
      <c r="R37" s="142">
        <f t="shared" si="2"/>
        <v>11498.367808299099</v>
      </c>
    </row>
    <row r="38" spans="1:18" x14ac:dyDescent="0.15">
      <c r="A38" s="142">
        <f t="shared" si="3"/>
        <v>2.1951974221716738E-3</v>
      </c>
      <c r="B38" s="142">
        <f t="shared" si="4"/>
        <v>4.8025686772201669E-6</v>
      </c>
      <c r="C38" s="142">
        <f t="shared" si="5"/>
        <v>9.1511059597637514E-12</v>
      </c>
      <c r="D38" s="142">
        <f t="shared" si="0"/>
        <v>6.3095734448019244E-4</v>
      </c>
      <c r="E38" s="142">
        <f t="shared" si="6"/>
        <v>9.5499258602143585E-11</v>
      </c>
      <c r="F38" s="141">
        <v>3.2</v>
      </c>
      <c r="H38" s="142">
        <f t="shared" si="7"/>
        <v>-1.896485125070724E-3</v>
      </c>
      <c r="I38" s="142">
        <f t="shared" si="8"/>
        <v>-5.7554305677489585E-4</v>
      </c>
      <c r="J38" s="142">
        <f t="shared" si="9"/>
        <v>6.3094940119784524E-4</v>
      </c>
      <c r="K38" s="142">
        <f t="shared" si="10"/>
        <v>-7.5856802510332169E-6</v>
      </c>
      <c r="L38" s="142">
        <f t="shared" si="11"/>
        <v>3.1105632632944984E-3</v>
      </c>
      <c r="N38" s="144">
        <f t="shared" si="13"/>
        <v>127.98555658753874</v>
      </c>
      <c r="O38" s="142">
        <f t="shared" si="14"/>
        <v>7.813381655421614E-3</v>
      </c>
      <c r="P38" s="398">
        <f t="shared" si="12"/>
        <v>0.70572344503505424</v>
      </c>
      <c r="Q38" s="514">
        <f t="shared" ref="Q38:Q69" si="15">A38/DIC_concentration</f>
        <v>0.99781701007803347</v>
      </c>
      <c r="R38" s="142">
        <f t="shared" ref="R38:R69" si="16">1/(molar_mass*mc_efficiency*A38)</f>
        <v>11503.532665204815</v>
      </c>
    </row>
    <row r="39" spans="1:18" x14ac:dyDescent="0.15">
      <c r="A39" s="142">
        <f t="shared" si="3"/>
        <v>2.1939573252655223E-3</v>
      </c>
      <c r="B39" s="142">
        <f t="shared" si="4"/>
        <v>6.0426602391453187E-6</v>
      </c>
      <c r="C39" s="142">
        <f t="shared" si="5"/>
        <v>1.4495332300111982E-11</v>
      </c>
      <c r="D39" s="142">
        <f t="shared" si="0"/>
        <v>5.0118723362727209E-4</v>
      </c>
      <c r="E39" s="142">
        <f t="shared" si="6"/>
        <v>1.2022644346174114E-10</v>
      </c>
      <c r="F39" s="141">
        <v>3.3</v>
      </c>
      <c r="H39" s="142">
        <f t="shared" si="7"/>
        <v>-1.8952450335087989E-3</v>
      </c>
      <c r="I39" s="142">
        <f t="shared" si="8"/>
        <v>-5.7554304608644323E-4</v>
      </c>
      <c r="J39" s="142">
        <f t="shared" si="9"/>
        <v>5.0117929034492489E-4</v>
      </c>
      <c r="K39" s="142">
        <f t="shared" si="10"/>
        <v>-7.5856555238483566E-6</v>
      </c>
      <c r="L39" s="142">
        <f t="shared" si="11"/>
        <v>2.9795530254640152E-3</v>
      </c>
      <c r="N39" s="144">
        <f t="shared" si="13"/>
        <v>133.613051068792</v>
      </c>
      <c r="O39" s="142">
        <f t="shared" si="14"/>
        <v>7.4842988166263797E-3</v>
      </c>
      <c r="P39" s="398">
        <f t="shared" si="12"/>
        <v>0.73633773472578168</v>
      </c>
      <c r="Q39" s="514">
        <f t="shared" si="15"/>
        <v>0.99725332966614644</v>
      </c>
      <c r="R39" s="142">
        <f t="shared" si="16"/>
        <v>11510.034840567869</v>
      </c>
    </row>
    <row r="40" spans="1:18" x14ac:dyDescent="0.15">
      <c r="A40" s="142">
        <f t="shared" si="3"/>
        <v>2.1923981248353395E-3</v>
      </c>
      <c r="B40" s="142">
        <f t="shared" si="4"/>
        <v>7.6018522074344E-6</v>
      </c>
      <c r="C40" s="142">
        <f t="shared" si="5"/>
        <v>2.2957226652083388E-11</v>
      </c>
      <c r="D40" s="142">
        <f t="shared" si="0"/>
        <v>3.9810717055349708E-4</v>
      </c>
      <c r="E40" s="142">
        <f t="shared" si="6"/>
        <v>1.5135612484362048E-10</v>
      </c>
      <c r="F40" s="141">
        <v>3.4</v>
      </c>
      <c r="H40" s="142">
        <f t="shared" si="7"/>
        <v>-1.8936858415405098E-3</v>
      </c>
      <c r="I40" s="142">
        <f t="shared" si="8"/>
        <v>-5.7554302916265447E-4</v>
      </c>
      <c r="J40" s="142">
        <f t="shared" si="9"/>
        <v>3.9809922727114983E-4</v>
      </c>
      <c r="K40" s="142">
        <f t="shared" si="10"/>
        <v>-7.5856243941669748E-6</v>
      </c>
      <c r="L40" s="142">
        <f t="shared" si="11"/>
        <v>2.8749137223684812E-3</v>
      </c>
      <c r="N40" s="144">
        <f t="shared" si="13"/>
        <v>138.47621494029354</v>
      </c>
      <c r="O40" s="142">
        <f t="shared" si="14"/>
        <v>7.2214567709780889E-3</v>
      </c>
      <c r="P40" s="398">
        <f t="shared" si="12"/>
        <v>0.76259614602595616</v>
      </c>
      <c r="Q40" s="514">
        <f t="shared" si="15"/>
        <v>0.99654460219788155</v>
      </c>
      <c r="R40" s="142">
        <f t="shared" si="16"/>
        <v>11518.220603487267</v>
      </c>
    </row>
    <row r="41" spans="1:18" x14ac:dyDescent="0.15">
      <c r="A41" s="142">
        <f t="shared" si="3"/>
        <v>2.1904383534395474E-3</v>
      </c>
      <c r="B41" s="142">
        <f t="shared" si="4"/>
        <v>9.561610208224406E-6</v>
      </c>
      <c r="C41" s="142">
        <f t="shared" si="5"/>
        <v>3.6352228129173542E-11</v>
      </c>
      <c r="D41" s="142">
        <f t="shared" si="0"/>
        <v>3.1622776601683783E-4</v>
      </c>
      <c r="E41" s="142">
        <f t="shared" si="6"/>
        <v>1.9054607179632416E-10</v>
      </c>
      <c r="F41" s="141">
        <v>3.5</v>
      </c>
      <c r="H41" s="142">
        <f t="shared" si="7"/>
        <v>-1.8917260835397199E-3</v>
      </c>
      <c r="I41" s="142">
        <f t="shared" si="8"/>
        <v>-5.7554300237265153E-4</v>
      </c>
      <c r="J41" s="142">
        <f t="shared" si="9"/>
        <v>3.1621982273449058E-4</v>
      </c>
      <c r="K41" s="142">
        <f t="shared" si="10"/>
        <v>-7.5855852042200227E-6</v>
      </c>
      <c r="L41" s="142">
        <f t="shared" si="11"/>
        <v>2.7910744938510821E-3</v>
      </c>
      <c r="N41" s="144">
        <f t="shared" si="13"/>
        <v>142.63580976808504</v>
      </c>
      <c r="O41" s="142">
        <f t="shared" si="14"/>
        <v>7.0108621504370036E-3</v>
      </c>
      <c r="P41" s="398">
        <f t="shared" si="12"/>
        <v>0.78480110733884922</v>
      </c>
      <c r="Q41" s="514">
        <f t="shared" si="15"/>
        <v>0.99565379701797607</v>
      </c>
      <c r="R41" s="142">
        <f t="shared" si="16"/>
        <v>11528.525882900261</v>
      </c>
    </row>
    <row r="42" spans="1:18" x14ac:dyDescent="0.15">
      <c r="A42" s="142">
        <f t="shared" si="3"/>
        <v>2.1879761193642142E-3</v>
      </c>
      <c r="B42" s="142">
        <f t="shared" si="4"/>
        <v>1.2023823086150228E-5</v>
      </c>
      <c r="C42" s="142">
        <f t="shared" si="5"/>
        <v>5.7549635537951593E-11</v>
      </c>
      <c r="D42" s="142">
        <f t="shared" si="0"/>
        <v>2.5118864315095774E-4</v>
      </c>
      <c r="E42" s="142">
        <f t="shared" si="6"/>
        <v>2.3988329190194809E-10</v>
      </c>
      <c r="F42" s="141">
        <v>3.6</v>
      </c>
      <c r="H42" s="142">
        <f t="shared" si="7"/>
        <v>-1.8892638706617941E-3</v>
      </c>
      <c r="I42" s="142">
        <f t="shared" si="8"/>
        <v>-5.7554295997783677E-4</v>
      </c>
      <c r="J42" s="142">
        <f t="shared" si="9"/>
        <v>2.5118069986861048E-4</v>
      </c>
      <c r="K42" s="142">
        <f t="shared" si="10"/>
        <v>-7.5855358669999164E-6</v>
      </c>
      <c r="L42" s="142">
        <f t="shared" si="11"/>
        <v>2.7235730663752412E-3</v>
      </c>
      <c r="N42" s="144">
        <f t="shared" ref="N42:N73" si="17">10^(-acid_pH)/L42</f>
        <v>146.17091623810612</v>
      </c>
      <c r="O42" s="142">
        <f t="shared" si="14"/>
        <v>6.8413062306529101E-3</v>
      </c>
      <c r="P42" s="398">
        <f t="shared" si="12"/>
        <v>0.80334768557399339</v>
      </c>
      <c r="Q42" s="514">
        <f t="shared" si="15"/>
        <v>0.99453459971100633</v>
      </c>
      <c r="R42" s="142">
        <f t="shared" si="16"/>
        <v>11541.499483944632</v>
      </c>
    </row>
    <row r="43" spans="1:18" x14ac:dyDescent="0.15">
      <c r="A43" s="142">
        <f t="shared" si="3"/>
        <v>2.1848842033215729E-3</v>
      </c>
      <c r="B43" s="142">
        <f t="shared" si="4"/>
        <v>1.5115705597294097E-5</v>
      </c>
      <c r="C43" s="142">
        <f t="shared" si="5"/>
        <v>9.1081133079274016E-11</v>
      </c>
      <c r="D43" s="142">
        <f t="shared" si="0"/>
        <v>1.9952623149688758E-4</v>
      </c>
      <c r="E43" s="142">
        <f t="shared" si="6"/>
        <v>3.0199517204020115E-10</v>
      </c>
      <c r="F43" s="141">
        <v>3.7</v>
      </c>
      <c r="H43" s="142">
        <f t="shared" si="7"/>
        <v>-1.8861719881506501E-3</v>
      </c>
      <c r="I43" s="142">
        <f t="shared" si="8"/>
        <v>-5.7554289291484163E-4</v>
      </c>
      <c r="J43" s="142">
        <f t="shared" si="9"/>
        <v>1.9951828821454032E-4</v>
      </c>
      <c r="K43" s="142">
        <f t="shared" si="10"/>
        <v>-7.5854737551197783E-6</v>
      </c>
      <c r="L43" s="142">
        <f t="shared" si="11"/>
        <v>2.6688186430351519E-3</v>
      </c>
      <c r="N43" s="144">
        <f t="shared" si="17"/>
        <v>149.16981024261139</v>
      </c>
      <c r="O43" s="142">
        <f t="shared" si="14"/>
        <v>6.7037693375998075E-3</v>
      </c>
      <c r="P43" s="398">
        <f t="shared" si="12"/>
        <v>0.81867091607123299</v>
      </c>
      <c r="Q43" s="514">
        <f t="shared" si="15"/>
        <v>0.99312918332798761</v>
      </c>
      <c r="R43" s="142">
        <f t="shared" si="16"/>
        <v>11557.832316300823</v>
      </c>
    </row>
    <row r="44" spans="1:18" x14ac:dyDescent="0.15">
      <c r="A44" s="142">
        <f t="shared" si="3"/>
        <v>2.1810041042589446E-3</v>
      </c>
      <c r="B44" s="142">
        <f t="shared" si="4"/>
        <v>1.8995751643543136E-5</v>
      </c>
      <c r="C44" s="142">
        <f t="shared" si="5"/>
        <v>1.4409751217615593E-10</v>
      </c>
      <c r="D44" s="142">
        <f t="shared" si="0"/>
        <v>1.584893192461112E-4</v>
      </c>
      <c r="E44" s="142">
        <f t="shared" si="6"/>
        <v>3.801893963205603E-10</v>
      </c>
      <c r="F44" s="141">
        <v>3.8</v>
      </c>
      <c r="H44" s="142">
        <f t="shared" si="7"/>
        <v>-1.8822919421044011E-3</v>
      </c>
      <c r="I44" s="142">
        <f t="shared" si="8"/>
        <v>-5.7554278688208343E-4</v>
      </c>
      <c r="J44" s="142">
        <f t="shared" si="9"/>
        <v>1.5848137596376395E-4</v>
      </c>
      <c r="K44" s="142">
        <f t="shared" si="10"/>
        <v>-7.5853955608954979E-6</v>
      </c>
      <c r="L44" s="142">
        <f t="shared" si="11"/>
        <v>2.6239015005111439E-3</v>
      </c>
      <c r="N44" s="144">
        <f t="shared" si="17"/>
        <v>151.72336708368996</v>
      </c>
      <c r="O44" s="142">
        <f t="shared" si="14"/>
        <v>6.5909425767515708E-3</v>
      </c>
      <c r="P44" s="398">
        <f t="shared" si="12"/>
        <v>0.83120654637153046</v>
      </c>
      <c r="Q44" s="514">
        <f t="shared" si="15"/>
        <v>0.99136550193588391</v>
      </c>
      <c r="R44" s="142">
        <f t="shared" si="16"/>
        <v>11578.394191562278</v>
      </c>
    </row>
    <row r="45" spans="1:18" x14ac:dyDescent="0.15">
      <c r="A45" s="142">
        <f t="shared" si="3"/>
        <v>2.1761388837521494E-3</v>
      </c>
      <c r="B45" s="142">
        <f t="shared" si="4"/>
        <v>2.3860888378135943E-5</v>
      </c>
      <c r="C45" s="142">
        <f t="shared" si="5"/>
        <v>2.2786971497004875E-10</v>
      </c>
      <c r="D45" s="142">
        <f t="shared" si="0"/>
        <v>1.2589254117941672E-4</v>
      </c>
      <c r="E45" s="142">
        <f t="shared" si="6"/>
        <v>4.7863009232263674E-10</v>
      </c>
      <c r="F45" s="141">
        <v>3.9</v>
      </c>
      <c r="H45" s="142">
        <f>B45-$B$87</f>
        <v>-1.8774268053698084E-3</v>
      </c>
      <c r="I45" s="142">
        <f t="shared" si="8"/>
        <v>-5.7554261933767789E-4</v>
      </c>
      <c r="J45" s="142">
        <f t="shared" si="9"/>
        <v>1.2588459789706946E-4</v>
      </c>
      <c r="K45" s="142">
        <f t="shared" si="10"/>
        <v>-7.5852971201994963E-6</v>
      </c>
      <c r="L45" s="142">
        <f t="shared" si="11"/>
        <v>2.5864393197247556E-3</v>
      </c>
      <c r="N45" s="144">
        <f t="shared" si="17"/>
        <v>153.92093969398172</v>
      </c>
      <c r="O45" s="142">
        <f t="shared" si="14"/>
        <v>6.4968418331394825E-3</v>
      </c>
      <c r="P45" s="398">
        <f t="shared" si="12"/>
        <v>0.8413647546866595</v>
      </c>
      <c r="Q45" s="514">
        <f t="shared" si="15"/>
        <v>0.98915403806915869</v>
      </c>
      <c r="R45" s="142">
        <f t="shared" si="16"/>
        <v>11604.28015007216</v>
      </c>
    </row>
    <row r="46" spans="1:18" s="146" customFormat="1" x14ac:dyDescent="0.15">
      <c r="A46" s="145">
        <f t="shared" si="3"/>
        <v>2.1700446845025019E-3</v>
      </c>
      <c r="B46" s="145">
        <f t="shared" si="4"/>
        <v>2.9954955359723773E-5</v>
      </c>
      <c r="C46" s="145">
        <f t="shared" si="5"/>
        <v>3.6013777469548134E-10</v>
      </c>
      <c r="D46" s="145">
        <f t="shared" si="0"/>
        <v>1E-4</v>
      </c>
      <c r="E46" s="145">
        <f t="shared" si="6"/>
        <v>6.0255958607435515E-10</v>
      </c>
      <c r="F46" s="141">
        <v>4</v>
      </c>
      <c r="H46" s="142">
        <f t="shared" si="7"/>
        <v>-1.8713327383882204E-3</v>
      </c>
      <c r="I46" s="142">
        <f t="shared" si="8"/>
        <v>-5.7554235480155843E-4</v>
      </c>
      <c r="J46" s="142">
        <f t="shared" si="9"/>
        <v>9.9992056717652765E-5</v>
      </c>
      <c r="K46" s="142">
        <f t="shared" si="10"/>
        <v>-7.5851731907057446E-6</v>
      </c>
      <c r="L46" s="142">
        <f t="shared" si="11"/>
        <v>2.5544523230981377E-3</v>
      </c>
      <c r="N46" s="144">
        <f t="shared" si="17"/>
        <v>155.84834641605585</v>
      </c>
      <c r="O46" s="142">
        <f t="shared" si="14"/>
        <v>6.4164941303283393E-3</v>
      </c>
      <c r="P46" s="398">
        <f>A46/L46</f>
        <v>0.8495146552082008</v>
      </c>
      <c r="Q46" s="514">
        <f t="shared" si="15"/>
        <v>0.98638394750113711</v>
      </c>
      <c r="R46" s="142">
        <f t="shared" si="16"/>
        <v>11636.868785637274</v>
      </c>
    </row>
    <row r="47" spans="1:18" s="146" customFormat="1" x14ac:dyDescent="0.15">
      <c r="A47" s="145">
        <f t="shared" si="3"/>
        <v>2.1624208635377534E-3</v>
      </c>
      <c r="B47" s="145">
        <f t="shared" si="4"/>
        <v>3.757856768760838E-5</v>
      </c>
      <c r="C47" s="145">
        <f t="shared" si="5"/>
        <v>5.6877463823701092E-10</v>
      </c>
      <c r="D47" s="146">
        <f t="shared" si="0"/>
        <v>7.9432823472428153E-5</v>
      </c>
      <c r="E47" s="145">
        <f t="shared" si="6"/>
        <v>7.5857757502917976E-10</v>
      </c>
      <c r="F47" s="141">
        <v>4.0999999999999996</v>
      </c>
      <c r="H47" s="142">
        <f t="shared" si="7"/>
        <v>-1.8637091260603358E-3</v>
      </c>
      <c r="I47" s="142">
        <f t="shared" si="8"/>
        <v>-5.7554193752783135E-4</v>
      </c>
      <c r="J47" s="142">
        <f t="shared" si="9"/>
        <v>7.9424880190080913E-5</v>
      </c>
      <c r="K47" s="142">
        <f t="shared" si="10"/>
        <v>-7.5850171727167892E-6</v>
      </c>
      <c r="L47" s="142">
        <f t="shared" si="11"/>
        <v>2.5262609609509649E-3</v>
      </c>
      <c r="N47" s="144">
        <f t="shared" si="17"/>
        <v>157.58750845899823</v>
      </c>
      <c r="O47" s="142">
        <f t="shared" si="14"/>
        <v>6.3456806302650834E-3</v>
      </c>
      <c r="P47" s="398">
        <f t="shared" si="12"/>
        <v>0.85597683571207528</v>
      </c>
      <c r="Q47" s="514">
        <f t="shared" si="15"/>
        <v>0.98291857433534235</v>
      </c>
      <c r="R47" s="142">
        <f t="shared" si="16"/>
        <v>11677.895676243032</v>
      </c>
    </row>
    <row r="48" spans="1:18" s="146" customFormat="1" x14ac:dyDescent="0.15">
      <c r="A48" s="145">
        <f t="shared" si="3"/>
        <v>2.1528988085856961E-3</v>
      </c>
      <c r="B48" s="145">
        <f t="shared" si="4"/>
        <v>4.7100293936704911E-5</v>
      </c>
      <c r="C48" s="145">
        <f t="shared" si="5"/>
        <v>8.9747759900913766E-10</v>
      </c>
      <c r="D48" s="146">
        <f t="shared" si="0"/>
        <v>6.3095734448019279E-5</v>
      </c>
      <c r="E48" s="145">
        <f t="shared" si="6"/>
        <v>9.5499258602143329E-10</v>
      </c>
      <c r="F48" s="141">
        <v>4.2</v>
      </c>
      <c r="H48" s="142">
        <f t="shared" si="7"/>
        <v>-1.8541873998112394E-3</v>
      </c>
      <c r="I48" s="142">
        <f t="shared" si="8"/>
        <v>-5.7554128012190977E-4</v>
      </c>
      <c r="J48" s="142">
        <f t="shared" si="9"/>
        <v>6.308779116567204E-5</v>
      </c>
      <c r="K48" s="142">
        <f t="shared" si="10"/>
        <v>-7.5848207577057974E-6</v>
      </c>
      <c r="L48" s="142">
        <f t="shared" si="11"/>
        <v>2.500401291856527E-3</v>
      </c>
      <c r="N48" s="144">
        <f t="shared" si="17"/>
        <v>159.21731117724147</v>
      </c>
      <c r="O48" s="142">
        <f t="shared" si="14"/>
        <v>6.2807240783434365E-3</v>
      </c>
      <c r="P48" s="398">
        <f t="shared" si="12"/>
        <v>0.86102131509746049</v>
      </c>
      <c r="Q48" s="514">
        <f t="shared" si="15"/>
        <v>0.97859036753895268</v>
      </c>
      <c r="R48" s="142">
        <f t="shared" si="16"/>
        <v>11729.545834583094</v>
      </c>
    </row>
    <row r="49" spans="1:18" s="146" customFormat="1" x14ac:dyDescent="0.15">
      <c r="A49" s="145">
        <f t="shared" si="3"/>
        <v>2.141029730063279E-3</v>
      </c>
      <c r="B49" s="145">
        <f t="shared" si="4"/>
        <v>5.8968855372406337E-5</v>
      </c>
      <c r="C49" s="145">
        <f t="shared" si="5"/>
        <v>1.414564314642276E-9</v>
      </c>
      <c r="D49" s="146">
        <f t="shared" si="0"/>
        <v>5.0118723362727238E-5</v>
      </c>
      <c r="E49" s="145">
        <f t="shared" si="6"/>
        <v>1.2022644346174043E-9</v>
      </c>
      <c r="F49" s="141">
        <v>4.3</v>
      </c>
      <c r="H49" s="142">
        <f t="shared" si="7"/>
        <v>-1.842318838375538E-3</v>
      </c>
      <c r="I49" s="142">
        <f t="shared" si="8"/>
        <v>-5.7554024594847852E-4</v>
      </c>
      <c r="J49" s="142">
        <f t="shared" si="9"/>
        <v>5.0110780080379998E-5</v>
      </c>
      <c r="K49" s="142">
        <f t="shared" si="10"/>
        <v>-7.5845734858572012E-6</v>
      </c>
      <c r="L49" s="142">
        <f t="shared" si="11"/>
        <v>2.4755544378902536E-3</v>
      </c>
      <c r="N49" s="144">
        <f t="shared" si="17"/>
        <v>160.81535693990912</v>
      </c>
      <c r="O49" s="142">
        <f t="shared" si="14"/>
        <v>6.2183116029998538E-3</v>
      </c>
      <c r="P49" s="398">
        <f t="shared" si="12"/>
        <v>0.86486877335161039</v>
      </c>
      <c r="Q49" s="514">
        <f t="shared" si="15"/>
        <v>0.97319533184694496</v>
      </c>
      <c r="R49" s="142">
        <f t="shared" si="16"/>
        <v>11794.570107057274</v>
      </c>
    </row>
    <row r="50" spans="1:18" s="146" customFormat="1" x14ac:dyDescent="0.15">
      <c r="A50" s="145">
        <f t="shared" si="3"/>
        <v>2.1262720849265422E-3</v>
      </c>
      <c r="B50" s="145">
        <f t="shared" si="4"/>
        <v>7.3725688593256691E-5</v>
      </c>
      <c r="C50" s="145">
        <f t="shared" si="5"/>
        <v>2.2264802010502936E-9</v>
      </c>
      <c r="D50" s="146">
        <f t="shared" si="0"/>
        <v>3.9810717055349634E-5</v>
      </c>
      <c r="E50" s="145">
        <f t="shared" si="6"/>
        <v>1.5135612484362064E-9</v>
      </c>
      <c r="F50" s="141">
        <v>4.4000000000000004</v>
      </c>
      <c r="H50" s="142">
        <f t="shared" si="7"/>
        <v>-1.8275620051546877E-3</v>
      </c>
      <c r="I50" s="142">
        <f t="shared" si="8"/>
        <v>-5.755386221167057E-4</v>
      </c>
      <c r="J50" s="142">
        <f t="shared" si="9"/>
        <v>3.9802773773002394E-5</v>
      </c>
      <c r="K50" s="142">
        <f t="shared" si="10"/>
        <v>-7.5842621890433828E-6</v>
      </c>
      <c r="L50" s="142">
        <f t="shared" si="11"/>
        <v>2.450487663233439E-3</v>
      </c>
      <c r="N50" s="144">
        <f t="shared" si="17"/>
        <v>162.46038554962217</v>
      </c>
      <c r="O50" s="142">
        <f t="shared" si="14"/>
        <v>6.1553467118576934E-3</v>
      </c>
      <c r="P50" s="398">
        <f t="shared" si="12"/>
        <v>0.86769344601429588</v>
      </c>
      <c r="Q50" s="514">
        <f t="shared" si="15"/>
        <v>0.96648731133024635</v>
      </c>
      <c r="R50" s="142">
        <f t="shared" si="16"/>
        <v>11876.431728349418</v>
      </c>
    </row>
    <row r="51" spans="1:18" s="146" customFormat="1" x14ac:dyDescent="0.15">
      <c r="A51" s="145">
        <f t="shared" si="3"/>
        <v>2.1079798440281077E-3</v>
      </c>
      <c r="B51" s="145">
        <f t="shared" si="4"/>
        <v>9.2016657596142369E-5</v>
      </c>
      <c r="C51" s="145">
        <f t="shared" si="5"/>
        <v>3.4983757502913185E-9</v>
      </c>
      <c r="D51" s="146">
        <f t="shared" si="0"/>
        <v>3.1622776601683748E-5</v>
      </c>
      <c r="E51" s="145">
        <f t="shared" si="6"/>
        <v>1.9054607179632502E-9</v>
      </c>
      <c r="F51" s="141">
        <v>4.5</v>
      </c>
      <c r="H51" s="142">
        <f t="shared" si="7"/>
        <v>-1.8092710361518019E-3</v>
      </c>
      <c r="I51" s="142">
        <f t="shared" si="8"/>
        <v>-5.7553607832560726E-4</v>
      </c>
      <c r="J51" s="142">
        <f t="shared" si="9"/>
        <v>3.1614833319336508E-5</v>
      </c>
      <c r="K51" s="142">
        <f t="shared" si="10"/>
        <v>-7.5838702895738551E-6</v>
      </c>
      <c r="L51" s="142">
        <f t="shared" si="11"/>
        <v>2.4240058180863195E-3</v>
      </c>
      <c r="N51" s="144">
        <f t="shared" si="17"/>
        <v>164.23523721893991</v>
      </c>
      <c r="O51" s="142">
        <f t="shared" si="14"/>
        <v>6.088827324351306E-3</v>
      </c>
      <c r="P51" s="398">
        <f t="shared" si="12"/>
        <v>0.86962656124822957</v>
      </c>
      <c r="Q51" s="514">
        <f t="shared" si="15"/>
        <v>0.95817265637641247</v>
      </c>
      <c r="R51" s="142">
        <f t="shared" si="16"/>
        <v>11979.490849528511</v>
      </c>
    </row>
    <row r="52" spans="1:18" s="146" customFormat="1" x14ac:dyDescent="0.15">
      <c r="A52" s="145">
        <f t="shared" si="3"/>
        <v>2.0853936120648116E-3</v>
      </c>
      <c r="B52" s="145">
        <f t="shared" si="4"/>
        <v>1.146009027911202E-4</v>
      </c>
      <c r="C52" s="145">
        <f t="shared" si="5"/>
        <v>5.485144068317159E-9</v>
      </c>
      <c r="D52" s="146">
        <f t="shared" si="0"/>
        <v>2.5118864315095791E-5</v>
      </c>
      <c r="E52" s="145">
        <f t="shared" si="6"/>
        <v>2.3988329190194835E-9</v>
      </c>
      <c r="F52" s="141">
        <v>4.5999999999999996</v>
      </c>
      <c r="H52" s="142">
        <f t="shared" si="7"/>
        <v>-1.7866867909568241E-3</v>
      </c>
      <c r="I52" s="142">
        <f t="shared" si="8"/>
        <v>-5.7553210478897114E-4</v>
      </c>
      <c r="J52" s="142">
        <f t="shared" si="9"/>
        <v>2.5110921032748548E-5</v>
      </c>
      <c r="K52" s="142">
        <f t="shared" si="10"/>
        <v>-7.5833769173727996E-6</v>
      </c>
      <c r="L52" s="142">
        <f t="shared" si="11"/>
        <v>2.3949131936959168E-3</v>
      </c>
      <c r="N52" s="144">
        <f t="shared" si="17"/>
        <v>166.23031331633518</v>
      </c>
      <c r="O52" s="142">
        <f t="shared" si="14"/>
        <v>6.0157499558880492E-3</v>
      </c>
      <c r="P52" s="398">
        <f t="shared" si="12"/>
        <v>0.87075958224880656</v>
      </c>
      <c r="Q52" s="514">
        <f t="shared" si="15"/>
        <v>0.94790618730218701</v>
      </c>
      <c r="R52" s="142">
        <f t="shared" si="16"/>
        <v>12109.236887669356</v>
      </c>
    </row>
    <row r="53" spans="1:18" s="146" customFormat="1" x14ac:dyDescent="0.15">
      <c r="A53" s="145">
        <f t="shared" si="3"/>
        <v>2.0576376752703424E-3</v>
      </c>
      <c r="B53" s="145">
        <f t="shared" si="4"/>
        <v>1.4235374706816629E-4</v>
      </c>
      <c r="C53" s="145">
        <f t="shared" si="5"/>
        <v>8.57766149095282E-9</v>
      </c>
      <c r="D53" s="146">
        <f t="shared" si="0"/>
        <v>1.9952623149688769E-5</v>
      </c>
      <c r="E53" s="145">
        <f t="shared" si="6"/>
        <v>3.0199517204020151E-9</v>
      </c>
      <c r="F53" s="141">
        <v>4.7</v>
      </c>
      <c r="G53" s="145"/>
      <c r="H53" s="142">
        <f t="shared" si="7"/>
        <v>-1.758933946679778E-3</v>
      </c>
      <c r="I53" s="142">
        <f t="shared" si="8"/>
        <v>-5.7552591975412585E-4</v>
      </c>
      <c r="J53" s="142">
        <f t="shared" si="9"/>
        <v>1.9944679867341526E-5</v>
      </c>
      <c r="K53" s="142">
        <f t="shared" si="10"/>
        <v>-7.5827557985714165E-6</v>
      </c>
      <c r="L53" s="142">
        <f t="shared" si="11"/>
        <v>2.3619873020998172E-3</v>
      </c>
      <c r="N53" s="144">
        <f t="shared" si="17"/>
        <v>168.54754900654129</v>
      </c>
      <c r="O53" s="142">
        <f t="shared" si="14"/>
        <v>5.9330438555424518E-3</v>
      </c>
      <c r="P53" s="398">
        <f t="shared" si="12"/>
        <v>0.87114679805479622</v>
      </c>
      <c r="Q53" s="514">
        <f t="shared" si="15"/>
        <v>0.93528985239561013</v>
      </c>
      <c r="R53" s="142">
        <f t="shared" si="16"/>
        <v>12272.581104060246</v>
      </c>
    </row>
    <row r="54" spans="1:18" s="146" customFormat="1" x14ac:dyDescent="0.15">
      <c r="A54" s="145">
        <f t="shared" si="3"/>
        <v>2.0237273459352174E-3</v>
      </c>
      <c r="B54" s="145">
        <f t="shared" si="4"/>
        <v>1.7625928343080238E-4</v>
      </c>
      <c r="C54" s="145">
        <f t="shared" si="5"/>
        <v>1.3370633980131969E-8</v>
      </c>
      <c r="D54" s="146">
        <f t="shared" si="0"/>
        <v>1.5848931924611131E-5</v>
      </c>
      <c r="E54" s="145">
        <f t="shared" si="6"/>
        <v>3.8018939632055936E-9</v>
      </c>
      <c r="F54" s="141">
        <v>4.8</v>
      </c>
      <c r="H54" s="142">
        <f t="shared" si="7"/>
        <v>-1.7250284103171418E-3</v>
      </c>
      <c r="I54" s="142">
        <f t="shared" si="8"/>
        <v>-5.7551633380914752E-4</v>
      </c>
      <c r="J54" s="142">
        <f t="shared" si="9"/>
        <v>1.5840988642263888E-5</v>
      </c>
      <c r="K54" s="142">
        <f t="shared" si="10"/>
        <v>-7.5819738563286128E-6</v>
      </c>
      <c r="L54" s="142">
        <f t="shared" si="11"/>
        <v>2.3239677066248816E-3</v>
      </c>
      <c r="N54" s="144">
        <f t="shared" si="17"/>
        <v>171.30494947009041</v>
      </c>
      <c r="O54" s="142">
        <f t="shared" si="14"/>
        <v>5.8375429495374767E-3</v>
      </c>
      <c r="P54" s="398">
        <f t="shared" si="12"/>
        <v>0.87080699966967023</v>
      </c>
      <c r="Q54" s="514">
        <f t="shared" si="15"/>
        <v>0.91987606633418972</v>
      </c>
      <c r="R54" s="142">
        <f t="shared" si="16"/>
        <v>12478.225045111205</v>
      </c>
    </row>
    <row r="55" spans="1:18" s="146" customFormat="1" x14ac:dyDescent="0.15">
      <c r="A55" s="145">
        <f t="shared" si="3"/>
        <v>1.9825923151676416E-3</v>
      </c>
      <c r="B55" s="145">
        <f t="shared" si="4"/>
        <v>2.173869245422353E-4</v>
      </c>
      <c r="C55" s="145">
        <f t="shared" si="5"/>
        <v>2.0760290123583627E-8</v>
      </c>
      <c r="D55" s="146">
        <f t="shared" si="0"/>
        <v>1.2589254117941658E-5</v>
      </c>
      <c r="E55" s="145">
        <f t="shared" si="6"/>
        <v>4.7863009232263728E-9</v>
      </c>
      <c r="F55" s="141">
        <v>4.9000000000000004</v>
      </c>
      <c r="H55" s="142">
        <f t="shared" si="7"/>
        <v>-1.683900769205709E-3</v>
      </c>
      <c r="I55" s="142">
        <f t="shared" si="8"/>
        <v>-5.7550155449686061E-4</v>
      </c>
      <c r="J55" s="142">
        <f t="shared" si="9"/>
        <v>1.2581310835594414E-5</v>
      </c>
      <c r="K55" s="142">
        <f t="shared" si="10"/>
        <v>-7.5809894493685924E-6</v>
      </c>
      <c r="L55" s="142">
        <f t="shared" si="11"/>
        <v>2.2795646239875326E-3</v>
      </c>
      <c r="N55" s="144">
        <f t="shared" si="17"/>
        <v>174.64175674787737</v>
      </c>
      <c r="O55" s="142">
        <f t="shared" si="14"/>
        <v>5.7260074487435215E-3</v>
      </c>
      <c r="P55" s="398">
        <f t="shared" si="12"/>
        <v>0.86972411060651933</v>
      </c>
      <c r="Q55" s="514">
        <f t="shared" si="15"/>
        <v>0.90117832507620066</v>
      </c>
      <c r="R55" s="142">
        <f t="shared" si="16"/>
        <v>12737.124551191446</v>
      </c>
    </row>
    <row r="56" spans="1:18" s="146" customFormat="1" x14ac:dyDescent="0.15">
      <c r="A56" s="145">
        <f t="shared" si="3"/>
        <v>1.9331227021845191E-3</v>
      </c>
      <c r="B56" s="145">
        <f t="shared" si="4"/>
        <v>2.6684521596421112E-4</v>
      </c>
      <c r="C56" s="145">
        <f t="shared" si="5"/>
        <v>3.2081851270157371E-8</v>
      </c>
      <c r="D56" s="146">
        <f t="shared" si="0"/>
        <v>1.0000000000000001E-5</v>
      </c>
      <c r="E56" s="145">
        <f t="shared" si="6"/>
        <v>6.0255958607435582E-9</v>
      </c>
      <c r="F56" s="141">
        <v>5</v>
      </c>
      <c r="H56" s="142">
        <f t="shared" si="7"/>
        <v>-1.6344424777837332E-3</v>
      </c>
      <c r="I56" s="142">
        <f t="shared" si="8"/>
        <v>-5.7547891137456754E-4</v>
      </c>
      <c r="J56" s="142">
        <f t="shared" si="9"/>
        <v>9.9920567176527575E-6</v>
      </c>
      <c r="K56" s="142">
        <f t="shared" si="10"/>
        <v>-7.5797501544310755E-6</v>
      </c>
      <c r="L56" s="142">
        <f t="shared" si="11"/>
        <v>2.2274931960303843E-3</v>
      </c>
      <c r="N56" s="144">
        <f t="shared" si="17"/>
        <v>178.7243037433129</v>
      </c>
      <c r="O56" s="142">
        <f t="shared" si="14"/>
        <v>5.5952099353886323E-3</v>
      </c>
      <c r="P56" s="398">
        <f t="shared" si="12"/>
        <v>0.86784673714359128</v>
      </c>
      <c r="Q56" s="514">
        <f t="shared" si="15"/>
        <v>0.87869213735659957</v>
      </c>
      <c r="R56" s="142">
        <f t="shared" si="16"/>
        <v>13063.074177334278</v>
      </c>
    </row>
    <row r="57" spans="1:18" s="146" customFormat="1" x14ac:dyDescent="0.15">
      <c r="A57" s="145">
        <f t="shared" si="3"/>
        <v>1.8742443618246834E-3</v>
      </c>
      <c r="B57" s="145">
        <f t="shared" si="4"/>
        <v>3.2570634052577749E-4</v>
      </c>
      <c r="C57" s="145">
        <f t="shared" si="5"/>
        <v>4.9297649538978499E-8</v>
      </c>
      <c r="D57" s="146">
        <f t="shared" si="0"/>
        <v>7.9432823472428065E-6</v>
      </c>
      <c r="E57" s="145">
        <f t="shared" si="6"/>
        <v>7.5857757502918059E-9</v>
      </c>
      <c r="F57" s="141">
        <v>5.0999999999999996</v>
      </c>
      <c r="H57" s="142">
        <f t="shared" si="7"/>
        <v>-1.5755813532221667E-3</v>
      </c>
      <c r="I57" s="142">
        <f t="shared" si="8"/>
        <v>-5.7544447977802985E-4</v>
      </c>
      <c r="J57" s="142">
        <f t="shared" si="9"/>
        <v>7.9353390648955632E-6</v>
      </c>
      <c r="K57" s="142">
        <f t="shared" si="10"/>
        <v>-7.5781899745415268E-6</v>
      </c>
      <c r="L57" s="142">
        <f t="shared" si="11"/>
        <v>2.1665393620396338E-3</v>
      </c>
      <c r="N57" s="144">
        <f t="shared" si="17"/>
        <v>183.75256758719087</v>
      </c>
      <c r="O57" s="142">
        <f t="shared" si="14"/>
        <v>5.4421008268387789E-3</v>
      </c>
      <c r="P57" s="398">
        <f t="shared" si="12"/>
        <v>0.8650866883213344</v>
      </c>
      <c r="Q57" s="514">
        <f t="shared" si="15"/>
        <v>0.85192925537485609</v>
      </c>
      <c r="R57" s="142">
        <f t="shared" si="16"/>
        <v>13473.443360363366</v>
      </c>
    </row>
    <row r="58" spans="1:18" s="146" customFormat="1" x14ac:dyDescent="0.15">
      <c r="A58" s="145">
        <f t="shared" si="3"/>
        <v>1.8050277169828191E-3</v>
      </c>
      <c r="B58" s="145">
        <f t="shared" si="4"/>
        <v>3.9489703693802828E-4</v>
      </c>
      <c r="C58" s="145">
        <f t="shared" si="5"/>
        <v>7.5246079152549555E-8</v>
      </c>
      <c r="D58" s="146">
        <f t="shared" si="0"/>
        <v>6.3095734448019212E-6</v>
      </c>
      <c r="E58" s="145">
        <f t="shared" si="6"/>
        <v>9.5499258602143453E-9</v>
      </c>
      <c r="F58" s="141">
        <v>5.2</v>
      </c>
      <c r="H58" s="142">
        <f t="shared" si="7"/>
        <v>-1.5063906568099159E-3</v>
      </c>
      <c r="I58" s="142">
        <f t="shared" si="8"/>
        <v>-5.7539258291880273E-4</v>
      </c>
      <c r="J58" s="142">
        <f t="shared" si="9"/>
        <v>6.3016301624546787E-6</v>
      </c>
      <c r="K58" s="142">
        <f t="shared" si="10"/>
        <v>-7.576225824431604E-6</v>
      </c>
      <c r="L58" s="142">
        <f t="shared" si="11"/>
        <v>2.0956610957156051E-3</v>
      </c>
      <c r="N58" s="144">
        <f t="shared" si="17"/>
        <v>189.9673431774786</v>
      </c>
      <c r="O58" s="142">
        <f t="shared" si="14"/>
        <v>5.2640626713705285E-3</v>
      </c>
      <c r="P58" s="398">
        <f t="shared" si="12"/>
        <v>0.86131661301201778</v>
      </c>
      <c r="Q58" s="514">
        <f t="shared" si="15"/>
        <v>0.82046714408309951</v>
      </c>
      <c r="R58" s="142">
        <f t="shared" si="16"/>
        <v>13990.103872053514</v>
      </c>
    </row>
    <row r="59" spans="1:18" s="146" customFormat="1" x14ac:dyDescent="0.15">
      <c r="A59" s="145">
        <f t="shared" si="3"/>
        <v>1.7248287551237652E-3</v>
      </c>
      <c r="B59" s="145">
        <f t="shared" si="4"/>
        <v>4.7505728657049024E-4</v>
      </c>
      <c r="C59" s="145">
        <f t="shared" si="5"/>
        <v>1.1395830574453687E-7</v>
      </c>
      <c r="D59" s="146">
        <f t="shared" si="0"/>
        <v>5.011872336272719E-6</v>
      </c>
      <c r="E59" s="145">
        <f t="shared" si="6"/>
        <v>1.2022644346174099E-8</v>
      </c>
      <c r="F59" s="141">
        <v>5.3</v>
      </c>
      <c r="H59" s="142">
        <f t="shared" si="7"/>
        <v>-1.426230407177454E-3</v>
      </c>
      <c r="I59" s="142">
        <f t="shared" si="8"/>
        <v>-5.7531515846561874E-4</v>
      </c>
      <c r="J59" s="142">
        <f t="shared" si="9"/>
        <v>5.0039290539254766E-6</v>
      </c>
      <c r="K59" s="142">
        <f t="shared" si="10"/>
        <v>-7.5737531059456444E-6</v>
      </c>
      <c r="L59" s="142">
        <f t="shared" si="11"/>
        <v>2.0141232478029436E-3</v>
      </c>
      <c r="N59" s="144">
        <f t="shared" si="17"/>
        <v>197.65780023032977</v>
      </c>
      <c r="O59" s="142">
        <f t="shared" si="14"/>
        <v>5.059248857544222E-3</v>
      </c>
      <c r="P59" s="398">
        <f t="shared" si="12"/>
        <v>0.85636703563461269</v>
      </c>
      <c r="Q59" s="514">
        <f t="shared" si="15"/>
        <v>0.78401307051080238</v>
      </c>
      <c r="R59" s="142">
        <f t="shared" si="16"/>
        <v>14640.598481159515</v>
      </c>
    </row>
    <row r="60" spans="1:18" s="146" customFormat="1" x14ac:dyDescent="0.15">
      <c r="A60" s="145">
        <f t="shared" si="3"/>
        <v>1.6334512239120592E-3</v>
      </c>
      <c r="B60" s="145">
        <f t="shared" si="4"/>
        <v>5.6637773274710005E-4</v>
      </c>
      <c r="C60" s="145">
        <f t="shared" si="5"/>
        <v>1.7104334084070007E-7</v>
      </c>
      <c r="D60" s="146">
        <f t="shared" si="0"/>
        <v>3.9810717055349657E-6</v>
      </c>
      <c r="E60" s="145">
        <f t="shared" si="6"/>
        <v>1.5135612484362029E-8</v>
      </c>
      <c r="F60" s="141">
        <v>5.4</v>
      </c>
      <c r="H60" s="142">
        <f t="shared" si="7"/>
        <v>-1.3349099610008442E-3</v>
      </c>
      <c r="I60" s="142">
        <f t="shared" si="8"/>
        <v>-5.7520098839542637E-4</v>
      </c>
      <c r="J60" s="142">
        <f t="shared" si="9"/>
        <v>3.9731284231877233E-6</v>
      </c>
      <c r="K60" s="142">
        <f t="shared" si="10"/>
        <v>-7.5706401378074564E-6</v>
      </c>
      <c r="L60" s="142">
        <f t="shared" si="11"/>
        <v>1.9216547179572658E-3</v>
      </c>
      <c r="N60" s="144">
        <f t="shared" si="17"/>
        <v>207.16893978575314</v>
      </c>
      <c r="O60" s="142">
        <f t="shared" si="14"/>
        <v>4.8269784120832252E-3</v>
      </c>
      <c r="P60" s="398">
        <f t="shared" si="12"/>
        <v>0.85002326830515673</v>
      </c>
      <c r="Q60" s="514">
        <f t="shared" si="15"/>
        <v>0.74247782905093596</v>
      </c>
      <c r="R60" s="142">
        <f t="shared" si="16"/>
        <v>15459.613903895048</v>
      </c>
    </row>
    <row r="61" spans="1:18" s="146" customFormat="1" x14ac:dyDescent="0.15">
      <c r="A61" s="145">
        <f t="shared" si="3"/>
        <v>1.5313063852326642E-3</v>
      </c>
      <c r="B61" s="145">
        <f t="shared" si="4"/>
        <v>6.684394811645153E-4</v>
      </c>
      <c r="C61" s="145">
        <f t="shared" si="5"/>
        <v>2.5413360282076641E-7</v>
      </c>
      <c r="D61" s="146">
        <f t="shared" si="0"/>
        <v>3.1622776601683767E-6</v>
      </c>
      <c r="E61" s="145">
        <f t="shared" si="6"/>
        <v>1.9054607179632389E-8</v>
      </c>
      <c r="F61" s="141">
        <v>5.5</v>
      </c>
      <c r="H61" s="142">
        <f t="shared" si="7"/>
        <v>-1.2328482125834291E-3</v>
      </c>
      <c r="I61" s="142">
        <f t="shared" si="8"/>
        <v>-5.7503480787146632E-4</v>
      </c>
      <c r="J61" s="142">
        <f t="shared" si="9"/>
        <v>3.1543343778211337E-6</v>
      </c>
      <c r="K61" s="142">
        <f t="shared" si="10"/>
        <v>-7.5667211431121862E-6</v>
      </c>
      <c r="L61" s="142">
        <f t="shared" si="11"/>
        <v>1.8186040759758286E-3</v>
      </c>
      <c r="N61" s="144">
        <f t="shared" si="17"/>
        <v>218.90810419518081</v>
      </c>
      <c r="O61" s="142">
        <f t="shared" si="14"/>
        <v>4.5681269027317015E-3</v>
      </c>
      <c r="P61" s="398">
        <f t="shared" si="12"/>
        <v>0.84202295896152879</v>
      </c>
      <c r="Q61" s="514">
        <f t="shared" si="15"/>
        <v>0.69604835692393818</v>
      </c>
      <c r="R61" s="142">
        <f t="shared" si="16"/>
        <v>16490.837820602719</v>
      </c>
    </row>
    <row r="62" spans="1:18" s="146" customFormat="1" x14ac:dyDescent="0.15">
      <c r="A62" s="145">
        <f t="shared" si="3"/>
        <v>1.4195344321095284E-3</v>
      </c>
      <c r="B62" s="145">
        <f t="shared" si="4"/>
        <v>7.8009219229245477E-4</v>
      </c>
      <c r="C62" s="145">
        <f t="shared" si="5"/>
        <v>3.7337559801710683E-7</v>
      </c>
      <c r="D62" s="146">
        <f t="shared" si="0"/>
        <v>2.5118864315095806E-6</v>
      </c>
      <c r="E62" s="145">
        <f t="shared" si="6"/>
        <v>2.3988329190194778E-8</v>
      </c>
      <c r="F62" s="141">
        <v>5.6</v>
      </c>
      <c r="H62" s="142">
        <f t="shared" si="7"/>
        <v>-1.1211955014554895E-3</v>
      </c>
      <c r="I62" s="142">
        <f t="shared" si="8"/>
        <v>-5.7479632388107358E-4</v>
      </c>
      <c r="J62" s="142">
        <f t="shared" si="9"/>
        <v>2.5039431491623377E-6</v>
      </c>
      <c r="K62" s="142">
        <f t="shared" si="10"/>
        <v>-7.5617874211016238E-6</v>
      </c>
      <c r="L62" s="142">
        <f t="shared" si="11"/>
        <v>1.7060575559068268E-3</v>
      </c>
      <c r="N62" s="144">
        <f t="shared" si="17"/>
        <v>233.34920277170244</v>
      </c>
      <c r="O62" s="142">
        <f t="shared" si="14"/>
        <v>4.2854228260567557E-3</v>
      </c>
      <c r="P62" s="398">
        <f t="shared" si="12"/>
        <v>0.83205541758818224</v>
      </c>
      <c r="Q62" s="514">
        <f t="shared" si="15"/>
        <v>0.64524292368614922</v>
      </c>
      <c r="R62" s="142">
        <f t="shared" si="16"/>
        <v>17789.300971726498</v>
      </c>
    </row>
    <row r="63" spans="1:18" s="146" customFormat="1" x14ac:dyDescent="0.15">
      <c r="A63" s="145">
        <f t="shared" si="3"/>
        <v>1.3000459788483805E-3</v>
      </c>
      <c r="B63" s="145">
        <f t="shared" si="4"/>
        <v>8.994120717859339E-4</v>
      </c>
      <c r="C63" s="145">
        <f t="shared" si="5"/>
        <v>5.4194936568561417E-7</v>
      </c>
      <c r="D63" s="146">
        <f t="shared" si="0"/>
        <v>1.9952623149688749E-6</v>
      </c>
      <c r="E63" s="145">
        <f t="shared" si="6"/>
        <v>3.0199517204020188E-8</v>
      </c>
      <c r="F63" s="141">
        <v>5.7</v>
      </c>
      <c r="H63" s="142">
        <f t="shared" si="7"/>
        <v>-1.0018756219620103E-3</v>
      </c>
      <c r="I63" s="142">
        <f t="shared" si="8"/>
        <v>-5.7445917634573655E-4</v>
      </c>
      <c r="J63" s="142">
        <f t="shared" si="9"/>
        <v>1.987319032621632E-6</v>
      </c>
      <c r="K63" s="142">
        <f t="shared" si="10"/>
        <v>-7.5555762330877981E-6</v>
      </c>
      <c r="L63" s="142">
        <f t="shared" si="11"/>
        <v>1.5858776935734561E-3</v>
      </c>
      <c r="N63" s="144">
        <f t="shared" si="17"/>
        <v>251.03270710393991</v>
      </c>
      <c r="O63" s="142">
        <f t="shared" si="14"/>
        <v>3.9835446605208727E-3</v>
      </c>
      <c r="P63" s="398">
        <f t="shared" si="12"/>
        <v>0.81976433877381083</v>
      </c>
      <c r="Q63" s="514">
        <f t="shared" si="15"/>
        <v>0.59092999038562743</v>
      </c>
      <c r="R63" s="142">
        <f t="shared" si="16"/>
        <v>19424.332418530837</v>
      </c>
    </row>
    <row r="64" spans="1:18" s="146" customFormat="1" x14ac:dyDescent="0.15">
      <c r="A64" s="145">
        <f t="shared" si="3"/>
        <v>1.1754495918372394E-3</v>
      </c>
      <c r="B64" s="145">
        <f t="shared" si="4"/>
        <v>1.0237737963189706E-3</v>
      </c>
      <c r="C64" s="145">
        <f t="shared" si="5"/>
        <v>7.7661184379006731E-7</v>
      </c>
      <c r="D64" s="146">
        <f t="shared" si="0"/>
        <v>1.5848931924611111E-6</v>
      </c>
      <c r="E64" s="145">
        <f t="shared" si="6"/>
        <v>3.8018939632056113E-8</v>
      </c>
      <c r="F64" s="141">
        <v>5.8</v>
      </c>
      <c r="H64" s="142">
        <f t="shared" si="7"/>
        <v>-8.775138974289737E-4</v>
      </c>
      <c r="I64" s="142">
        <f t="shared" si="8"/>
        <v>-5.7398985138952768E-4</v>
      </c>
      <c r="J64" s="142">
        <f t="shared" si="9"/>
        <v>1.5769499101138682E-6</v>
      </c>
      <c r="K64" s="142">
        <f t="shared" si="10"/>
        <v>-7.5477568106597622E-6</v>
      </c>
      <c r="L64" s="142">
        <f t="shared" si="11"/>
        <v>1.460628455539275E-3</v>
      </c>
      <c r="N64" s="144">
        <f t="shared" si="17"/>
        <v>272.55882154268522</v>
      </c>
      <c r="O64" s="142">
        <f t="shared" si="14"/>
        <v>3.6689327989458992E-3</v>
      </c>
      <c r="P64" s="398">
        <f t="shared" si="12"/>
        <v>0.8047560537243228</v>
      </c>
      <c r="Q64" s="514">
        <f t="shared" si="15"/>
        <v>0.53429526901692703</v>
      </c>
      <c r="R64" s="142">
        <f t="shared" si="16"/>
        <v>21483.29067268236</v>
      </c>
    </row>
    <row r="65" spans="1:18" s="146" customFormat="1" x14ac:dyDescent="0.15">
      <c r="A65" s="145">
        <f t="shared" si="3"/>
        <v>1.0488550360286349E-3</v>
      </c>
      <c r="B65" s="145">
        <f t="shared" si="4"/>
        <v>1.1500466779203725E-3</v>
      </c>
      <c r="C65" s="145">
        <f t="shared" si="5"/>
        <v>1.0982860509925406E-6</v>
      </c>
      <c r="D65" s="146">
        <f t="shared" si="0"/>
        <v>1.2589254117941642E-6</v>
      </c>
      <c r="E65" s="145">
        <f t="shared" si="6"/>
        <v>4.7863009232263782E-8</v>
      </c>
      <c r="F65" s="141">
        <v>5.9</v>
      </c>
      <c r="H65" s="142">
        <f t="shared" si="7"/>
        <v>-7.5124101582757182E-4</v>
      </c>
      <c r="I65" s="142">
        <f t="shared" si="8"/>
        <v>-5.7334650297512267E-4</v>
      </c>
      <c r="J65" s="142">
        <f t="shared" si="9"/>
        <v>1.2509821294469213E-6</v>
      </c>
      <c r="K65" s="142">
        <f t="shared" si="10"/>
        <v>-7.5379127410595547E-6</v>
      </c>
      <c r="L65" s="142">
        <f t="shared" si="11"/>
        <v>1.333376413673201E-3</v>
      </c>
      <c r="N65" s="144">
        <f t="shared" si="17"/>
        <v>298.57073101869781</v>
      </c>
      <c r="O65" s="142">
        <f t="shared" si="14"/>
        <v>3.3492901216006185E-3</v>
      </c>
      <c r="P65" s="398">
        <f t="shared" si="12"/>
        <v>0.78661586126248983</v>
      </c>
      <c r="Q65" s="514">
        <f t="shared" si="15"/>
        <v>0.47675228910392498</v>
      </c>
      <c r="R65" s="142">
        <f t="shared" si="16"/>
        <v>24076.277831625754</v>
      </c>
    </row>
    <row r="66" spans="1:18" s="146" customFormat="1" x14ac:dyDescent="0.15">
      <c r="A66" s="145">
        <f t="shared" si="3"/>
        <v>9.2357661619247905E-4</v>
      </c>
      <c r="B66" s="145">
        <f t="shared" si="4"/>
        <v>1.2748906281472726E-3</v>
      </c>
      <c r="C66" s="145">
        <f t="shared" si="5"/>
        <v>1.5327556602485191E-6</v>
      </c>
      <c r="D66" s="146">
        <f t="shared" si="0"/>
        <v>9.9999999999999995E-7</v>
      </c>
      <c r="E66" s="145">
        <f t="shared" si="6"/>
        <v>6.0255958607435649E-8</v>
      </c>
      <c r="F66" s="141">
        <v>6</v>
      </c>
      <c r="H66" s="142">
        <f t="shared" si="7"/>
        <v>-6.263970656006717E-4</v>
      </c>
      <c r="I66" s="142">
        <f t="shared" si="8"/>
        <v>-5.7247756375661079E-4</v>
      </c>
      <c r="J66" s="142">
        <f t="shared" si="9"/>
        <v>9.9205671765275705E-7</v>
      </c>
      <c r="K66" s="142">
        <f t="shared" si="10"/>
        <v>-7.5255197916843828E-6</v>
      </c>
      <c r="L66" s="142">
        <f t="shared" si="11"/>
        <v>1.2073922058666194E-3</v>
      </c>
      <c r="N66" s="144">
        <f t="shared" si="17"/>
        <v>329.72481404064661</v>
      </c>
      <c r="O66" s="142">
        <f t="shared" si="14"/>
        <v>3.0328320994267833E-3</v>
      </c>
      <c r="P66" s="398">
        <f t="shared" si="12"/>
        <v>0.76493504902955001</v>
      </c>
      <c r="Q66" s="514">
        <f t="shared" si="15"/>
        <v>0.41980755281476317</v>
      </c>
      <c r="R66" s="142">
        <f t="shared" si="16"/>
        <v>27342.101142221291</v>
      </c>
    </row>
    <row r="67" spans="1:18" s="146" customFormat="1" x14ac:dyDescent="0.15">
      <c r="A67" s="145">
        <f t="shared" si="3"/>
        <v>8.0279340086896888E-4</v>
      </c>
      <c r="B67" s="145">
        <f t="shared" si="4"/>
        <v>1.3950950373446207E-3</v>
      </c>
      <c r="C67" s="145">
        <f t="shared" si="5"/>
        <v>2.1115617864104831E-6</v>
      </c>
      <c r="D67" s="146">
        <f t="shared" si="0"/>
        <v>7.9432823472428114E-7</v>
      </c>
      <c r="E67" s="145">
        <f t="shared" si="6"/>
        <v>7.5857757502918145E-8</v>
      </c>
      <c r="F67" s="141">
        <v>6.1</v>
      </c>
      <c r="H67" s="142">
        <f t="shared" si="7"/>
        <v>-5.0619265640332355E-4</v>
      </c>
      <c r="I67" s="142">
        <f t="shared" si="8"/>
        <v>-5.7131995150428686E-4</v>
      </c>
      <c r="J67" s="142">
        <f t="shared" si="9"/>
        <v>7.8638495237703834E-7</v>
      </c>
      <c r="K67" s="142">
        <f t="shared" si="10"/>
        <v>-7.5099179927889001E-6</v>
      </c>
      <c r="L67" s="142">
        <f t="shared" si="11"/>
        <v>1.0858089108527764E-3</v>
      </c>
      <c r="N67" s="144">
        <f t="shared" si="17"/>
        <v>366.64570218053416</v>
      </c>
      <c r="O67" s="142">
        <f t="shared" si="14"/>
        <v>2.7274286703832845E-3</v>
      </c>
      <c r="P67" s="398">
        <f t="shared" si="12"/>
        <v>0.73935053658609984</v>
      </c>
      <c r="Q67" s="514">
        <f t="shared" si="15"/>
        <v>0.36490609130407675</v>
      </c>
      <c r="R67" s="142">
        <f t="shared" si="16"/>
        <v>31455.820669665602</v>
      </c>
    </row>
    <row r="68" spans="1:18" s="146" customFormat="1" x14ac:dyDescent="0.15">
      <c r="A68" s="145">
        <f t="shared" si="3"/>
        <v>6.8923810389669702E-4</v>
      </c>
      <c r="B68" s="145">
        <f t="shared" si="4"/>
        <v>1.5078886734689464E-3</v>
      </c>
      <c r="C68" s="145">
        <f t="shared" si="5"/>
        <v>2.8732226343567898E-6</v>
      </c>
      <c r="D68" s="146">
        <f t="shared" si="0"/>
        <v>6.3095734448019254E-7</v>
      </c>
      <c r="E68" s="145">
        <f t="shared" si="6"/>
        <v>9.5499258602143212E-8</v>
      </c>
      <c r="F68" s="141">
        <v>6.2</v>
      </c>
      <c r="H68" s="142">
        <f t="shared" si="7"/>
        <v>-3.9339902027899789E-4</v>
      </c>
      <c r="I68" s="142">
        <f t="shared" si="8"/>
        <v>-5.6979662980839426E-4</v>
      </c>
      <c r="J68" s="142">
        <f t="shared" si="9"/>
        <v>6.2301406213294974E-7</v>
      </c>
      <c r="K68" s="142">
        <f t="shared" si="10"/>
        <v>-7.4902764916896759E-6</v>
      </c>
      <c r="L68" s="142">
        <f t="shared" si="11"/>
        <v>9.713089406412147E-4</v>
      </c>
      <c r="N68" s="144">
        <f t="shared" si="17"/>
        <v>409.8666797926154</v>
      </c>
      <c r="O68" s="142">
        <f t="shared" si="14"/>
        <v>2.4398177488006117E-3</v>
      </c>
      <c r="P68" s="398">
        <f t="shared" si="12"/>
        <v>0.70959719926153764</v>
      </c>
      <c r="Q68" s="514">
        <f t="shared" si="15"/>
        <v>0.31329004722577136</v>
      </c>
      <c r="R68" s="142">
        <f t="shared" si="16"/>
        <v>36638.318615521734</v>
      </c>
    </row>
    <row r="69" spans="1:18" s="146" customFormat="1" x14ac:dyDescent="0.15">
      <c r="A69" s="145">
        <f t="shared" si="3"/>
        <v>5.8497637543029673E-4</v>
      </c>
      <c r="B69" s="145">
        <f t="shared" si="4"/>
        <v>1.6111587239848431E-3</v>
      </c>
      <c r="C69" s="145">
        <f t="shared" si="5"/>
        <v>3.8649005848602785E-6</v>
      </c>
      <c r="D69" s="146">
        <f t="shared" si="0"/>
        <v>5.0118723362727218E-7</v>
      </c>
      <c r="E69" s="145">
        <f t="shared" si="6"/>
        <v>1.202264434617409E-7</v>
      </c>
      <c r="F69" s="141">
        <v>6.3</v>
      </c>
      <c r="H69" s="142">
        <f t="shared" si="7"/>
        <v>-2.9012896976310116E-4</v>
      </c>
      <c r="I69" s="142">
        <f t="shared" si="8"/>
        <v>-5.6781327390738724E-4</v>
      </c>
      <c r="J69" s="142">
        <f t="shared" si="9"/>
        <v>4.9324395128002938E-7</v>
      </c>
      <c r="K69" s="142">
        <f t="shared" si="10"/>
        <v>-7.4655493068300777E-6</v>
      </c>
      <c r="L69" s="142">
        <f t="shared" si="11"/>
        <v>8.659010369285985E-4</v>
      </c>
      <c r="N69" s="144">
        <f t="shared" si="17"/>
        <v>459.76058876844235</v>
      </c>
      <c r="O69" s="142">
        <f t="shared" si="14"/>
        <v>2.175045065691023E-3</v>
      </c>
      <c r="P69" s="398">
        <f t="shared" si="12"/>
        <v>0.67556955181072664</v>
      </c>
      <c r="Q69" s="514">
        <f t="shared" si="15"/>
        <v>0.26589835246831667</v>
      </c>
      <c r="R69" s="142">
        <f t="shared" si="16"/>
        <v>43168.453143000879</v>
      </c>
    </row>
    <row r="70" spans="1:18" s="146" customFormat="1" x14ac:dyDescent="0.15">
      <c r="A70" s="145">
        <f t="shared" si="3"/>
        <v>4.9130833240399114E-4</v>
      </c>
      <c r="B70" s="145">
        <f t="shared" si="4"/>
        <v>1.7035470377884541E-3</v>
      </c>
      <c r="C70" s="145">
        <f t="shared" si="5"/>
        <v>5.1446298075550133E-6</v>
      </c>
      <c r="D70" s="146">
        <f t="shared" ref="D70:D133" si="18">10^(-F70)</f>
        <v>3.9810717055349618E-7</v>
      </c>
      <c r="E70" s="145">
        <f t="shared" si="6"/>
        <v>1.5135612484362072E-7</v>
      </c>
      <c r="F70" s="141">
        <v>6.4</v>
      </c>
      <c r="H70" s="142">
        <f t="shared" si="7"/>
        <v>-1.9774065595949014E-4</v>
      </c>
      <c r="I70" s="142">
        <f t="shared" si="8"/>
        <v>-5.6525381546199778E-4</v>
      </c>
      <c r="J70" s="142">
        <f t="shared" si="9"/>
        <v>3.9016388820625339E-7</v>
      </c>
      <c r="K70" s="142">
        <f t="shared" si="10"/>
        <v>-7.434419625448198E-6</v>
      </c>
      <c r="L70" s="142">
        <f t="shared" si="11"/>
        <v>7.7081905493514233E-4</v>
      </c>
      <c r="N70" s="144">
        <f t="shared" si="17"/>
        <v>516.47292319076678</v>
      </c>
      <c r="O70" s="142">
        <f t="shared" si="14"/>
        <v>1.9362099252406219E-3</v>
      </c>
      <c r="P70" s="398">
        <f t="shared" si="12"/>
        <v>0.63738477825425632</v>
      </c>
      <c r="Q70" s="514">
        <f t="shared" ref="Q70:Q101" si="19">A70/DIC_concentration</f>
        <v>0.22332196927454143</v>
      </c>
      <c r="R70" s="142">
        <f t="shared" ref="R70:R101" si="20">1/(molar_mass*mc_efficiency*A70)</f>
        <v>51398.528351765679</v>
      </c>
    </row>
    <row r="71" spans="1:18" s="146" customFormat="1" x14ac:dyDescent="0.15">
      <c r="A71" s="145">
        <f t="shared" ref="A71:A134" si="21">$B$2/(1+($E$2/D71)+($E$2*$H$2/D71^2))</f>
        <v>4.0878864432056396E-4</v>
      </c>
      <c r="B71" s="145">
        <f t="shared" ref="B71:B134" si="22">$B$2/(1+(D71/$E$2)+($H$2/D71))</f>
        <v>1.7844271528592007E-3</v>
      </c>
      <c r="C71" s="145">
        <f t="shared" ref="C71:C134" si="23">$B$2/(1+(D71/$H$2)+(D71^2/($E$2*$H$2)))</f>
        <v>6.7842028202355843E-6</v>
      </c>
      <c r="D71" s="146">
        <f t="shared" si="18"/>
        <v>3.1622776601683734E-7</v>
      </c>
      <c r="E71" s="145">
        <f t="shared" ref="E71:E134" si="24">10^(-(13.22+LOG(D71)))</f>
        <v>1.9054607179632443E-7</v>
      </c>
      <c r="F71" s="141">
        <v>6.5</v>
      </c>
      <c r="H71" s="142">
        <f t="shared" ref="H71:H134" si="25">B71-$B$87</f>
        <v>-1.1686054088874361E-4</v>
      </c>
      <c r="I71" s="142">
        <f t="shared" ref="I71:I87" si="26">2*(C71-$C$87)</f>
        <v>-5.6197466943663668E-4</v>
      </c>
      <c r="J71" s="142">
        <f t="shared" ref="J71:J134" si="27">D71-$D$87</f>
        <v>3.0828448366959454E-7</v>
      </c>
      <c r="K71" s="142">
        <f t="shared" ref="K71:K134" si="28">E71-$E$87</f>
        <v>-7.3952296784954942E-6</v>
      </c>
      <c r="L71" s="142">
        <f t="shared" ref="L71:L134" si="29">J71-(H71+I71+K71)</f>
        <v>6.8653872448754536E-4</v>
      </c>
      <c r="N71" s="144">
        <f t="shared" si="17"/>
        <v>579.87576862566232</v>
      </c>
      <c r="O71" s="142">
        <f t="shared" si="14"/>
        <v>1.7245073067461594E-3</v>
      </c>
      <c r="P71" s="398">
        <f t="shared" ref="P71:P134" si="30">A71/L71</f>
        <v>0.59543421185119161</v>
      </c>
      <c r="Q71" s="514">
        <f t="shared" si="19"/>
        <v>0.18581302014571088</v>
      </c>
      <c r="R71" s="142">
        <f t="shared" si="20"/>
        <v>61774.038010514603</v>
      </c>
    </row>
    <row r="72" spans="1:18" s="146" customFormat="1" x14ac:dyDescent="0.15">
      <c r="A72" s="145">
        <f t="shared" si="21"/>
        <v>3.3733476672410403E-4</v>
      </c>
      <c r="B72" s="145">
        <f t="shared" si="22"/>
        <v>1.8537924248812172E-3</v>
      </c>
      <c r="C72" s="145">
        <f t="shared" si="23"/>
        <v>8.8728083946790516E-6</v>
      </c>
      <c r="D72" s="146">
        <f t="shared" si="18"/>
        <v>2.511886431509578E-7</v>
      </c>
      <c r="E72" s="145">
        <f t="shared" si="24"/>
        <v>2.3988329190194845E-7</v>
      </c>
      <c r="F72" s="141">
        <v>6.6</v>
      </c>
      <c r="H72" s="142">
        <f t="shared" si="25"/>
        <v>-4.7495268866727105E-5</v>
      </c>
      <c r="I72" s="142">
        <f t="shared" si="26"/>
        <v>-5.5779745828774972E-4</v>
      </c>
      <c r="J72" s="142">
        <f t="shared" si="27"/>
        <v>2.4324536080371501E-7</v>
      </c>
      <c r="K72" s="142">
        <f t="shared" si="28"/>
        <v>-7.3458924583898704E-6</v>
      </c>
      <c r="L72" s="142">
        <f t="shared" si="29"/>
        <v>6.128818649736705E-4</v>
      </c>
      <c r="N72" s="144">
        <f t="shared" si="17"/>
        <v>649.5659168681716</v>
      </c>
      <c r="O72" s="142">
        <f t="shared" si="14"/>
        <v>1.5394896407456497E-3</v>
      </c>
      <c r="P72" s="398">
        <f t="shared" si="30"/>
        <v>0.55040748634093783</v>
      </c>
      <c r="Q72" s="514">
        <f t="shared" si="19"/>
        <v>0.15333398487459274</v>
      </c>
      <c r="R72" s="142">
        <f t="shared" si="20"/>
        <v>74858.946493287294</v>
      </c>
    </row>
    <row r="73" spans="1:18" s="146" customFormat="1" x14ac:dyDescent="0.15">
      <c r="A73" s="145">
        <f t="shared" si="21"/>
        <v>2.7638202594983466E-4</v>
      </c>
      <c r="B73" s="145">
        <f t="shared" si="22"/>
        <v>1.9120964535741666E-3</v>
      </c>
      <c r="C73" s="145">
        <f t="shared" si="23"/>
        <v>1.152152047599899E-5</v>
      </c>
      <c r="D73" s="146">
        <f t="shared" si="18"/>
        <v>1.9952623149688761E-7</v>
      </c>
      <c r="E73" s="145">
        <f t="shared" si="24"/>
        <v>3.0199517204020165E-7</v>
      </c>
      <c r="F73" s="141">
        <v>6.7</v>
      </c>
      <c r="H73" s="142">
        <f t="shared" si="25"/>
        <v>1.0808759826222295E-5</v>
      </c>
      <c r="I73" s="142">
        <f t="shared" si="26"/>
        <v>-5.5250003412510979E-4</v>
      </c>
      <c r="J73" s="142">
        <f t="shared" si="27"/>
        <v>1.9158294914964481E-7</v>
      </c>
      <c r="K73" s="142">
        <f t="shared" si="28"/>
        <v>-7.2837805782516172E-6</v>
      </c>
      <c r="L73" s="142">
        <f t="shared" si="29"/>
        <v>5.4916663782628877E-4</v>
      </c>
      <c r="N73" s="144">
        <f t="shared" si="17"/>
        <v>724.92963543685914</v>
      </c>
      <c r="O73" s="142">
        <f t="shared" si="14"/>
        <v>1.3794442261935908E-3</v>
      </c>
      <c r="P73" s="398">
        <f t="shared" si="30"/>
        <v>0.50327533923730317</v>
      </c>
      <c r="Q73" s="514">
        <f t="shared" si="19"/>
        <v>0.1256281936135612</v>
      </c>
      <c r="R73" s="142">
        <f t="shared" si="20"/>
        <v>91368.189250876865</v>
      </c>
    </row>
    <row r="74" spans="1:18" s="146" customFormat="1" x14ac:dyDescent="0.15">
      <c r="A74" s="145">
        <f t="shared" si="21"/>
        <v>2.2504770193116453E-4</v>
      </c>
      <c r="B74" s="145">
        <f t="shared" si="22"/>
        <v>1.960083543853327E-3</v>
      </c>
      <c r="C74" s="145">
        <f t="shared" si="23"/>
        <v>1.4868754215508666E-5</v>
      </c>
      <c r="D74" s="146">
        <f t="shared" si="18"/>
        <v>1.5848931924611122E-7</v>
      </c>
      <c r="E74" s="145">
        <f t="shared" si="24"/>
        <v>3.8018939632056089E-7</v>
      </c>
      <c r="F74" s="141">
        <v>6.8</v>
      </c>
      <c r="H74" s="142">
        <f t="shared" si="25"/>
        <v>5.8795850105382731E-5</v>
      </c>
      <c r="I74" s="142">
        <f t="shared" si="26"/>
        <v>-5.4580556664609052E-4</v>
      </c>
      <c r="J74" s="142">
        <f t="shared" si="27"/>
        <v>1.505460368988684E-7</v>
      </c>
      <c r="K74" s="142">
        <f t="shared" si="28"/>
        <v>-7.205586353971258E-6</v>
      </c>
      <c r="L74" s="142">
        <f t="shared" si="29"/>
        <v>4.9436584893157789E-4</v>
      </c>
      <c r="N74" s="144">
        <f t="shared" ref="N74:N87" si="31">10^(-acid_pH)/L74</f>
        <v>805.28857608972248</v>
      </c>
      <c r="O74" s="142">
        <f t="shared" si="14"/>
        <v>1.2417908681329455E-3</v>
      </c>
      <c r="P74" s="398">
        <f t="shared" si="30"/>
        <v>0.4552250168929286</v>
      </c>
      <c r="Q74" s="514">
        <f t="shared" si="19"/>
        <v>0.10229440996871114</v>
      </c>
      <c r="R74" s="142">
        <f t="shared" si="20"/>
        <v>112209.65615658344</v>
      </c>
    </row>
    <row r="75" spans="1:18" s="146" customFormat="1" x14ac:dyDescent="0.15">
      <c r="A75" s="145">
        <f t="shared" si="21"/>
        <v>1.822777202771047E-4</v>
      </c>
      <c r="B75" s="145">
        <f t="shared" si="22"/>
        <v>1.9986354592653162E-3</v>
      </c>
      <c r="C75" s="145">
        <f t="shared" si="23"/>
        <v>1.9086820457579276E-5</v>
      </c>
      <c r="D75" s="146">
        <f t="shared" si="18"/>
        <v>1.2589254117941651E-7</v>
      </c>
      <c r="E75" s="145">
        <f t="shared" si="24"/>
        <v>4.7863009232263745E-7</v>
      </c>
      <c r="F75" s="141">
        <v>6.9</v>
      </c>
      <c r="H75" s="142">
        <f t="shared" si="25"/>
        <v>9.7347765517371947E-5</v>
      </c>
      <c r="I75" s="142">
        <f t="shared" si="26"/>
        <v>-5.3736943416194923E-4</v>
      </c>
      <c r="J75" s="142">
        <f t="shared" si="27"/>
        <v>1.179492588321737E-7</v>
      </c>
      <c r="K75" s="142">
        <f t="shared" si="28"/>
        <v>-7.1071456579691811E-6</v>
      </c>
      <c r="L75" s="142">
        <f t="shared" si="29"/>
        <v>4.4724676356137867E-4</v>
      </c>
      <c r="N75" s="144">
        <f t="shared" si="31"/>
        <v>890.1286783685407</v>
      </c>
      <c r="O75" s="142">
        <f t="shared" ref="O75:O86" si="32">1/N75</f>
        <v>1.1234330769264004E-3</v>
      </c>
      <c r="P75" s="398">
        <f t="shared" si="30"/>
        <v>0.40755514657198744</v>
      </c>
      <c r="Q75" s="514">
        <f t="shared" si="19"/>
        <v>8.2853509216865767E-2</v>
      </c>
      <c r="R75" s="142">
        <f t="shared" si="20"/>
        <v>138538.73756011168</v>
      </c>
    </row>
    <row r="76" spans="1:18" s="146" customFormat="1" x14ac:dyDescent="0.15">
      <c r="A76" s="145">
        <f t="shared" si="21"/>
        <v>1.4696253814643553E-4</v>
      </c>
      <c r="B76" s="145">
        <f t="shared" si="22"/>
        <v>2.0286477514344027E-3</v>
      </c>
      <c r="C76" s="145">
        <f t="shared" si="23"/>
        <v>2.4389710419161683E-5</v>
      </c>
      <c r="D76" s="146">
        <f t="shared" si="18"/>
        <v>9.9999999999999995E-8</v>
      </c>
      <c r="E76" s="145">
        <f t="shared" si="24"/>
        <v>6.0255958607435604E-7</v>
      </c>
      <c r="F76" s="141">
        <v>7</v>
      </c>
      <c r="H76" s="142">
        <f t="shared" si="25"/>
        <v>1.2736005768645845E-4</v>
      </c>
      <c r="I76" s="142">
        <f t="shared" si="26"/>
        <v>-5.2676365423878443E-4</v>
      </c>
      <c r="J76" s="142">
        <f t="shared" si="27"/>
        <v>9.2056717652757187E-8</v>
      </c>
      <c r="K76" s="142">
        <f t="shared" si="28"/>
        <v>-6.9832161642174622E-6</v>
      </c>
      <c r="L76" s="142">
        <f t="shared" si="29"/>
        <v>4.0647886943419618E-4</v>
      </c>
      <c r="N76" s="144">
        <f t="shared" si="31"/>
        <v>979.40434421018722</v>
      </c>
      <c r="O76" s="142">
        <f t="shared" si="32"/>
        <v>1.0210287568271116E-3</v>
      </c>
      <c r="P76" s="398">
        <f t="shared" si="30"/>
        <v>0.36155025315584555</v>
      </c>
      <c r="Q76" s="514">
        <f t="shared" si="19"/>
        <v>6.6801153702925234E-2</v>
      </c>
      <c r="R76" s="142">
        <f t="shared" si="20"/>
        <v>171829.67558278888</v>
      </c>
    </row>
    <row r="77" spans="1:18" s="146" customFormat="1" x14ac:dyDescent="0.15">
      <c r="A77" s="145">
        <f t="shared" si="21"/>
        <v>1.1801919741954853E-4</v>
      </c>
      <c r="B77" s="145">
        <f t="shared" si="22"/>
        <v>2.0509385908402699E-3</v>
      </c>
      <c r="C77" s="145">
        <f t="shared" si="23"/>
        <v>3.1042211740181939E-5</v>
      </c>
      <c r="D77" s="146">
        <f t="shared" si="18"/>
        <v>7.943282347242818E-8</v>
      </c>
      <c r="E77" s="145">
        <f t="shared" si="24"/>
        <v>7.5857757502918092E-7</v>
      </c>
      <c r="F77" s="141">
        <v>7.1</v>
      </c>
      <c r="H77" s="142">
        <f t="shared" si="25"/>
        <v>1.4965089709232564E-4</v>
      </c>
      <c r="I77" s="142">
        <f t="shared" si="26"/>
        <v>-5.1345865159674396E-4</v>
      </c>
      <c r="J77" s="142">
        <f t="shared" si="27"/>
        <v>7.1489541125185371E-8</v>
      </c>
      <c r="K77" s="142">
        <f t="shared" si="28"/>
        <v>-6.8271981752626381E-6</v>
      </c>
      <c r="L77" s="142">
        <f t="shared" si="29"/>
        <v>3.7070644222080614E-4</v>
      </c>
      <c r="N77" s="144">
        <f t="shared" si="31"/>
        <v>1073.9148965648949</v>
      </c>
      <c r="O77" s="142">
        <f t="shared" si="32"/>
        <v>9.3117248228763319E-4</v>
      </c>
      <c r="P77" s="398">
        <f t="shared" si="30"/>
        <v>0.31836295240116719</v>
      </c>
      <c r="Q77" s="514">
        <f t="shared" si="19"/>
        <v>5.3645089736158419E-2</v>
      </c>
      <c r="R77" s="142">
        <f t="shared" si="20"/>
        <v>213969.64057258083</v>
      </c>
    </row>
    <row r="78" spans="1:18" s="146" customFormat="1" x14ac:dyDescent="0.15">
      <c r="A78" s="145">
        <f t="shared" si="21"/>
        <v>9.4442952534270049E-5</v>
      </c>
      <c r="B78" s="145">
        <f t="shared" si="22"/>
        <v>2.0661866720696506E-3</v>
      </c>
      <c r="C78" s="145">
        <f t="shared" si="23"/>
        <v>3.9370375396079379E-5</v>
      </c>
      <c r="D78" s="146">
        <f t="shared" si="18"/>
        <v>6.3095734448019177E-8</v>
      </c>
      <c r="E78" s="145">
        <f t="shared" si="24"/>
        <v>9.5499258602143498E-7</v>
      </c>
      <c r="F78" s="141">
        <v>7.2</v>
      </c>
      <c r="H78" s="142">
        <f t="shared" si="25"/>
        <v>1.6489897832170633E-4</v>
      </c>
      <c r="I78" s="142">
        <f t="shared" si="26"/>
        <v>-4.9680232428494901E-4</v>
      </c>
      <c r="J78" s="142">
        <f t="shared" si="27"/>
        <v>5.5152452100776369E-8</v>
      </c>
      <c r="K78" s="142">
        <f t="shared" si="28"/>
        <v>-6.6307831642703835E-6</v>
      </c>
      <c r="L78" s="142">
        <f t="shared" si="29"/>
        <v>3.3858928157961388E-4</v>
      </c>
      <c r="N78" s="144">
        <f t="shared" si="31"/>
        <v>1175.7819642022207</v>
      </c>
      <c r="O78" s="142">
        <f t="shared" si="32"/>
        <v>8.5049782225440885E-4</v>
      </c>
      <c r="P78" s="398">
        <f t="shared" si="30"/>
        <v>0.27893072129651358</v>
      </c>
      <c r="Q78" s="514">
        <f t="shared" si="19"/>
        <v>4.2928614788304564E-2</v>
      </c>
      <c r="R78" s="142">
        <f t="shared" si="20"/>
        <v>267383.90292660531</v>
      </c>
    </row>
    <row r="79" spans="1:18" s="146" customFormat="1" x14ac:dyDescent="0.15">
      <c r="A79" s="145">
        <f t="shared" si="21"/>
        <v>7.5334776236351584E-5</v>
      </c>
      <c r="B79" s="145">
        <f t="shared" si="22"/>
        <v>2.0748920306971723E-3</v>
      </c>
      <c r="C79" s="145">
        <f t="shared" si="23"/>
        <v>4.9773193066475831E-5</v>
      </c>
      <c r="D79" s="146">
        <f t="shared" si="18"/>
        <v>5.0118723362727164E-8</v>
      </c>
      <c r="E79" s="145">
        <f t="shared" si="24"/>
        <v>1.2022644346174125E-6</v>
      </c>
      <c r="F79" s="141">
        <v>7.3</v>
      </c>
      <c r="H79" s="142">
        <f t="shared" si="25"/>
        <v>1.7360433694922801E-4</v>
      </c>
      <c r="I79" s="142">
        <f t="shared" si="26"/>
        <v>-4.7599668894415613E-4</v>
      </c>
      <c r="J79" s="142">
        <f t="shared" si="27"/>
        <v>4.2175441015484355E-8</v>
      </c>
      <c r="K79" s="142">
        <f t="shared" si="28"/>
        <v>-6.3835113156744064E-6</v>
      </c>
      <c r="L79" s="142">
        <f t="shared" si="29"/>
        <v>3.08818038751618E-4</v>
      </c>
      <c r="N79" s="144">
        <f t="shared" si="31"/>
        <v>1289.131853057633</v>
      </c>
      <c r="O79" s="142">
        <f t="shared" si="32"/>
        <v>7.7571584134558907E-4</v>
      </c>
      <c r="P79" s="398">
        <f t="shared" si="30"/>
        <v>0.24394551736967432</v>
      </c>
      <c r="Q79" s="514">
        <f t="shared" si="19"/>
        <v>3.4243080107432537E-2</v>
      </c>
      <c r="R79" s="142">
        <f t="shared" si="20"/>
        <v>335204.09184331069</v>
      </c>
    </row>
    <row r="80" spans="1:18" s="146" customFormat="1" x14ac:dyDescent="0.15">
      <c r="A80" s="145">
        <f t="shared" si="21"/>
        <v>5.9911526589954445E-5</v>
      </c>
      <c r="B80" s="145">
        <f t="shared" si="22"/>
        <v>2.0773534035603935E-3</v>
      </c>
      <c r="C80" s="145">
        <f t="shared" si="23"/>
        <v>6.2735069849652173E-5</v>
      </c>
      <c r="D80" s="146">
        <f t="shared" si="18"/>
        <v>3.981071705534957E-8</v>
      </c>
      <c r="E80" s="145">
        <f t="shared" si="24"/>
        <v>1.5135612484362091E-6</v>
      </c>
      <c r="F80" s="141">
        <v>7.4</v>
      </c>
      <c r="H80" s="142">
        <f t="shared" si="25"/>
        <v>1.7606570981244926E-4</v>
      </c>
      <c r="I80" s="142">
        <f t="shared" si="26"/>
        <v>-4.5007293537780346E-4</v>
      </c>
      <c r="J80" s="142">
        <f t="shared" si="27"/>
        <v>3.1867434708106762E-8</v>
      </c>
      <c r="K80" s="142">
        <f t="shared" si="28"/>
        <v>-6.0722145018556092E-6</v>
      </c>
      <c r="L80" s="142">
        <f t="shared" si="29"/>
        <v>2.8011130750191791E-4</v>
      </c>
      <c r="N80" s="144">
        <f t="shared" si="31"/>
        <v>1421.2463399064009</v>
      </c>
      <c r="O80" s="142">
        <f t="shared" si="32"/>
        <v>7.0360779262647539E-4</v>
      </c>
      <c r="P80" s="398">
        <f t="shared" si="30"/>
        <v>0.21388471291736139</v>
      </c>
      <c r="Q80" s="514">
        <f t="shared" si="19"/>
        <v>2.7232512086342926E-2</v>
      </c>
      <c r="R80" s="142">
        <f t="shared" si="20"/>
        <v>421496.94207190216</v>
      </c>
    </row>
    <row r="81" spans="1:18" s="146" customFormat="1" x14ac:dyDescent="0.15">
      <c r="A81" s="145">
        <f t="shared" si="21"/>
        <v>4.7504737922952585E-5</v>
      </c>
      <c r="B81" s="145">
        <f t="shared" si="22"/>
        <v>2.0736570209788623E-3</v>
      </c>
      <c r="C81" s="145">
        <f t="shared" si="23"/>
        <v>7.8838241098184934E-5</v>
      </c>
      <c r="D81" s="146">
        <f t="shared" si="18"/>
        <v>3.1622776601683699E-8</v>
      </c>
      <c r="E81" s="145">
        <f t="shared" si="24"/>
        <v>1.9054607179632462E-6</v>
      </c>
      <c r="F81" s="141">
        <v>7.5</v>
      </c>
      <c r="H81" s="142">
        <f t="shared" si="25"/>
        <v>1.7236932723091805E-4</v>
      </c>
      <c r="I81" s="142">
        <f t="shared" si="26"/>
        <v>-4.1786659288073791E-4</v>
      </c>
      <c r="J81" s="142">
        <f t="shared" si="27"/>
        <v>2.3679494254440891E-8</v>
      </c>
      <c r="K81" s="142">
        <f t="shared" si="28"/>
        <v>-5.6803150323285725E-6</v>
      </c>
      <c r="L81" s="142">
        <f t="shared" si="29"/>
        <v>2.5120126017640288E-4</v>
      </c>
      <c r="N81" s="144">
        <f t="shared" si="31"/>
        <v>1584.8135884108683</v>
      </c>
      <c r="O81" s="142">
        <f t="shared" si="32"/>
        <v>6.3098903701521434E-4</v>
      </c>
      <c r="P81" s="398">
        <f t="shared" si="30"/>
        <v>0.18911026915069212</v>
      </c>
      <c r="Q81" s="514">
        <f t="shared" si="19"/>
        <v>2.1593062692251173E-2</v>
      </c>
      <c r="R81" s="142">
        <f t="shared" si="20"/>
        <v>531579.08782660903</v>
      </c>
    </row>
    <row r="82" spans="1:18" s="146" customFormat="1" x14ac:dyDescent="0.15">
      <c r="A82" s="145">
        <f t="shared" si="21"/>
        <v>3.7552687672637762E-5</v>
      </c>
      <c r="B82" s="145">
        <f t="shared" si="22"/>
        <v>2.0636736799323789E-3</v>
      </c>
      <c r="C82" s="145">
        <f t="shared" si="23"/>
        <v>9.8773632394983532E-5</v>
      </c>
      <c r="D82" s="146">
        <f t="shared" si="18"/>
        <v>2.5118864315095751E-8</v>
      </c>
      <c r="E82" s="145">
        <f t="shared" si="24"/>
        <v>2.3988329190194872E-6</v>
      </c>
      <c r="F82" s="141">
        <v>7.6</v>
      </c>
      <c r="H82" s="142">
        <f t="shared" si="25"/>
        <v>1.623859861844346E-4</v>
      </c>
      <c r="I82" s="142">
        <f t="shared" si="26"/>
        <v>-3.7799581028714077E-4</v>
      </c>
      <c r="J82" s="142">
        <f t="shared" si="27"/>
        <v>1.7175581967852943E-8</v>
      </c>
      <c r="K82" s="142">
        <f t="shared" si="28"/>
        <v>-5.1869428312723316E-6</v>
      </c>
      <c r="L82" s="142">
        <f t="shared" si="29"/>
        <v>2.2081394251594635E-4</v>
      </c>
      <c r="N82" s="144">
        <f t="shared" si="31"/>
        <v>1802.9077603410274</v>
      </c>
      <c r="O82" s="142">
        <f t="shared" si="32"/>
        <v>5.5465954609394208E-4</v>
      </c>
      <c r="P82" s="398">
        <f t="shared" si="30"/>
        <v>0.17006483940626099</v>
      </c>
      <c r="Q82" s="514">
        <f t="shared" si="19"/>
        <v>1.7069403487562619E-2</v>
      </c>
      <c r="R82" s="142">
        <f t="shared" si="20"/>
        <v>672455.86980782601</v>
      </c>
    </row>
    <row r="83" spans="1:18" s="146" customFormat="1" x14ac:dyDescent="0.15">
      <c r="A83" s="145">
        <f t="shared" si="21"/>
        <v>2.9589065341706825E-5</v>
      </c>
      <c r="B83" s="145">
        <f t="shared" si="22"/>
        <v>2.0470631803936852E-3</v>
      </c>
      <c r="C83" s="145">
        <f t="shared" si="23"/>
        <v>1.2334775426460785E-4</v>
      </c>
      <c r="D83" s="146">
        <f t="shared" si="18"/>
        <v>1.9952623149688773E-8</v>
      </c>
      <c r="E83" s="145">
        <f t="shared" si="24"/>
        <v>3.0199517204020095E-6</v>
      </c>
      <c r="F83" s="141">
        <v>7.7</v>
      </c>
      <c r="H83" s="142">
        <f t="shared" si="25"/>
        <v>1.4577548664574096E-4</v>
      </c>
      <c r="I83" s="142">
        <f t="shared" si="26"/>
        <v>-3.288475665478921E-4</v>
      </c>
      <c r="J83" s="142">
        <f t="shared" si="27"/>
        <v>1.2009340802445964E-8</v>
      </c>
      <c r="K83" s="142">
        <f t="shared" si="28"/>
        <v>-4.5658240298898092E-6</v>
      </c>
      <c r="L83" s="142">
        <f t="shared" si="29"/>
        <v>1.8764991327284338E-4</v>
      </c>
      <c r="N83" s="144">
        <f t="shared" si="31"/>
        <v>2121.5419906677416</v>
      </c>
      <c r="O83" s="142">
        <f t="shared" si="32"/>
        <v>4.713552710240048E-4</v>
      </c>
      <c r="P83" s="398">
        <f t="shared" si="30"/>
        <v>0.15768227560374226</v>
      </c>
      <c r="Q83" s="514">
        <f t="shared" si="19"/>
        <v>1.3449575155321284E-2</v>
      </c>
      <c r="R83" s="142">
        <f t="shared" si="20"/>
        <v>853441.12633834826</v>
      </c>
    </row>
    <row r="84" spans="1:18" s="146" customFormat="1" x14ac:dyDescent="0.15">
      <c r="A84" s="145">
        <f t="shared" si="21"/>
        <v>2.3230448691468968E-5</v>
      </c>
      <c r="B84" s="145">
        <f t="shared" si="22"/>
        <v>2.0232874988612296E-3</v>
      </c>
      <c r="C84" s="145">
        <f t="shared" si="23"/>
        <v>1.5348205244730142E-4</v>
      </c>
      <c r="D84" s="146">
        <f t="shared" si="18"/>
        <v>1.5848931924611133E-8</v>
      </c>
      <c r="E84" s="145">
        <f t="shared" si="24"/>
        <v>3.8018939632055997E-6</v>
      </c>
      <c r="F84" s="141">
        <v>7.8</v>
      </c>
      <c r="H84" s="142">
        <f t="shared" si="25"/>
        <v>1.2199980511328531E-4</v>
      </c>
      <c r="I84" s="142">
        <f t="shared" si="26"/>
        <v>-2.6857897018250497E-4</v>
      </c>
      <c r="J84" s="142">
        <f t="shared" si="27"/>
        <v>7.9056495773683241E-9</v>
      </c>
      <c r="K84" s="142">
        <f t="shared" si="28"/>
        <v>-3.7838817870862191E-6</v>
      </c>
      <c r="L84" s="142">
        <f t="shared" si="29"/>
        <v>1.5037095250588323E-4</v>
      </c>
      <c r="N84" s="144">
        <f t="shared" si="31"/>
        <v>2647.5004907475154</v>
      </c>
      <c r="O84" s="142">
        <f t="shared" si="32"/>
        <v>3.7771475529269966E-4</v>
      </c>
      <c r="P84" s="398">
        <f t="shared" si="30"/>
        <v>0.15448760750890422</v>
      </c>
      <c r="Q84" s="514">
        <f t="shared" si="19"/>
        <v>1.0559294859758621E-2</v>
      </c>
      <c r="R84" s="142">
        <f t="shared" si="20"/>
        <v>1087044.2318145523</v>
      </c>
    </row>
    <row r="85" spans="1:18" s="146" customFormat="1" x14ac:dyDescent="0.15">
      <c r="A85" s="145">
        <f t="shared" si="21"/>
        <v>1.8163938697182073E-5</v>
      </c>
      <c r="B85" s="145">
        <f t="shared" si="22"/>
        <v>1.9916362737541593E-3</v>
      </c>
      <c r="C85" s="145">
        <f t="shared" si="23"/>
        <v>1.9019978754865864E-4</v>
      </c>
      <c r="D85" s="146">
        <f t="shared" si="18"/>
        <v>1.2589254117941638E-8</v>
      </c>
      <c r="E85" s="145">
        <f t="shared" si="24"/>
        <v>4.7863009232263885E-6</v>
      </c>
      <c r="F85" s="141">
        <v>7.9</v>
      </c>
      <c r="H85" s="142">
        <f t="shared" si="25"/>
        <v>9.0348580006215009E-5</v>
      </c>
      <c r="I85" s="142">
        <f t="shared" si="26"/>
        <v>-1.9514349997979053E-4</v>
      </c>
      <c r="J85" s="142">
        <f t="shared" si="27"/>
        <v>4.6459717706988291E-9</v>
      </c>
      <c r="K85" s="142">
        <f t="shared" si="28"/>
        <v>-2.7994748270654302E-6</v>
      </c>
      <c r="L85" s="142">
        <f t="shared" si="29"/>
        <v>1.0759904077241165E-4</v>
      </c>
      <c r="N85" s="144">
        <f t="shared" si="31"/>
        <v>3699.9137510487149</v>
      </c>
      <c r="O85" s="142">
        <f t="shared" si="32"/>
        <v>2.7027657055966696E-4</v>
      </c>
      <c r="P85" s="398">
        <f t="shared" si="30"/>
        <v>0.16881134410483797</v>
      </c>
      <c r="Q85" s="514">
        <f t="shared" si="19"/>
        <v>8.2563357714463964E-3</v>
      </c>
      <c r="R85" s="142">
        <f t="shared" si="20"/>
        <v>1390256.0272592693</v>
      </c>
    </row>
    <row r="86" spans="1:18" s="146" customFormat="1" x14ac:dyDescent="0.15">
      <c r="A86" s="145">
        <f t="shared" si="21"/>
        <v>1.4135701854415529E-5</v>
      </c>
      <c r="B86" s="145">
        <f t="shared" si="22"/>
        <v>1.9512700408952967E-3</v>
      </c>
      <c r="C86" s="145">
        <f t="shared" si="23"/>
        <v>2.3459425725028796E-4</v>
      </c>
      <c r="D86" s="146">
        <f t="shared" si="18"/>
        <v>1E-8</v>
      </c>
      <c r="E86" s="145">
        <f t="shared" si="24"/>
        <v>6.025595860743557E-6</v>
      </c>
      <c r="F86" s="141">
        <v>8</v>
      </c>
      <c r="H86" s="142">
        <f t="shared" si="25"/>
        <v>4.9982347147352378E-5</v>
      </c>
      <c r="I86" s="142">
        <f t="shared" si="26"/>
        <v>-1.0635456057653188E-4</v>
      </c>
      <c r="J86" s="142">
        <f t="shared" si="27"/>
        <v>2.0567176527571915E-9</v>
      </c>
      <c r="K86" s="142">
        <f t="shared" si="28"/>
        <v>-1.5601798895482617E-6</v>
      </c>
      <c r="L86" s="142">
        <f t="shared" si="29"/>
        <v>5.7934450036380521E-5</v>
      </c>
      <c r="N86" s="144">
        <f t="shared" si="31"/>
        <v>6871.6829158385344</v>
      </c>
      <c r="O86" s="142">
        <f t="shared" si="32"/>
        <v>1.4552475896335395E-4</v>
      </c>
      <c r="P86" s="398">
        <f t="shared" si="30"/>
        <v>0.24399475347636634</v>
      </c>
      <c r="Q86" s="514">
        <f t="shared" si="19"/>
        <v>6.4253190247343314E-3</v>
      </c>
      <c r="R86" s="142">
        <f t="shared" si="20"/>
        <v>1786435.8991582152</v>
      </c>
    </row>
    <row r="87" spans="1:18" s="146" customFormat="1" x14ac:dyDescent="0.15">
      <c r="A87" s="147">
        <f t="shared" si="21"/>
        <v>1.0940768713502265E-5</v>
      </c>
      <c r="B87" s="147">
        <f t="shared" si="22"/>
        <v>1.9012876937479443E-3</v>
      </c>
      <c r="C87" s="147">
        <f t="shared" si="23"/>
        <v>2.877715375385539E-4</v>
      </c>
      <c r="D87" s="140">
        <f t="shared" si="18"/>
        <v>7.9432823472428087E-9</v>
      </c>
      <c r="E87" s="147">
        <f t="shared" si="24"/>
        <v>7.5857757502918187E-6</v>
      </c>
      <c r="F87" s="140">
        <v>8.1</v>
      </c>
      <c r="G87" s="147">
        <f>2*($A$87-A87)</f>
        <v>0</v>
      </c>
      <c r="H87" s="142">
        <f t="shared" si="25"/>
        <v>0</v>
      </c>
      <c r="I87" s="142">
        <f t="shared" si="26"/>
        <v>0</v>
      </c>
      <c r="J87" s="142">
        <f t="shared" si="27"/>
        <v>0</v>
      </c>
      <c r="K87" s="142">
        <f t="shared" si="28"/>
        <v>0</v>
      </c>
      <c r="L87" s="142">
        <f t="shared" si="29"/>
        <v>0</v>
      </c>
      <c r="M87" s="140"/>
      <c r="N87" s="144" t="e">
        <f t="shared" si="31"/>
        <v>#DIV/0!</v>
      </c>
      <c r="O87" s="142">
        <v>0</v>
      </c>
      <c r="P87" s="398" t="e">
        <f t="shared" si="30"/>
        <v>#DIV/0!</v>
      </c>
      <c r="Q87" s="514">
        <f t="shared" si="19"/>
        <v>4.9730766879555743E-3</v>
      </c>
      <c r="R87" s="142">
        <f t="shared" si="20"/>
        <v>2308112.5205910355</v>
      </c>
    </row>
    <row r="88" spans="1:18" s="146" customFormat="1" x14ac:dyDescent="0.15">
      <c r="A88" s="145">
        <f t="shared" si="21"/>
        <v>8.4141892058832465E-6</v>
      </c>
      <c r="B88" s="145">
        <f t="shared" si="22"/>
        <v>1.8408240241281877E-3</v>
      </c>
      <c r="C88" s="145">
        <f t="shared" si="23"/>
        <v>3.5076178666592896E-4</v>
      </c>
      <c r="D88" s="146">
        <f t="shared" si="18"/>
        <v>6.3095734448019329E-9</v>
      </c>
      <c r="E88" s="145">
        <f t="shared" si="24"/>
        <v>9.5499258602143265E-6</v>
      </c>
      <c r="F88" s="141">
        <v>8.1999999999999993</v>
      </c>
      <c r="G88" s="145">
        <f>2*($A$87-A88)</f>
        <v>5.0531590152380368E-6</v>
      </c>
      <c r="H88" s="142">
        <f t="shared" si="25"/>
        <v>-6.0463669619756528E-5</v>
      </c>
      <c r="I88" s="145"/>
      <c r="J88" s="142">
        <f t="shared" si="27"/>
        <v>-1.6337089024408758E-9</v>
      </c>
      <c r="K88" s="142">
        <f t="shared" si="28"/>
        <v>1.9641501099225078E-6</v>
      </c>
      <c r="L88" s="142">
        <f t="shared" si="29"/>
        <v>5.849788580093158E-5</v>
      </c>
      <c r="N88" s="145"/>
      <c r="O88" s="145"/>
      <c r="P88" s="398">
        <f t="shared" si="30"/>
        <v>0.14383749242693572</v>
      </c>
      <c r="Q88" s="514">
        <f t="shared" si="19"/>
        <v>3.8246314572196573E-3</v>
      </c>
      <c r="R88" s="142">
        <f t="shared" si="20"/>
        <v>3001183.4336775495</v>
      </c>
    </row>
    <row r="89" spans="1:18" s="146" customFormat="1" x14ac:dyDescent="0.15">
      <c r="A89" s="145">
        <f t="shared" si="21"/>
        <v>6.4235036674791253E-6</v>
      </c>
      <c r="B89" s="145">
        <f t="shared" si="22"/>
        <v>1.7691798176968981E-3</v>
      </c>
      <c r="C89" s="145">
        <f t="shared" si="23"/>
        <v>4.2439667863562296E-4</v>
      </c>
      <c r="D89" s="146">
        <f t="shared" si="18"/>
        <v>5.0118723362727114E-9</v>
      </c>
      <c r="E89" s="145">
        <f t="shared" si="24"/>
        <v>1.2022644346174118E-5</v>
      </c>
      <c r="F89" s="141">
        <v>8.3000000000000007</v>
      </c>
      <c r="G89" s="145">
        <f t="shared" ref="G89:G146" si="33">2*($A$87-A89)</f>
        <v>9.0345300920462793E-6</v>
      </c>
      <c r="H89" s="142">
        <f t="shared" si="25"/>
        <v>-1.3210787605104617E-4</v>
      </c>
      <c r="I89" s="145"/>
      <c r="J89" s="142">
        <f t="shared" si="27"/>
        <v>-2.9314100109700973E-9</v>
      </c>
      <c r="K89" s="142">
        <f t="shared" si="28"/>
        <v>4.4368685958822995E-6</v>
      </c>
      <c r="L89" s="142">
        <f t="shared" si="29"/>
        <v>1.2766807604515289E-4</v>
      </c>
      <c r="N89" s="145"/>
      <c r="O89" s="145"/>
      <c r="P89" s="398">
        <f t="shared" si="30"/>
        <v>5.0314094693549687E-2</v>
      </c>
      <c r="Q89" s="514">
        <f t="shared" si="19"/>
        <v>2.9197743943086933E-3</v>
      </c>
      <c r="R89" s="142">
        <f t="shared" si="20"/>
        <v>3931269.6870359993</v>
      </c>
    </row>
    <row r="90" spans="1:18" s="146" customFormat="1" x14ac:dyDescent="0.15">
      <c r="A90" s="145">
        <f t="shared" si="21"/>
        <v>4.862418904101922E-6</v>
      </c>
      <c r="B90" s="145">
        <f t="shared" si="22"/>
        <v>1.6859798163891488E-3</v>
      </c>
      <c r="C90" s="145">
        <f t="shared" si="23"/>
        <v>5.091577647067493E-4</v>
      </c>
      <c r="D90" s="146">
        <f t="shared" si="18"/>
        <v>3.9810717055349665E-9</v>
      </c>
      <c r="E90" s="145">
        <f t="shared" si="24"/>
        <v>1.5135612484362051E-5</v>
      </c>
      <c r="F90" s="141">
        <v>8.4</v>
      </c>
      <c r="G90" s="145">
        <f t="shared" si="33"/>
        <v>1.2156699618800686E-5</v>
      </c>
      <c r="H90" s="142">
        <f t="shared" si="25"/>
        <v>-2.1530787735879551E-4</v>
      </c>
      <c r="I90" s="145"/>
      <c r="J90" s="142">
        <f t="shared" si="27"/>
        <v>-3.9622106417078422E-9</v>
      </c>
      <c r="K90" s="142">
        <f t="shared" si="28"/>
        <v>7.5498367340702323E-6</v>
      </c>
      <c r="L90" s="142">
        <f t="shared" si="29"/>
        <v>2.0775407841408359E-4</v>
      </c>
      <c r="N90" s="145"/>
      <c r="O90" s="145"/>
      <c r="P90" s="398">
        <f t="shared" si="30"/>
        <v>2.3404685680395769E-2</v>
      </c>
      <c r="Q90" s="514">
        <f t="shared" si="19"/>
        <v>2.2101904109554189E-3</v>
      </c>
      <c r="R90" s="142">
        <f t="shared" si="20"/>
        <v>5193408.0034162216</v>
      </c>
    </row>
    <row r="91" spans="1:18" s="146" customFormat="1" x14ac:dyDescent="0.15">
      <c r="A91" s="145">
        <f t="shared" si="21"/>
        <v>3.6455557214278915E-6</v>
      </c>
      <c r="B91" s="145">
        <f t="shared" si="22"/>
        <v>1.5913427897169914E-3</v>
      </c>
      <c r="C91" s="145">
        <f t="shared" si="23"/>
        <v>6.0501165456158096E-4</v>
      </c>
      <c r="D91" s="146">
        <f t="shared" si="18"/>
        <v>3.1622776601683779E-9</v>
      </c>
      <c r="E91" s="145">
        <f t="shared" si="24"/>
        <v>1.9054607179632416E-5</v>
      </c>
      <c r="F91" s="141">
        <v>8.5</v>
      </c>
      <c r="G91" s="145">
        <f t="shared" si="33"/>
        <v>1.4590425984148747E-5</v>
      </c>
      <c r="H91" s="142">
        <f t="shared" si="25"/>
        <v>-3.0994490403095289E-4</v>
      </c>
      <c r="I91" s="145"/>
      <c r="J91" s="142">
        <f t="shared" si="27"/>
        <v>-4.7810046870744309E-9</v>
      </c>
      <c r="K91" s="142">
        <f t="shared" si="28"/>
        <v>1.1468831429340597E-5</v>
      </c>
      <c r="L91" s="142">
        <f t="shared" si="29"/>
        <v>2.9847129159692523E-4</v>
      </c>
      <c r="N91" s="145"/>
      <c r="O91" s="145"/>
      <c r="P91" s="398">
        <f t="shared" si="30"/>
        <v>1.2214091686751178E-2</v>
      </c>
      <c r="Q91" s="514">
        <f t="shared" si="19"/>
        <v>1.6570707824672232E-3</v>
      </c>
      <c r="R91" s="142">
        <f t="shared" si="20"/>
        <v>6926934.3776850421</v>
      </c>
    </row>
    <row r="92" spans="1:18" s="146" customFormat="1" x14ac:dyDescent="0.15">
      <c r="A92" s="145">
        <f t="shared" si="21"/>
        <v>2.7041389092563821E-6</v>
      </c>
      <c r="B92" s="145">
        <f t="shared" si="22"/>
        <v>1.4860348592251511E-3</v>
      </c>
      <c r="C92" s="145">
        <f t="shared" si="23"/>
        <v>7.1126100186559267E-4</v>
      </c>
      <c r="D92" s="146">
        <f t="shared" si="18"/>
        <v>2.5118864315095812E-9</v>
      </c>
      <c r="E92" s="145">
        <f t="shared" si="24"/>
        <v>2.3988329190194812E-5</v>
      </c>
      <c r="F92" s="141">
        <v>8.6</v>
      </c>
      <c r="G92" s="145">
        <f t="shared" si="33"/>
        <v>1.6473259608491764E-5</v>
      </c>
      <c r="H92" s="142">
        <f t="shared" si="25"/>
        <v>-4.1525283452279317E-4</v>
      </c>
      <c r="I92" s="145"/>
      <c r="J92" s="142">
        <f t="shared" si="27"/>
        <v>-5.431395915733228E-9</v>
      </c>
      <c r="K92" s="142">
        <f t="shared" si="28"/>
        <v>1.6402553439902993E-5</v>
      </c>
      <c r="L92" s="142">
        <f t="shared" si="29"/>
        <v>3.988448496869744E-4</v>
      </c>
      <c r="N92" s="145"/>
      <c r="O92" s="145"/>
      <c r="P92" s="398">
        <f t="shared" si="30"/>
        <v>6.7799268597267155E-3</v>
      </c>
      <c r="Q92" s="514">
        <f t="shared" si="19"/>
        <v>1.2291540496619918E-3</v>
      </c>
      <c r="R92" s="142">
        <f t="shared" si="20"/>
        <v>9338471.912846189</v>
      </c>
    </row>
    <row r="93" spans="1:18" s="146" customFormat="1" x14ac:dyDescent="0.15">
      <c r="A93" s="145">
        <f t="shared" si="21"/>
        <v>1.9825171644743584E-6</v>
      </c>
      <c r="B93" s="145">
        <f t="shared" si="22"/>
        <v>1.3715667747617468E-3</v>
      </c>
      <c r="C93" s="145">
        <f t="shared" si="23"/>
        <v>8.2645070807377881E-4</v>
      </c>
      <c r="D93" s="146">
        <f t="shared" si="18"/>
        <v>1.9952623149688824E-9</v>
      </c>
      <c r="E93" s="145">
        <f t="shared" si="24"/>
        <v>3.0199517204020019E-5</v>
      </c>
      <c r="F93" s="141">
        <v>8.6999999999999993</v>
      </c>
      <c r="G93" s="145">
        <f t="shared" si="33"/>
        <v>1.7916503098055812E-5</v>
      </c>
      <c r="H93" s="142">
        <f t="shared" si="25"/>
        <v>-5.2972091898619749E-4</v>
      </c>
      <c r="I93" s="145"/>
      <c r="J93" s="142">
        <f t="shared" si="27"/>
        <v>-5.9480200322739268E-9</v>
      </c>
      <c r="K93" s="142">
        <f t="shared" si="28"/>
        <v>2.26137414537282E-5</v>
      </c>
      <c r="L93" s="142">
        <f t="shared" si="29"/>
        <v>5.0710122951243709E-4</v>
      </c>
      <c r="N93" s="145"/>
      <c r="O93" s="145"/>
      <c r="P93" s="398">
        <f t="shared" si="30"/>
        <v>3.9095096779404193E-3</v>
      </c>
      <c r="Q93" s="514">
        <f t="shared" si="19"/>
        <v>9.0114416567016291E-4</v>
      </c>
      <c r="R93" s="142">
        <f t="shared" si="20"/>
        <v>12737607.373614173</v>
      </c>
    </row>
    <row r="94" spans="1:18" s="146" customFormat="1" x14ac:dyDescent="0.15">
      <c r="A94" s="145">
        <f t="shared" si="21"/>
        <v>1.4354157163059531E-6</v>
      </c>
      <c r="B94" s="145">
        <f t="shared" si="22"/>
        <v>1.2501948253532144E-3</v>
      </c>
      <c r="C94" s="145">
        <f t="shared" si="23"/>
        <v>9.4836975893047978E-4</v>
      </c>
      <c r="D94" s="146">
        <f t="shared" si="18"/>
        <v>1.584893192461106E-9</v>
      </c>
      <c r="E94" s="145">
        <f t="shared" si="24"/>
        <v>3.8018939632056239E-5</v>
      </c>
      <c r="F94" s="141">
        <v>8.8000000000000007</v>
      </c>
      <c r="G94" s="145">
        <f t="shared" si="33"/>
        <v>1.9010705994392622E-5</v>
      </c>
      <c r="H94" s="142">
        <f t="shared" si="25"/>
        <v>-6.5109286839472986E-4</v>
      </c>
      <c r="I94" s="145"/>
      <c r="J94" s="142">
        <f t="shared" si="27"/>
        <v>-6.3583891547817025E-9</v>
      </c>
      <c r="K94" s="142">
        <f t="shared" si="28"/>
        <v>3.0433163881764419E-5</v>
      </c>
      <c r="L94" s="142">
        <f t="shared" si="29"/>
        <v>6.2065334612381058E-4</v>
      </c>
      <c r="N94" s="145"/>
      <c r="O94" s="145"/>
      <c r="P94" s="398">
        <f t="shared" si="30"/>
        <v>2.3127495006199645E-3</v>
      </c>
      <c r="Q94" s="514">
        <f t="shared" si="19"/>
        <v>6.5246168922997866E-4</v>
      </c>
      <c r="R94" s="142">
        <f t="shared" si="20"/>
        <v>17592482.070290208</v>
      </c>
    </row>
    <row r="95" spans="1:18" s="146" customFormat="1" x14ac:dyDescent="0.15">
      <c r="A95" s="145">
        <f t="shared" si="21"/>
        <v>1.0258290970854542E-6</v>
      </c>
      <c r="B95" s="145">
        <f t="shared" si="22"/>
        <v>1.1247992379234525E-3</v>
      </c>
      <c r="C95" s="145">
        <f t="shared" si="23"/>
        <v>1.0741749329794621E-3</v>
      </c>
      <c r="D95" s="146">
        <f t="shared" si="18"/>
        <v>1.2589254117941623E-9</v>
      </c>
      <c r="E95" s="145">
        <f t="shared" si="24"/>
        <v>4.7863009232263932E-5</v>
      </c>
      <c r="F95" s="141">
        <v>8.9</v>
      </c>
      <c r="G95" s="145">
        <f t="shared" si="33"/>
        <v>1.9829879232833623E-5</v>
      </c>
      <c r="H95" s="142">
        <f t="shared" si="25"/>
        <v>-7.7648845582449174E-4</v>
      </c>
      <c r="I95" s="145"/>
      <c r="J95" s="142">
        <f t="shared" si="27"/>
        <v>-6.6843569354486466E-9</v>
      </c>
      <c r="K95" s="142">
        <f t="shared" si="28"/>
        <v>4.0277233481972113E-5</v>
      </c>
      <c r="L95" s="142">
        <f t="shared" si="29"/>
        <v>7.3620453798558421E-4</v>
      </c>
      <c r="N95" s="145"/>
      <c r="O95" s="145"/>
      <c r="P95" s="398">
        <f t="shared" si="30"/>
        <v>1.3934023007958437E-3</v>
      </c>
      <c r="Q95" s="514">
        <f t="shared" si="19"/>
        <v>4.6628595322066097E-4</v>
      </c>
      <c r="R95" s="142">
        <f t="shared" si="20"/>
        <v>24616698.165680572</v>
      </c>
    </row>
    <row r="96" spans="1:18" s="146" customFormat="1" x14ac:dyDescent="0.15">
      <c r="A96" s="145">
        <f t="shared" si="21"/>
        <v>7.234530929551166E-7</v>
      </c>
      <c r="B96" s="145">
        <f t="shared" si="22"/>
        <v>9.9864326569352839E-4</v>
      </c>
      <c r="C96" s="145">
        <f t="shared" si="23"/>
        <v>1.2006332812135167E-3</v>
      </c>
      <c r="D96" s="146">
        <f t="shared" si="18"/>
        <v>1.0000000000000001E-9</v>
      </c>
      <c r="E96" s="145">
        <f t="shared" si="24"/>
        <v>6.0255958607435637E-5</v>
      </c>
      <c r="F96" s="141">
        <v>9</v>
      </c>
      <c r="G96" s="145">
        <f t="shared" si="33"/>
        <v>2.0434631241094295E-5</v>
      </c>
      <c r="H96" s="142">
        <f t="shared" si="25"/>
        <v>-9.0264442805441589E-4</v>
      </c>
      <c r="I96" s="145"/>
      <c r="J96" s="142">
        <f t="shared" si="27"/>
        <v>-6.9432823472428089E-9</v>
      </c>
      <c r="K96" s="142">
        <f t="shared" si="28"/>
        <v>5.2670182857143817E-5</v>
      </c>
      <c r="L96" s="142">
        <f t="shared" si="29"/>
        <v>8.4996730191492478E-4</v>
      </c>
      <c r="N96" s="145"/>
      <c r="O96" s="145"/>
      <c r="P96" s="398">
        <f t="shared" si="30"/>
        <v>8.5115402830817212E-4</v>
      </c>
      <c r="Q96" s="514">
        <f t="shared" si="19"/>
        <v>3.2884231497959843E-4</v>
      </c>
      <c r="R96" s="142">
        <f t="shared" si="20"/>
        <v>34905546.051887482</v>
      </c>
    </row>
    <row r="97" spans="1:18" s="146" customFormat="1" x14ac:dyDescent="0.15">
      <c r="A97" s="145">
        <f t="shared" si="21"/>
        <v>5.0353979081413011E-7</v>
      </c>
      <c r="B97" s="145">
        <f t="shared" si="22"/>
        <v>8.7505186578508182E-4</v>
      </c>
      <c r="C97" s="145">
        <f t="shared" si="23"/>
        <v>1.3244445944241043E-3</v>
      </c>
      <c r="D97" s="146">
        <f t="shared" si="18"/>
        <v>7.9432823472428E-10</v>
      </c>
      <c r="E97" s="145">
        <f t="shared" si="24"/>
        <v>7.5857757502918399E-5</v>
      </c>
      <c r="F97" s="141">
        <v>9.1</v>
      </c>
      <c r="G97" s="145">
        <f t="shared" si="33"/>
        <v>2.087445784537627E-5</v>
      </c>
      <c r="H97" s="142">
        <f t="shared" si="25"/>
        <v>-1.0262358279628625E-3</v>
      </c>
      <c r="I97" s="145"/>
      <c r="J97" s="142">
        <f t="shared" si="27"/>
        <v>-7.1489541125185285E-9</v>
      </c>
      <c r="K97" s="142">
        <f t="shared" si="28"/>
        <v>6.8271981752626579E-5</v>
      </c>
      <c r="L97" s="142">
        <f t="shared" si="29"/>
        <v>9.5795669725612332E-4</v>
      </c>
      <c r="N97" s="145"/>
      <c r="O97" s="145"/>
      <c r="P97" s="398">
        <f t="shared" si="30"/>
        <v>5.256394075602998E-4</v>
      </c>
      <c r="Q97" s="514">
        <f t="shared" si="19"/>
        <v>2.2888172309733186E-4</v>
      </c>
      <c r="R97" s="142">
        <f t="shared" si="20"/>
        <v>50150009.419705682</v>
      </c>
    </row>
    <row r="98" spans="1:18" s="146" customFormat="1" x14ac:dyDescent="0.15">
      <c r="A98" s="145">
        <f t="shared" si="21"/>
        <v>3.4605039930018871E-7</v>
      </c>
      <c r="B98" s="145">
        <f t="shared" si="22"/>
        <v>7.5707578354137074E-4</v>
      </c>
      <c r="C98" s="145">
        <f t="shared" si="23"/>
        <v>1.4425781660593294E-3</v>
      </c>
      <c r="D98" s="146">
        <f t="shared" si="18"/>
        <v>6.309573444801927E-10</v>
      </c>
      <c r="E98" s="145">
        <f t="shared" si="24"/>
        <v>9.5499258602143526E-5</v>
      </c>
      <c r="F98" s="141">
        <v>9.1999999999999993</v>
      </c>
      <c r="G98" s="145">
        <f t="shared" si="33"/>
        <v>2.1189436628404151E-5</v>
      </c>
      <c r="H98" s="142">
        <f t="shared" si="25"/>
        <v>-1.1442119102065735E-3</v>
      </c>
      <c r="I98" s="145"/>
      <c r="J98" s="142">
        <f t="shared" si="27"/>
        <v>-7.3123250027626159E-9</v>
      </c>
      <c r="K98" s="142">
        <f t="shared" si="28"/>
        <v>8.7913482851851706E-5</v>
      </c>
      <c r="L98" s="142">
        <f t="shared" si="29"/>
        <v>1.0562911150297193E-3</v>
      </c>
      <c r="N98" s="145"/>
      <c r="O98" s="145"/>
      <c r="P98" s="398">
        <f t="shared" si="30"/>
        <v>3.2760892747872106E-4</v>
      </c>
      <c r="Q98" s="514">
        <f t="shared" si="19"/>
        <v>1.5729563604554032E-4</v>
      </c>
      <c r="R98" s="142">
        <f t="shared" si="20"/>
        <v>72973547.505198568</v>
      </c>
    </row>
    <row r="99" spans="1:18" s="146" customFormat="1" x14ac:dyDescent="0.15">
      <c r="A99" s="145">
        <f t="shared" si="21"/>
        <v>2.3498842702266509E-7</v>
      </c>
      <c r="B99" s="145">
        <f t="shared" si="22"/>
        <v>6.472118706581109E-4</v>
      </c>
      <c r="C99" s="145">
        <f t="shared" si="23"/>
        <v>1.5525531409148667E-3</v>
      </c>
      <c r="D99" s="146">
        <f t="shared" si="18"/>
        <v>5.011872336272705E-10</v>
      </c>
      <c r="E99" s="145">
        <f t="shared" si="24"/>
        <v>1.202264434617413E-4</v>
      </c>
      <c r="F99" s="141">
        <v>9.3000000000000007</v>
      </c>
      <c r="G99" s="145">
        <f t="shared" si="33"/>
        <v>2.1411560572959199E-5</v>
      </c>
      <c r="H99" s="142">
        <f t="shared" si="25"/>
        <v>-1.2540758230898334E-3</v>
      </c>
      <c r="I99" s="145"/>
      <c r="J99" s="142">
        <f t="shared" si="27"/>
        <v>-7.4420951136155379E-9</v>
      </c>
      <c r="K99" s="142">
        <f t="shared" si="28"/>
        <v>1.1264066771144948E-4</v>
      </c>
      <c r="L99" s="142">
        <f t="shared" si="29"/>
        <v>1.1414277132832703E-3</v>
      </c>
      <c r="N99" s="145"/>
      <c r="O99" s="145"/>
      <c r="P99" s="398">
        <f t="shared" si="30"/>
        <v>2.0587236869055024E-4</v>
      </c>
      <c r="Q99" s="514">
        <f t="shared" si="19"/>
        <v>1.0681292137393867E-4</v>
      </c>
      <c r="R99" s="142">
        <f t="shared" si="20"/>
        <v>107462846.45792195</v>
      </c>
    </row>
    <row r="100" spans="1:18" s="146" customFormat="1" x14ac:dyDescent="0.15">
      <c r="A100" s="145">
        <f t="shared" si="21"/>
        <v>1.5782314269507175E-7</v>
      </c>
      <c r="B100" s="145">
        <f t="shared" si="22"/>
        <v>5.4723099426609654E-4</v>
      </c>
      <c r="C100" s="145">
        <f t="shared" si="23"/>
        <v>1.6526111825912084E-3</v>
      </c>
      <c r="D100" s="146">
        <f t="shared" si="18"/>
        <v>3.9810717055349621E-10</v>
      </c>
      <c r="E100" s="145">
        <f t="shared" si="24"/>
        <v>1.5135612484362069E-4</v>
      </c>
      <c r="F100" s="141">
        <v>9.4</v>
      </c>
      <c r="G100" s="145">
        <f t="shared" si="33"/>
        <v>2.1565891141614386E-5</v>
      </c>
      <c r="H100" s="142">
        <f t="shared" si="25"/>
        <v>-1.3540566994818476E-3</v>
      </c>
      <c r="I100" s="145"/>
      <c r="J100" s="142">
        <f t="shared" si="27"/>
        <v>-7.5451751766893128E-9</v>
      </c>
      <c r="K100" s="142">
        <f t="shared" si="28"/>
        <v>1.4377034909332888E-4</v>
      </c>
      <c r="L100" s="142">
        <f t="shared" si="29"/>
        <v>1.2102788052133419E-3</v>
      </c>
      <c r="N100" s="145"/>
      <c r="O100" s="145"/>
      <c r="P100" s="398">
        <f t="shared" si="30"/>
        <v>1.304023023581343E-4</v>
      </c>
      <c r="Q100" s="514">
        <f t="shared" si="19"/>
        <v>7.1737792134123521E-5</v>
      </c>
      <c r="R100" s="142">
        <f t="shared" si="20"/>
        <v>160005211.03115633</v>
      </c>
    </row>
    <row r="101" spans="1:18" s="146" customFormat="1" x14ac:dyDescent="0.15">
      <c r="A101" s="145">
        <f t="shared" si="21"/>
        <v>1.0495168040560005E-7</v>
      </c>
      <c r="B101" s="145">
        <f t="shared" si="22"/>
        <v>4.581307011725437E-4</v>
      </c>
      <c r="C101" s="145">
        <f t="shared" si="23"/>
        <v>1.7417643471470507E-3</v>
      </c>
      <c r="D101" s="146">
        <f t="shared" si="18"/>
        <v>3.1622776601683744E-10</v>
      </c>
      <c r="E101" s="145">
        <f t="shared" si="24"/>
        <v>1.9054607179632438E-4</v>
      </c>
      <c r="F101" s="141">
        <v>9.5</v>
      </c>
      <c r="G101" s="145">
        <f t="shared" si="33"/>
        <v>2.1671634066193328E-5</v>
      </c>
      <c r="H101" s="142">
        <f t="shared" si="25"/>
        <v>-1.4431569925754005E-3</v>
      </c>
      <c r="I101" s="145"/>
      <c r="J101" s="142">
        <f t="shared" si="27"/>
        <v>-7.6270545812259716E-9</v>
      </c>
      <c r="K101" s="142">
        <f t="shared" si="28"/>
        <v>1.8296029604603257E-4</v>
      </c>
      <c r="L101" s="142">
        <f t="shared" si="29"/>
        <v>1.2601890694747867E-3</v>
      </c>
      <c r="N101" s="145"/>
      <c r="O101" s="145"/>
      <c r="P101" s="398">
        <f t="shared" si="30"/>
        <v>8.3282487483676655E-5</v>
      </c>
      <c r="Q101" s="514">
        <f t="shared" si="19"/>
        <v>4.7705309275272748E-5</v>
      </c>
      <c r="R101" s="142">
        <f t="shared" si="20"/>
        <v>240610966.44602004</v>
      </c>
    </row>
    <row r="102" spans="1:18" s="146" customFormat="1" x14ac:dyDescent="0.15">
      <c r="A102" s="145">
        <f t="shared" si="21"/>
        <v>6.918437266217189E-8</v>
      </c>
      <c r="B102" s="145">
        <f t="shared" si="22"/>
        <v>3.8019640610061415E-4</v>
      </c>
      <c r="C102" s="145">
        <f t="shared" si="23"/>
        <v>1.8197344095267237E-3</v>
      </c>
      <c r="D102" s="146">
        <f t="shared" si="18"/>
        <v>2.5118864315095784E-10</v>
      </c>
      <c r="E102" s="145">
        <f t="shared" si="24"/>
        <v>2.3988329190194837E-4</v>
      </c>
      <c r="F102" s="141">
        <v>9.6</v>
      </c>
      <c r="G102" s="145">
        <f t="shared" si="33"/>
        <v>2.1743168681680188E-5</v>
      </c>
      <c r="H102" s="142">
        <f t="shared" si="25"/>
        <v>-1.52109128764733E-3</v>
      </c>
      <c r="I102" s="145"/>
      <c r="J102" s="142">
        <f t="shared" si="27"/>
        <v>-7.6920937040918511E-9</v>
      </c>
      <c r="K102" s="142">
        <f t="shared" si="28"/>
        <v>2.3229751615165656E-4</v>
      </c>
      <c r="L102" s="142">
        <f t="shared" si="29"/>
        <v>1.2887860794019693E-3</v>
      </c>
      <c r="N102" s="145"/>
      <c r="O102" s="145"/>
      <c r="P102" s="398">
        <f t="shared" si="30"/>
        <v>5.3681812496202056E-5</v>
      </c>
      <c r="Q102" s="514">
        <f t="shared" ref="Q102:Q133" si="34">A102/DIC_concentration</f>
        <v>3.144744211916904E-5</v>
      </c>
      <c r="R102" s="142">
        <f t="shared" ref="R102:R133" si="35">1/(molar_mass*mc_efficiency*A102)</f>
        <v>365003313.33253008</v>
      </c>
    </row>
    <row r="103" spans="1:18" s="146" customFormat="1" x14ac:dyDescent="0.15">
      <c r="A103" s="145">
        <f t="shared" si="21"/>
        <v>4.5261670834071887E-8</v>
      </c>
      <c r="B103" s="145">
        <f t="shared" si="22"/>
        <v>3.1313425678549165E-4</v>
      </c>
      <c r="C103" s="145">
        <f t="shared" si="23"/>
        <v>1.8868204815436743E-3</v>
      </c>
      <c r="D103" s="146">
        <f t="shared" si="18"/>
        <v>1.9952623149688802E-10</v>
      </c>
      <c r="E103" s="145">
        <f t="shared" si="24"/>
        <v>3.019951720402005E-4</v>
      </c>
      <c r="F103" s="141">
        <v>9.6999999999999993</v>
      </c>
      <c r="G103" s="145">
        <f t="shared" si="33"/>
        <v>2.1791014085336388E-5</v>
      </c>
      <c r="H103" s="142">
        <f t="shared" si="25"/>
        <v>-1.5881534369624527E-3</v>
      </c>
      <c r="I103" s="145"/>
      <c r="J103" s="142">
        <f t="shared" si="27"/>
        <v>-7.7437561157459204E-9</v>
      </c>
      <c r="K103" s="142">
        <f t="shared" si="28"/>
        <v>2.9440939628990869E-4</v>
      </c>
      <c r="L103" s="142">
        <f t="shared" si="29"/>
        <v>1.2937362969164283E-3</v>
      </c>
      <c r="N103" s="145"/>
      <c r="O103" s="145"/>
      <c r="P103" s="398">
        <f t="shared" si="30"/>
        <v>3.4985236900248819E-5</v>
      </c>
      <c r="Q103" s="514">
        <f t="shared" si="34"/>
        <v>2.0573486742759946E-5</v>
      </c>
      <c r="R103" s="142">
        <f t="shared" si="35"/>
        <v>557922957.48648691</v>
      </c>
    </row>
    <row r="104" spans="1:18" s="146" customFormat="1" x14ac:dyDescent="0.15">
      <c r="A104" s="145">
        <f t="shared" si="21"/>
        <v>2.9419638510157709E-8</v>
      </c>
      <c r="B104" s="145">
        <f t="shared" si="22"/>
        <v>2.5623433972017109E-4</v>
      </c>
      <c r="C104" s="145">
        <f t="shared" si="23"/>
        <v>1.9437362406413187E-3</v>
      </c>
      <c r="D104" s="146">
        <f t="shared" si="18"/>
        <v>1.5848931924611098E-10</v>
      </c>
      <c r="E104" s="145">
        <f t="shared" si="24"/>
        <v>3.8018939632056113E-4</v>
      </c>
      <c r="F104" s="141">
        <v>9.8000000000000007</v>
      </c>
      <c r="G104" s="145">
        <f t="shared" si="33"/>
        <v>2.1822698149984214E-5</v>
      </c>
      <c r="H104" s="142">
        <f t="shared" si="25"/>
        <v>-1.6450533540277733E-3</v>
      </c>
      <c r="I104" s="145"/>
      <c r="J104" s="142">
        <f t="shared" si="27"/>
        <v>-7.7847930279966972E-9</v>
      </c>
      <c r="K104" s="142">
        <f t="shared" si="28"/>
        <v>3.7260362057026932E-4</v>
      </c>
      <c r="L104" s="142">
        <f t="shared" si="29"/>
        <v>1.272441948664476E-3</v>
      </c>
      <c r="N104" s="145"/>
      <c r="O104" s="145"/>
      <c r="P104" s="398">
        <f t="shared" si="30"/>
        <v>2.31206135109235E-5</v>
      </c>
      <c r="Q104" s="514">
        <f t="shared" si="34"/>
        <v>1.3372562959162594E-5</v>
      </c>
      <c r="R104" s="142">
        <f t="shared" si="35"/>
        <v>858356068.64463425</v>
      </c>
    </row>
    <row r="105" spans="1:18" s="146" customFormat="1" x14ac:dyDescent="0.15">
      <c r="A105" s="145">
        <f t="shared" si="21"/>
        <v>1.9018204756685863E-8</v>
      </c>
      <c r="B105" s="145">
        <f t="shared" si="22"/>
        <v>2.0853046845492626E-4</v>
      </c>
      <c r="C105" s="145">
        <f t="shared" si="23"/>
        <v>1.9914505133403174E-3</v>
      </c>
      <c r="D105" s="146">
        <f t="shared" si="18"/>
        <v>1.2589254117941656E-10</v>
      </c>
      <c r="E105" s="145">
        <f t="shared" si="24"/>
        <v>4.7863009232263772E-4</v>
      </c>
      <c r="F105" s="141">
        <v>9.9</v>
      </c>
      <c r="G105" s="145">
        <f t="shared" si="33"/>
        <v>2.1843501017491157E-5</v>
      </c>
      <c r="H105" s="142">
        <f t="shared" si="25"/>
        <v>-1.692757225293018E-3</v>
      </c>
      <c r="I105" s="145"/>
      <c r="J105" s="142">
        <f t="shared" si="27"/>
        <v>-7.8173898060633927E-9</v>
      </c>
      <c r="K105" s="142">
        <f t="shared" si="28"/>
        <v>4.7104431657234592E-4</v>
      </c>
      <c r="L105" s="142">
        <f t="shared" si="29"/>
        <v>1.2217050913308661E-3</v>
      </c>
      <c r="N105" s="145"/>
      <c r="O105" s="145"/>
      <c r="P105" s="398">
        <f t="shared" si="30"/>
        <v>1.5566935827343044E-5</v>
      </c>
      <c r="Q105" s="514">
        <f t="shared" si="34"/>
        <v>8.6446385257663006E-6</v>
      </c>
      <c r="R105" s="142">
        <f t="shared" si="35"/>
        <v>1327808043.6928577</v>
      </c>
    </row>
    <row r="106" spans="1:18" s="146" customFormat="1" x14ac:dyDescent="0.15">
      <c r="A106" s="145">
        <f t="shared" si="21"/>
        <v>1.2238299718050722E-8</v>
      </c>
      <c r="B106" s="145">
        <f t="shared" si="22"/>
        <v>1.6893556356291093E-4</v>
      </c>
      <c r="C106" s="145">
        <f t="shared" si="23"/>
        <v>2.0310521981373713E-3</v>
      </c>
      <c r="D106" s="146">
        <f t="shared" si="18"/>
        <v>1E-10</v>
      </c>
      <c r="E106" s="145">
        <f t="shared" si="24"/>
        <v>6.0255958607435649E-4</v>
      </c>
      <c r="F106" s="141">
        <v>10</v>
      </c>
      <c r="G106" s="145">
        <f t="shared" si="33"/>
        <v>2.185706082756843E-5</v>
      </c>
      <c r="H106" s="142">
        <f t="shared" si="25"/>
        <v>-1.7323521301850333E-3</v>
      </c>
      <c r="I106" s="145"/>
      <c r="J106" s="142">
        <f t="shared" si="27"/>
        <v>-7.8432823472428095E-9</v>
      </c>
      <c r="K106" s="142">
        <f t="shared" si="28"/>
        <v>5.9497381032406463E-4</v>
      </c>
      <c r="L106" s="142">
        <f t="shared" si="29"/>
        <v>1.1373704765786214E-3</v>
      </c>
      <c r="N106" s="145"/>
      <c r="O106" s="145"/>
      <c r="P106" s="398">
        <f t="shared" si="30"/>
        <v>1.0760170032604801E-5</v>
      </c>
      <c r="Q106" s="514">
        <f t="shared" si="34"/>
        <v>5.5628635082048735E-6</v>
      </c>
      <c r="R106" s="142">
        <f t="shared" si="35"/>
        <v>2063401439.2766807</v>
      </c>
    </row>
    <row r="107" spans="1:18" s="146" customFormat="1" x14ac:dyDescent="0.15">
      <c r="A107" s="145">
        <f t="shared" si="21"/>
        <v>7.8457718825249225E-9</v>
      </c>
      <c r="B107" s="145">
        <f t="shared" si="22"/>
        <v>1.363438887963036E-4</v>
      </c>
      <c r="C107" s="145">
        <f t="shared" si="23"/>
        <v>2.0636482654318141E-3</v>
      </c>
      <c r="D107" s="146">
        <f t="shared" si="18"/>
        <v>7.943282347242792E-11</v>
      </c>
      <c r="E107" s="145">
        <f t="shared" si="24"/>
        <v>7.5857757502918483E-4</v>
      </c>
      <c r="F107" s="141">
        <v>10.1</v>
      </c>
      <c r="G107" s="145">
        <f t="shared" si="33"/>
        <v>2.1865845883239479E-5</v>
      </c>
      <c r="H107" s="142">
        <f t="shared" si="25"/>
        <v>-1.7649438049516407E-3</v>
      </c>
      <c r="I107" s="145"/>
      <c r="J107" s="142">
        <f t="shared" si="27"/>
        <v>-7.86384952377038E-9</v>
      </c>
      <c r="K107" s="142">
        <f t="shared" si="28"/>
        <v>7.5099179927889297E-4</v>
      </c>
      <c r="L107" s="142">
        <f t="shared" si="29"/>
        <v>1.0139441418232239E-3</v>
      </c>
      <c r="N107" s="145"/>
      <c r="O107" s="145"/>
      <c r="P107" s="398">
        <f t="shared" si="30"/>
        <v>7.7378738718456885E-6</v>
      </c>
      <c r="Q107" s="514">
        <f t="shared" si="34"/>
        <v>3.5662599466022373E-6</v>
      </c>
      <c r="R107" s="142">
        <f t="shared" si="35"/>
        <v>3218615788.303865</v>
      </c>
    </row>
    <row r="108" spans="1:18" s="146" customFormat="1" x14ac:dyDescent="0.15">
      <c r="A108" s="145">
        <f t="shared" si="21"/>
        <v>5.0142678746227503E-9</v>
      </c>
      <c r="B108" s="145">
        <f t="shared" si="22"/>
        <v>1.0970022828302734E-4</v>
      </c>
      <c r="C108" s="145">
        <f t="shared" si="23"/>
        <v>2.0902947574490982E-3</v>
      </c>
      <c r="D108" s="146">
        <f t="shared" si="18"/>
        <v>6.3095734448019192E-11</v>
      </c>
      <c r="E108" s="145">
        <f t="shared" si="24"/>
        <v>9.5499258602143634E-4</v>
      </c>
      <c r="F108" s="141">
        <v>10.199999999999999</v>
      </c>
      <c r="G108" s="145">
        <f t="shared" si="33"/>
        <v>2.1871508891255285E-5</v>
      </c>
      <c r="H108" s="142">
        <f t="shared" si="25"/>
        <v>-1.7915874654649169E-3</v>
      </c>
      <c r="I108" s="145"/>
      <c r="J108" s="142">
        <f t="shared" si="27"/>
        <v>-7.88018661279479E-9</v>
      </c>
      <c r="K108" s="142">
        <f t="shared" si="28"/>
        <v>9.4740681027114448E-4</v>
      </c>
      <c r="L108" s="142">
        <f t="shared" si="29"/>
        <v>8.441727750071596E-4</v>
      </c>
      <c r="N108" s="145"/>
      <c r="O108" s="145"/>
      <c r="P108" s="398">
        <f t="shared" si="30"/>
        <v>5.9398597337852114E-6</v>
      </c>
      <c r="Q108" s="514">
        <f t="shared" si="34"/>
        <v>2.279212670283068E-6</v>
      </c>
      <c r="R108" s="142">
        <f t="shared" si="35"/>
        <v>5036134064.6215744</v>
      </c>
    </row>
    <row r="109" spans="1:18" s="146" customFormat="1" x14ac:dyDescent="0.15">
      <c r="A109" s="145">
        <f t="shared" si="21"/>
        <v>3.1965745040752546E-9</v>
      </c>
      <c r="B109" s="145">
        <f t="shared" si="22"/>
        <v>8.8040972514830511E-5</v>
      </c>
      <c r="C109" s="145">
        <f t="shared" si="23"/>
        <v>2.1119558309106658E-3</v>
      </c>
      <c r="D109" s="146">
        <f t="shared" si="18"/>
        <v>5.0118723362726993E-11</v>
      </c>
      <c r="E109" s="145">
        <f t="shared" si="24"/>
        <v>1.2022644346174176E-3</v>
      </c>
      <c r="F109" s="141">
        <v>10.3</v>
      </c>
      <c r="G109" s="145">
        <f t="shared" si="33"/>
        <v>2.187514427799638E-5</v>
      </c>
      <c r="H109" s="142">
        <f t="shared" si="25"/>
        <v>-1.8132467212331137E-3</v>
      </c>
      <c r="I109" s="145"/>
      <c r="J109" s="142">
        <f t="shared" si="27"/>
        <v>-7.8931636238800814E-9</v>
      </c>
      <c r="K109" s="142">
        <f t="shared" si="28"/>
        <v>1.1946786588671258E-3</v>
      </c>
      <c r="L109" s="142">
        <f t="shared" si="29"/>
        <v>6.1856016920236402E-4</v>
      </c>
      <c r="N109" s="145"/>
      <c r="O109" s="145"/>
      <c r="P109" s="398">
        <f t="shared" si="30"/>
        <v>5.1677664732232132E-6</v>
      </c>
      <c r="Q109" s="514">
        <f t="shared" si="34"/>
        <v>1.4529884109432974E-6</v>
      </c>
      <c r="R109" s="142">
        <f t="shared" si="35"/>
        <v>7899870696.0626984</v>
      </c>
    </row>
    <row r="110" spans="1:18" s="146" customFormat="1" x14ac:dyDescent="0.15">
      <c r="A110" s="145">
        <f t="shared" si="21"/>
        <v>2.0336415465347846E-9</v>
      </c>
      <c r="B110" s="145">
        <f t="shared" si="22"/>
        <v>7.0513846479488751E-5</v>
      </c>
      <c r="C110" s="145">
        <f t="shared" si="23"/>
        <v>2.1294841198789645E-3</v>
      </c>
      <c r="D110" s="146">
        <f t="shared" si="18"/>
        <v>3.9810717055349579E-11</v>
      </c>
      <c r="E110" s="145">
        <f t="shared" si="24"/>
        <v>1.5135612484362126E-3</v>
      </c>
      <c r="F110" s="141">
        <v>10.4</v>
      </c>
      <c r="G110" s="145">
        <f t="shared" si="33"/>
        <v>2.187747014391146E-5</v>
      </c>
      <c r="H110" s="142">
        <f t="shared" si="25"/>
        <v>-1.8307738472684554E-3</v>
      </c>
      <c r="I110" s="145"/>
      <c r="J110" s="142">
        <f t="shared" si="27"/>
        <v>-7.9034716301874596E-9</v>
      </c>
      <c r="K110" s="142">
        <f t="shared" si="28"/>
        <v>1.5059754726859209E-3</v>
      </c>
      <c r="L110" s="142">
        <f t="shared" si="29"/>
        <v>3.2479047111090434E-4</v>
      </c>
      <c r="N110" s="145"/>
      <c r="O110" s="145"/>
      <c r="P110" s="398">
        <f t="shared" si="30"/>
        <v>6.261395353068621E-6</v>
      </c>
      <c r="Q110" s="514">
        <f t="shared" si="34"/>
        <v>9.2438252115217477E-7</v>
      </c>
      <c r="R110" s="142">
        <f t="shared" si="35"/>
        <v>12417392482.738266</v>
      </c>
    </row>
    <row r="111" spans="1:18" s="146" customFormat="1" x14ac:dyDescent="0.15">
      <c r="A111" s="145">
        <f t="shared" si="21"/>
        <v>1.2916562891255322E-9</v>
      </c>
      <c r="B111" s="145">
        <f t="shared" si="22"/>
        <v>5.6382842001587617E-5</v>
      </c>
      <c r="C111" s="145">
        <f t="shared" si="23"/>
        <v>2.1436158663421232E-3</v>
      </c>
      <c r="D111" s="146">
        <f t="shared" si="18"/>
        <v>3.162277660168371E-11</v>
      </c>
      <c r="E111" s="145">
        <f t="shared" si="24"/>
        <v>1.905460717963251E-3</v>
      </c>
      <c r="F111" s="141">
        <v>10.5</v>
      </c>
      <c r="G111" s="145">
        <f t="shared" si="33"/>
        <v>2.187895411442628E-5</v>
      </c>
      <c r="H111" s="142">
        <f t="shared" si="25"/>
        <v>-1.8449048517463567E-3</v>
      </c>
      <c r="I111" s="145"/>
      <c r="J111" s="142">
        <f t="shared" si="27"/>
        <v>-7.9116595706411257E-9</v>
      </c>
      <c r="K111" s="142">
        <f t="shared" si="28"/>
        <v>1.8978749422129593E-3</v>
      </c>
      <c r="L111" s="142">
        <f t="shared" si="29"/>
        <v>-5.297800212617322E-5</v>
      </c>
      <c r="N111" s="145"/>
      <c r="O111" s="145"/>
      <c r="P111" s="398">
        <f t="shared" si="30"/>
        <v>-2.4380992813758885E-5</v>
      </c>
      <c r="Q111" s="514">
        <f t="shared" si="34"/>
        <v>5.8711649505706003E-7</v>
      </c>
      <c r="R111" s="142">
        <f t="shared" si="35"/>
        <v>19550499204.104473</v>
      </c>
    </row>
    <row r="112" spans="1:18" s="146" customFormat="1" x14ac:dyDescent="0.15">
      <c r="A112" s="145">
        <f t="shared" si="21"/>
        <v>8.1929878265047393E-10</v>
      </c>
      <c r="B112" s="145">
        <f t="shared" si="22"/>
        <v>4.5023816896822904E-5</v>
      </c>
      <c r="C112" s="145">
        <f t="shared" si="23"/>
        <v>2.1549753638043941E-3</v>
      </c>
      <c r="D112" s="146">
        <f t="shared" si="18"/>
        <v>2.5118864315095759E-11</v>
      </c>
      <c r="E112" s="145">
        <f t="shared" si="24"/>
        <v>2.3988329190194929E-3</v>
      </c>
      <c r="F112" s="141">
        <v>10.6</v>
      </c>
      <c r="G112" s="145">
        <f t="shared" si="33"/>
        <v>2.1879898829439227E-5</v>
      </c>
      <c r="H112" s="142">
        <f t="shared" si="25"/>
        <v>-1.8562638768511214E-3</v>
      </c>
      <c r="I112" s="145"/>
      <c r="J112" s="142">
        <f t="shared" si="27"/>
        <v>-7.9181634829277128E-9</v>
      </c>
      <c r="K112" s="142">
        <f t="shared" si="28"/>
        <v>2.3912471432692012E-3</v>
      </c>
      <c r="L112" s="142">
        <f t="shared" si="29"/>
        <v>-5.3499118458156278E-4</v>
      </c>
      <c r="N112" s="145"/>
      <c r="O112" s="145"/>
      <c r="P112" s="398">
        <f t="shared" si="30"/>
        <v>-1.5314248276656728E-6</v>
      </c>
      <c r="Q112" s="514">
        <f t="shared" si="34"/>
        <v>3.724085375683972E-7</v>
      </c>
      <c r="R112" s="142">
        <f t="shared" si="35"/>
        <v>30822119826.459435</v>
      </c>
    </row>
    <row r="113" spans="1:18" s="146" customFormat="1" x14ac:dyDescent="0.15">
      <c r="A113" s="145">
        <f t="shared" si="21"/>
        <v>5.1912774162139209E-10</v>
      </c>
      <c r="B113" s="145">
        <f t="shared" si="22"/>
        <v>3.5914864951688183E-5</v>
      </c>
      <c r="C113" s="145">
        <f t="shared" si="23"/>
        <v>2.1640846159205708E-3</v>
      </c>
      <c r="D113" s="146">
        <f t="shared" si="18"/>
        <v>1.995262314968878E-11</v>
      </c>
      <c r="E113" s="145">
        <f t="shared" si="24"/>
        <v>3.0199517204020161E-3</v>
      </c>
      <c r="F113" s="141">
        <v>10.7</v>
      </c>
      <c r="G113" s="145">
        <f t="shared" si="33"/>
        <v>2.1880499171521287E-5</v>
      </c>
      <c r="H113" s="142">
        <f t="shared" si="25"/>
        <v>-1.8653728287962561E-3</v>
      </c>
      <c r="I113" s="145"/>
      <c r="J113" s="142">
        <f t="shared" si="27"/>
        <v>-7.9233297240931194E-9</v>
      </c>
      <c r="K113" s="142">
        <f t="shared" si="28"/>
        <v>3.0123659446517244E-3</v>
      </c>
      <c r="L113" s="142">
        <f t="shared" si="29"/>
        <v>-1.1470010391851923E-3</v>
      </c>
      <c r="N113" s="145"/>
      <c r="O113" s="145"/>
      <c r="P113" s="398">
        <f t="shared" si="30"/>
        <v>-4.5259570295609367E-7</v>
      </c>
      <c r="Q113" s="514">
        <f t="shared" si="34"/>
        <v>2.3596715528245094E-7</v>
      </c>
      <c r="R113" s="142">
        <f t="shared" si="35"/>
        <v>48644145222.626755</v>
      </c>
    </row>
    <row r="114" spans="1:18" s="146" customFormat="1" x14ac:dyDescent="0.15">
      <c r="A114" s="145">
        <f t="shared" si="21"/>
        <v>3.2865096146676254E-10</v>
      </c>
      <c r="B114" s="145">
        <f t="shared" si="22"/>
        <v>2.8624302124160917E-5</v>
      </c>
      <c r="C114" s="145">
        <f t="shared" si="23"/>
        <v>2.1713753692248778E-3</v>
      </c>
      <c r="D114" s="146">
        <f t="shared" si="18"/>
        <v>1.5848931924611082E-11</v>
      </c>
      <c r="E114" s="145">
        <f t="shared" si="24"/>
        <v>3.8018939632056123E-3</v>
      </c>
      <c r="F114" s="141">
        <v>10.8</v>
      </c>
      <c r="G114" s="145">
        <f t="shared" si="33"/>
        <v>2.1880880125081597E-5</v>
      </c>
      <c r="H114" s="142">
        <f t="shared" si="25"/>
        <v>-1.8726633916237834E-3</v>
      </c>
      <c r="I114" s="145"/>
      <c r="J114" s="142">
        <f t="shared" si="27"/>
        <v>-7.9274334153181984E-9</v>
      </c>
      <c r="K114" s="142">
        <f t="shared" si="28"/>
        <v>3.7943081874553205E-3</v>
      </c>
      <c r="L114" s="142">
        <f t="shared" si="29"/>
        <v>-1.9216527232649523E-3</v>
      </c>
      <c r="N114" s="145"/>
      <c r="O114" s="145"/>
      <c r="P114" s="398">
        <f t="shared" si="30"/>
        <v>-1.7102515844193407E-7</v>
      </c>
      <c r="Q114" s="514">
        <f t="shared" si="34"/>
        <v>1.4938680066671022E-7</v>
      </c>
      <c r="R114" s="142">
        <f t="shared" si="35"/>
        <v>76836912753.347046</v>
      </c>
    </row>
    <row r="115" spans="1:18" s="146" customFormat="1" x14ac:dyDescent="0.15">
      <c r="A115" s="145">
        <f t="shared" si="21"/>
        <v>2.0792114737678272E-10</v>
      </c>
      <c r="B115" s="145">
        <f t="shared" si="22"/>
        <v>2.2798100461571605E-5</v>
      </c>
      <c r="C115" s="145">
        <f t="shared" si="23"/>
        <v>2.1772016916172814E-3</v>
      </c>
      <c r="D115" s="146">
        <f t="shared" si="18"/>
        <v>1.2589254117941641E-11</v>
      </c>
      <c r="E115" s="145">
        <f t="shared" si="24"/>
        <v>4.7863009232263784E-3</v>
      </c>
      <c r="F115" s="141">
        <v>10.9</v>
      </c>
      <c r="G115" s="145">
        <f t="shared" si="33"/>
        <v>2.1881121584709778E-5</v>
      </c>
      <c r="H115" s="142">
        <f t="shared" si="25"/>
        <v>-1.8784895932863726E-3</v>
      </c>
      <c r="I115" s="145"/>
      <c r="J115" s="142">
        <f t="shared" si="27"/>
        <v>-7.9306930931248666E-9</v>
      </c>
      <c r="K115" s="142">
        <f t="shared" si="28"/>
        <v>4.7787151474760863E-3</v>
      </c>
      <c r="L115" s="142">
        <f t="shared" si="29"/>
        <v>-2.9002334848828065E-3</v>
      </c>
      <c r="N115" s="145"/>
      <c r="O115" s="145"/>
      <c r="P115" s="398">
        <f t="shared" si="30"/>
        <v>-7.169117536934598E-8</v>
      </c>
      <c r="Q115" s="514">
        <f t="shared" si="34"/>
        <v>9.4509612443992144E-8</v>
      </c>
      <c r="R115" s="142">
        <f t="shared" si="35"/>
        <v>121452413913.26147</v>
      </c>
    </row>
    <row r="116" spans="1:18" s="146" customFormat="1" x14ac:dyDescent="0.15">
      <c r="A116" s="145">
        <f t="shared" si="21"/>
        <v>1.3146958463948284E-10</v>
      </c>
      <c r="B116" s="145">
        <f t="shared" si="22"/>
        <v>1.8147854591021878E-5</v>
      </c>
      <c r="C116" s="145">
        <f t="shared" si="23"/>
        <v>2.1818520139393932E-3</v>
      </c>
      <c r="D116" s="146">
        <f t="shared" si="18"/>
        <v>9.9999999999999994E-12</v>
      </c>
      <c r="E116" s="145">
        <f t="shared" si="24"/>
        <v>6.0255958607435666E-3</v>
      </c>
      <c r="F116" s="141">
        <v>11</v>
      </c>
      <c r="G116" s="145">
        <f t="shared" si="33"/>
        <v>2.1881274487835252E-5</v>
      </c>
      <c r="H116" s="142">
        <f t="shared" si="25"/>
        <v>-1.8831398391569224E-3</v>
      </c>
      <c r="I116" s="145"/>
      <c r="J116" s="142">
        <f t="shared" si="27"/>
        <v>-7.933282347242809E-9</v>
      </c>
      <c r="K116" s="142">
        <f t="shared" si="28"/>
        <v>6.0180100849932744E-3</v>
      </c>
      <c r="L116" s="142">
        <f t="shared" si="29"/>
        <v>-4.1348781791186989E-3</v>
      </c>
      <c r="N116" s="145"/>
      <c r="O116" s="145"/>
      <c r="P116" s="398">
        <f t="shared" si="30"/>
        <v>-3.1795273994626862E-8</v>
      </c>
      <c r="Q116" s="514">
        <f t="shared" si="34"/>
        <v>5.9758902108855832E-8</v>
      </c>
      <c r="R116" s="142">
        <f t="shared" si="35"/>
        <v>192078839541.27469</v>
      </c>
    </row>
    <row r="117" spans="1:18" s="146" customFormat="1" x14ac:dyDescent="0.15">
      <c r="A117" s="145">
        <f t="shared" si="21"/>
        <v>8.309267616423688E-11</v>
      </c>
      <c r="B117" s="145">
        <f t="shared" si="22"/>
        <v>1.44398521501214E-5</v>
      </c>
      <c r="C117" s="145">
        <f t="shared" si="23"/>
        <v>2.1855600647572031E-3</v>
      </c>
      <c r="D117" s="146">
        <f t="shared" si="18"/>
        <v>7.9432823472428101E-12</v>
      </c>
      <c r="E117" s="145">
        <f t="shared" si="24"/>
        <v>7.5857757502918169E-3</v>
      </c>
      <c r="F117" s="141">
        <v>11.1</v>
      </c>
      <c r="G117" s="145">
        <f t="shared" si="33"/>
        <v>2.1881371241652202E-5</v>
      </c>
      <c r="H117" s="142">
        <f t="shared" si="25"/>
        <v>-1.8868478415978228E-3</v>
      </c>
      <c r="I117" s="145"/>
      <c r="J117" s="142">
        <f t="shared" si="27"/>
        <v>-7.9353390648955667E-9</v>
      </c>
      <c r="K117" s="142">
        <f t="shared" si="28"/>
        <v>7.5781899745415247E-3</v>
      </c>
      <c r="L117" s="142">
        <f t="shared" si="29"/>
        <v>-5.6913500682827661E-3</v>
      </c>
      <c r="N117" s="145"/>
      <c r="O117" s="145"/>
      <c r="P117" s="398">
        <f t="shared" si="30"/>
        <v>-1.4599818174478973E-8</v>
      </c>
      <c r="Q117" s="514">
        <f t="shared" si="34"/>
        <v>3.7769398256471306E-8</v>
      </c>
      <c r="R117" s="142">
        <f t="shared" si="35"/>
        <v>303907954566.44531</v>
      </c>
    </row>
    <row r="118" spans="1:18" s="146" customFormat="1" x14ac:dyDescent="0.15">
      <c r="A118" s="145">
        <f t="shared" si="21"/>
        <v>5.2498805312249651E-11</v>
      </c>
      <c r="B118" s="145">
        <f t="shared" si="22"/>
        <v>1.1485487156533838E-5</v>
      </c>
      <c r="C118" s="145">
        <f t="shared" si="23"/>
        <v>2.1885144603446612E-3</v>
      </c>
      <c r="D118" s="146">
        <f t="shared" si="18"/>
        <v>6.3095734448019345E-12</v>
      </c>
      <c r="E118" s="145">
        <f t="shared" si="24"/>
        <v>9.5499258602143242E-3</v>
      </c>
      <c r="F118" s="141">
        <v>11.2</v>
      </c>
      <c r="G118" s="145">
        <f t="shared" si="33"/>
        <v>2.1881432429393904E-5</v>
      </c>
      <c r="H118" s="142">
        <f t="shared" si="25"/>
        <v>-1.8898022065914105E-3</v>
      </c>
      <c r="I118" s="145"/>
      <c r="J118" s="142">
        <f t="shared" si="27"/>
        <v>-7.9369727737980067E-9</v>
      </c>
      <c r="K118" s="142">
        <f t="shared" si="28"/>
        <v>9.5423400844640328E-3</v>
      </c>
      <c r="L118" s="142">
        <f t="shared" si="29"/>
        <v>-7.6525458148453962E-3</v>
      </c>
      <c r="N118" s="145"/>
      <c r="O118" s="145"/>
      <c r="P118" s="398">
        <f t="shared" si="30"/>
        <v>-6.8603059141972977E-9</v>
      </c>
      <c r="Q118" s="514">
        <f t="shared" si="34"/>
        <v>2.3863093323749839E-8</v>
      </c>
      <c r="R118" s="142">
        <f t="shared" si="35"/>
        <v>481011426875.89948</v>
      </c>
    </row>
    <row r="119" spans="1:18" s="146" customFormat="1" x14ac:dyDescent="0.15">
      <c r="A119" s="145">
        <f t="shared" si="21"/>
        <v>3.3160112606715995E-11</v>
      </c>
      <c r="B119" s="145">
        <f t="shared" si="22"/>
        <v>9.1330533947343267E-6</v>
      </c>
      <c r="C119" s="145">
        <f t="shared" si="23"/>
        <v>2.1908669134451529E-3</v>
      </c>
      <c r="D119" s="146">
        <f t="shared" si="18"/>
        <v>5.0118723362726945E-12</v>
      </c>
      <c r="E119" s="145">
        <f t="shared" si="24"/>
        <v>1.2022644346174179E-2</v>
      </c>
      <c r="F119" s="141">
        <v>11.3</v>
      </c>
      <c r="G119" s="145">
        <f t="shared" si="33"/>
        <v>2.1881471106779316E-5</v>
      </c>
      <c r="H119" s="142">
        <f t="shared" si="25"/>
        <v>-1.89215464035321E-3</v>
      </c>
      <c r="I119" s="145"/>
      <c r="J119" s="142">
        <f t="shared" si="27"/>
        <v>-7.9382704749065363E-9</v>
      </c>
      <c r="K119" s="142">
        <f t="shared" si="28"/>
        <v>1.2015058570423887E-2</v>
      </c>
      <c r="L119" s="142">
        <f t="shared" si="29"/>
        <v>-1.0122911868341153E-2</v>
      </c>
      <c r="N119" s="145"/>
      <c r="O119" s="145"/>
      <c r="P119" s="398">
        <f t="shared" si="30"/>
        <v>-3.2757484247612996E-9</v>
      </c>
      <c r="Q119" s="514">
        <f t="shared" si="34"/>
        <v>1.5072778457598178E-8</v>
      </c>
      <c r="R119" s="142">
        <f t="shared" si="35"/>
        <v>761533157381.70325</v>
      </c>
    </row>
    <row r="120" spans="1:18" s="146" customFormat="1" x14ac:dyDescent="0.15">
      <c r="A120" s="145">
        <f t="shared" si="21"/>
        <v>2.0940496192604672E-11</v>
      </c>
      <c r="B120" s="145">
        <f t="shared" si="22"/>
        <v>7.2608416967369895E-6</v>
      </c>
      <c r="C120" s="145">
        <f t="shared" si="23"/>
        <v>2.1927391373627665E-3</v>
      </c>
      <c r="D120" s="146">
        <f t="shared" si="18"/>
        <v>3.9810717055349533E-12</v>
      </c>
      <c r="E120" s="145">
        <f t="shared" si="24"/>
        <v>1.5135612484362128E-2</v>
      </c>
      <c r="F120" s="141">
        <v>11.4</v>
      </c>
      <c r="G120" s="145">
        <f t="shared" si="33"/>
        <v>2.1881495546012146E-5</v>
      </c>
      <c r="H120" s="142">
        <f t="shared" si="25"/>
        <v>-1.8940268520512072E-3</v>
      </c>
      <c r="I120" s="145"/>
      <c r="J120" s="142">
        <f t="shared" si="27"/>
        <v>-7.9393012755372741E-9</v>
      </c>
      <c r="K120" s="142">
        <f t="shared" si="28"/>
        <v>1.5128026708611837E-2</v>
      </c>
      <c r="L120" s="142">
        <f t="shared" si="29"/>
        <v>-1.3234007795861905E-2</v>
      </c>
      <c r="N120" s="145"/>
      <c r="O120" s="145"/>
      <c r="P120" s="398">
        <f t="shared" si="30"/>
        <v>-1.5823246076031844E-9</v>
      </c>
      <c r="Q120" s="514">
        <f t="shared" si="34"/>
        <v>9.51840736027485E-9</v>
      </c>
      <c r="R120" s="142">
        <f t="shared" si="35"/>
        <v>1205918189342.7825</v>
      </c>
    </row>
    <row r="121" spans="1:18" s="146" customFormat="1" x14ac:dyDescent="0.15">
      <c r="A121" s="145">
        <f t="shared" si="21"/>
        <v>1.3221534634615015E-11</v>
      </c>
      <c r="B121" s="145">
        <f t="shared" si="22"/>
        <v>5.7714091945211595E-6</v>
      </c>
      <c r="C121" s="145">
        <f t="shared" si="23"/>
        <v>2.1942285775839441E-3</v>
      </c>
      <c r="D121" s="146">
        <f t="shared" si="18"/>
        <v>3.1622776601683669E-12</v>
      </c>
      <c r="E121" s="145">
        <f t="shared" si="24"/>
        <v>1.9054607179632515E-2</v>
      </c>
      <c r="F121" s="141">
        <v>11.5</v>
      </c>
      <c r="G121" s="145">
        <f t="shared" si="33"/>
        <v>2.1881510983935262E-5</v>
      </c>
      <c r="H121" s="142">
        <f t="shared" si="25"/>
        <v>-1.895516284553423E-3</v>
      </c>
      <c r="I121" s="145"/>
      <c r="J121" s="142">
        <f t="shared" si="27"/>
        <v>-7.9401200695826404E-9</v>
      </c>
      <c r="K121" s="142">
        <f t="shared" si="28"/>
        <v>1.9047021403882224E-2</v>
      </c>
      <c r="L121" s="142">
        <f t="shared" si="29"/>
        <v>-1.715151305944887E-2</v>
      </c>
      <c r="N121" s="145"/>
      <c r="O121" s="145"/>
      <c r="P121" s="398">
        <f t="shared" si="30"/>
        <v>-7.7086695434903298E-10</v>
      </c>
      <c r="Q121" s="514">
        <f t="shared" si="34"/>
        <v>6.0097884702795521E-9</v>
      </c>
      <c r="R121" s="142">
        <f t="shared" si="35"/>
        <v>1909954173278.2034</v>
      </c>
    </row>
    <row r="122" spans="1:18" s="146" customFormat="1" x14ac:dyDescent="0.15">
      <c r="A122" s="145">
        <f t="shared" si="21"/>
        <v>8.3467279010100735E-12</v>
      </c>
      <c r="B122" s="145">
        <f t="shared" si="22"/>
        <v>4.5868681445728938E-6</v>
      </c>
      <c r="C122" s="145">
        <f t="shared" si="23"/>
        <v>2.1954131235086996E-3</v>
      </c>
      <c r="D122" s="146">
        <f t="shared" si="18"/>
        <v>2.5118864315095726E-12</v>
      </c>
      <c r="E122" s="145">
        <f t="shared" si="24"/>
        <v>2.3988329190194935E-2</v>
      </c>
      <c r="F122" s="141">
        <v>11.6</v>
      </c>
      <c r="G122" s="145">
        <f t="shared" si="33"/>
        <v>2.1881520733548728E-5</v>
      </c>
      <c r="H122" s="142">
        <f t="shared" si="25"/>
        <v>-1.8967008256033713E-3</v>
      </c>
      <c r="I122" s="145"/>
      <c r="J122" s="142">
        <f t="shared" si="27"/>
        <v>-7.9407704608112988E-9</v>
      </c>
      <c r="K122" s="142">
        <f t="shared" si="28"/>
        <v>2.3980743414444644E-2</v>
      </c>
      <c r="L122" s="142">
        <f t="shared" si="29"/>
        <v>-2.2084050529611734E-2</v>
      </c>
      <c r="N122" s="145"/>
      <c r="O122" s="145"/>
      <c r="P122" s="398">
        <f t="shared" si="30"/>
        <v>-3.7795276232583498E-10</v>
      </c>
      <c r="Q122" s="514">
        <f t="shared" si="34"/>
        <v>3.7939672277318515E-9</v>
      </c>
      <c r="R122" s="142">
        <f t="shared" si="35"/>
        <v>3025440094850.7422</v>
      </c>
    </row>
    <row r="123" spans="1:18" s="146" customFormat="1" x14ac:dyDescent="0.15">
      <c r="A123" s="145">
        <f t="shared" si="21"/>
        <v>5.2686885626462359E-12</v>
      </c>
      <c r="B123" s="145">
        <f t="shared" si="22"/>
        <v>3.6450419237650393E-6</v>
      </c>
      <c r="C123" s="145">
        <f t="shared" si="23"/>
        <v>2.1963549528075466E-3</v>
      </c>
      <c r="D123" s="146">
        <f t="shared" si="18"/>
        <v>1.9952623149688759E-12</v>
      </c>
      <c r="E123" s="145">
        <f t="shared" si="24"/>
        <v>3.0199517204020185E-2</v>
      </c>
      <c r="F123" s="141">
        <v>11.7</v>
      </c>
      <c r="G123" s="145">
        <f t="shared" si="33"/>
        <v>2.1881526889627403E-5</v>
      </c>
      <c r="H123" s="142">
        <f t="shared" si="25"/>
        <v>-1.8976426518241792E-3</v>
      </c>
      <c r="I123" s="145"/>
      <c r="J123" s="142">
        <f t="shared" si="27"/>
        <v>-7.9412870849278398E-9</v>
      </c>
      <c r="K123" s="142">
        <f t="shared" si="28"/>
        <v>3.0191931428269893E-2</v>
      </c>
      <c r="L123" s="142">
        <f t="shared" si="29"/>
        <v>-2.82942967177328E-2</v>
      </c>
      <c r="N123" s="145"/>
      <c r="O123" s="145"/>
      <c r="P123" s="398">
        <f t="shared" si="30"/>
        <v>-1.8621026757467368E-10</v>
      </c>
      <c r="Q123" s="514">
        <f t="shared" si="34"/>
        <v>2.3948584375664708E-9</v>
      </c>
      <c r="R123" s="142">
        <f t="shared" si="35"/>
        <v>4792943244275.1934</v>
      </c>
    </row>
    <row r="124" spans="1:18" s="146" customFormat="1" x14ac:dyDescent="0.15">
      <c r="A124" s="145">
        <f t="shared" si="21"/>
        <v>3.325450943411474E-12</v>
      </c>
      <c r="B124" s="145">
        <f t="shared" si="22"/>
        <v>2.8963466918964973E-6</v>
      </c>
      <c r="C124" s="145">
        <f t="shared" si="23"/>
        <v>2.1971036499826529E-3</v>
      </c>
      <c r="D124" s="146">
        <f t="shared" si="18"/>
        <v>1.5848931924611065E-12</v>
      </c>
      <c r="E124" s="145">
        <f t="shared" si="24"/>
        <v>3.8018939632056263E-2</v>
      </c>
      <c r="F124" s="141">
        <v>11.8</v>
      </c>
      <c r="G124" s="145">
        <f t="shared" si="33"/>
        <v>2.1881530776102645E-5</v>
      </c>
      <c r="H124" s="142">
        <f t="shared" si="25"/>
        <v>-1.8983913470560479E-3</v>
      </c>
      <c r="I124" s="145"/>
      <c r="J124" s="142">
        <f t="shared" si="27"/>
        <v>-7.9416974540503474E-9</v>
      </c>
      <c r="K124" s="142">
        <f t="shared" si="28"/>
        <v>3.8011353856305968E-2</v>
      </c>
      <c r="L124" s="142">
        <f t="shared" si="29"/>
        <v>-3.6112970450947371E-2</v>
      </c>
      <c r="N124" s="145"/>
      <c r="O124" s="145"/>
      <c r="P124" s="398">
        <f t="shared" si="30"/>
        <v>-9.2084669355251992E-11</v>
      </c>
      <c r="Q124" s="514">
        <f t="shared" si="34"/>
        <v>1.5115686106415791E-9</v>
      </c>
      <c r="R124" s="142">
        <f t="shared" si="35"/>
        <v>7593714561496.2812</v>
      </c>
    </row>
    <row r="125" spans="1:18" s="146" customFormat="1" x14ac:dyDescent="0.15">
      <c r="A125" s="145">
        <f t="shared" si="21"/>
        <v>2.0987859885179991E-12</v>
      </c>
      <c r="B125" s="145">
        <f t="shared" si="22"/>
        <v>2.3012730747808088E-6</v>
      </c>
      <c r="C125" s="145">
        <f t="shared" si="23"/>
        <v>2.1976987248264333E-3</v>
      </c>
      <c r="D125" s="146">
        <f t="shared" si="18"/>
        <v>1.2589254117941629E-12</v>
      </c>
      <c r="E125" s="145">
        <f t="shared" si="24"/>
        <v>4.7863009232263991E-2</v>
      </c>
      <c r="F125" s="141">
        <v>11.9</v>
      </c>
      <c r="G125" s="145">
        <f t="shared" si="33"/>
        <v>2.1881533229432552E-5</v>
      </c>
      <c r="H125" s="142">
        <f t="shared" si="25"/>
        <v>-1.8989864206731635E-3</v>
      </c>
      <c r="I125" s="145"/>
      <c r="J125" s="142">
        <f t="shared" si="27"/>
        <v>-7.9420234218310153E-9</v>
      </c>
      <c r="K125" s="142">
        <f t="shared" si="28"/>
        <v>4.7855423456513696E-2</v>
      </c>
      <c r="L125" s="142">
        <f t="shared" si="29"/>
        <v>-4.5956444977863956E-2</v>
      </c>
      <c r="N125" s="145"/>
      <c r="O125" s="145"/>
      <c r="P125" s="398">
        <f t="shared" si="30"/>
        <v>-4.5669023997154926E-11</v>
      </c>
      <c r="Q125" s="514">
        <f t="shared" si="34"/>
        <v>9.5399363114454497E-10</v>
      </c>
      <c r="R125" s="142">
        <f t="shared" si="35"/>
        <v>12031967714038.648</v>
      </c>
    </row>
    <row r="126" spans="1:18" s="146" customFormat="1" x14ac:dyDescent="0.15">
      <c r="A126" s="145">
        <f t="shared" si="21"/>
        <v>1.3245293930026226E-12</v>
      </c>
      <c r="B126" s="145">
        <f t="shared" si="22"/>
        <v>1.8283595321048257E-6</v>
      </c>
      <c r="C126" s="145">
        <f t="shared" si="23"/>
        <v>2.1981716391433659E-3</v>
      </c>
      <c r="D126" s="146">
        <f t="shared" si="18"/>
        <v>9.9999999999999998E-13</v>
      </c>
      <c r="E126" s="145">
        <f t="shared" si="24"/>
        <v>6.025595860743567E-2</v>
      </c>
      <c r="F126" s="141">
        <v>12</v>
      </c>
      <c r="G126" s="145">
        <f t="shared" si="33"/>
        <v>2.1881534777945745E-5</v>
      </c>
      <c r="H126" s="142">
        <f t="shared" si="25"/>
        <v>-1.8994593342158395E-3</v>
      </c>
      <c r="I126" s="145"/>
      <c r="J126" s="142">
        <f t="shared" si="27"/>
        <v>-7.9422823472428092E-9</v>
      </c>
      <c r="K126" s="142">
        <f t="shared" si="28"/>
        <v>6.0248372831685375E-2</v>
      </c>
      <c r="L126" s="142">
        <f t="shared" si="29"/>
        <v>-5.8348921439751879E-2</v>
      </c>
      <c r="N126" s="145"/>
      <c r="O126" s="145"/>
      <c r="P126" s="398">
        <f t="shared" si="30"/>
        <v>-2.2700152124838573E-11</v>
      </c>
      <c r="Q126" s="514">
        <f t="shared" si="34"/>
        <v>6.0205881500119205E-10</v>
      </c>
      <c r="R126" s="142">
        <f t="shared" si="35"/>
        <v>19065281137536.262</v>
      </c>
    </row>
    <row r="127" spans="1:18" s="146" customFormat="1" x14ac:dyDescent="0.15">
      <c r="A127" s="145">
        <f t="shared" si="21"/>
        <v>8.3586442144077911E-13</v>
      </c>
      <c r="B127" s="145">
        <f t="shared" si="22"/>
        <v>1.4525658843019012E-6</v>
      </c>
      <c r="C127" s="145">
        <f t="shared" si="23"/>
        <v>2.1985474332798338E-3</v>
      </c>
      <c r="D127" s="146">
        <f t="shared" si="18"/>
        <v>7.9432823472428024E-13</v>
      </c>
      <c r="E127" s="145">
        <f t="shared" si="24"/>
        <v>7.5857757502918483E-2</v>
      </c>
      <c r="F127" s="141">
        <v>12.1</v>
      </c>
      <c r="G127" s="145">
        <f t="shared" si="33"/>
        <v>2.1881535755275687E-5</v>
      </c>
      <c r="H127" s="142">
        <f t="shared" si="25"/>
        <v>-1.8998351278636423E-3</v>
      </c>
      <c r="I127" s="145"/>
      <c r="J127" s="142">
        <f t="shared" si="27"/>
        <v>-7.9424880190080837E-9</v>
      </c>
      <c r="K127" s="142">
        <f t="shared" si="28"/>
        <v>7.5850171727168195E-2</v>
      </c>
      <c r="L127" s="142">
        <f t="shared" si="29"/>
        <v>-7.395034454179257E-2</v>
      </c>
      <c r="N127" s="145"/>
      <c r="O127" s="145"/>
      <c r="P127" s="398">
        <f t="shared" si="30"/>
        <v>-1.130304972370204E-11</v>
      </c>
      <c r="Q127" s="514">
        <f t="shared" si="34"/>
        <v>3.7993837338217233E-10</v>
      </c>
      <c r="R127" s="142">
        <f t="shared" si="35"/>
        <v>30211269441277.914</v>
      </c>
    </row>
    <row r="128" spans="1:18" s="146" customFormat="1" x14ac:dyDescent="0.15">
      <c r="A128" s="145">
        <f t="shared" si="21"/>
        <v>5.274664237435464E-13</v>
      </c>
      <c r="B128" s="145">
        <f t="shared" si="22"/>
        <v>1.1539707997880417E-6</v>
      </c>
      <c r="C128" s="145">
        <f t="shared" si="23"/>
        <v>2.198846028672746E-3</v>
      </c>
      <c r="D128" s="146">
        <f t="shared" si="18"/>
        <v>6.3095734448019283E-13</v>
      </c>
      <c r="E128" s="145">
        <f t="shared" si="24"/>
        <v>9.5499258602143686E-2</v>
      </c>
      <c r="F128" s="141">
        <v>12.2</v>
      </c>
      <c r="G128" s="145">
        <f t="shared" si="33"/>
        <v>2.1881536372071683E-5</v>
      </c>
      <c r="H128" s="142">
        <f t="shared" si="25"/>
        <v>-1.9001337229481562E-3</v>
      </c>
      <c r="I128" s="145"/>
      <c r="J128" s="142">
        <f t="shared" si="27"/>
        <v>-7.9426513898983282E-9</v>
      </c>
      <c r="K128" s="142">
        <f t="shared" si="28"/>
        <v>9.5491672826393398E-2</v>
      </c>
      <c r="L128" s="142">
        <f t="shared" si="29"/>
        <v>-9.3591547046096624E-2</v>
      </c>
      <c r="N128" s="145"/>
      <c r="O128" s="145"/>
      <c r="P128" s="398">
        <f t="shared" si="30"/>
        <v>-5.6358340084254987E-12</v>
      </c>
      <c r="Q128" s="514">
        <f t="shared" si="34"/>
        <v>2.3975746533797564E-10</v>
      </c>
      <c r="R128" s="142">
        <f t="shared" si="35"/>
        <v>47875133119000.203</v>
      </c>
    </row>
    <row r="129" spans="1:18" s="146" customFormat="1" x14ac:dyDescent="0.15">
      <c r="A129" s="145">
        <f t="shared" si="21"/>
        <v>3.328447218316052E-13</v>
      </c>
      <c r="B129" s="145">
        <f t="shared" si="22"/>
        <v>9.1673048662321518E-7</v>
      </c>
      <c r="C129" s="145">
        <f t="shared" si="23"/>
        <v>2.1990832691805326E-3</v>
      </c>
      <c r="D129" s="146">
        <f t="shared" si="18"/>
        <v>5.0118723362727066E-13</v>
      </c>
      <c r="E129" s="145">
        <f t="shared" si="24"/>
        <v>0.12022644346174129</v>
      </c>
      <c r="F129" s="141">
        <v>12.3</v>
      </c>
      <c r="G129" s="145">
        <f t="shared" si="33"/>
        <v>2.1881536761315086E-5</v>
      </c>
      <c r="H129" s="142">
        <f t="shared" si="25"/>
        <v>-1.9003709632613212E-3</v>
      </c>
      <c r="I129" s="145"/>
      <c r="J129" s="142">
        <f t="shared" si="27"/>
        <v>-7.9427811600091808E-9</v>
      </c>
      <c r="K129" s="142">
        <f t="shared" si="28"/>
        <v>0.120218857685991</v>
      </c>
      <c r="L129" s="142">
        <f t="shared" si="29"/>
        <v>-0.11831849466551084</v>
      </c>
      <c r="N129" s="145"/>
      <c r="O129" s="145"/>
      <c r="P129" s="398">
        <f t="shared" si="30"/>
        <v>-2.8131250551535922E-12</v>
      </c>
      <c r="Q129" s="514">
        <f t="shared" si="34"/>
        <v>1.5129305537800235E-10</v>
      </c>
      <c r="R129" s="142">
        <f t="shared" si="35"/>
        <v>75868786843197</v>
      </c>
    </row>
    <row r="130" spans="1:18" s="146" customFormat="1" x14ac:dyDescent="0.15">
      <c r="A130" s="145">
        <f t="shared" si="21"/>
        <v>2.100288218253432E-13</v>
      </c>
      <c r="B130" s="145">
        <f t="shared" si="22"/>
        <v>7.2824732183975428E-7</v>
      </c>
      <c r="C130" s="145">
        <f t="shared" si="23"/>
        <v>2.1992717524681317E-3</v>
      </c>
      <c r="D130" s="146">
        <f t="shared" si="18"/>
        <v>3.9810717055349631E-13</v>
      </c>
      <c r="E130" s="145">
        <f t="shared" si="24"/>
        <v>0.15135612484362068</v>
      </c>
      <c r="F130" s="141">
        <v>12.4</v>
      </c>
      <c r="G130" s="145">
        <f t="shared" si="33"/>
        <v>2.1881537006946885E-5</v>
      </c>
      <c r="H130" s="142">
        <f t="shared" si="25"/>
        <v>-1.9005594464261044E-3</v>
      </c>
      <c r="I130" s="145"/>
      <c r="J130" s="142">
        <f t="shared" si="27"/>
        <v>-7.9428842400722551E-9</v>
      </c>
      <c r="K130" s="142">
        <f t="shared" si="28"/>
        <v>0.15134853906787038</v>
      </c>
      <c r="L130" s="142">
        <f t="shared" si="29"/>
        <v>-0.1494479875643285</v>
      </c>
      <c r="N130" s="145"/>
      <c r="O130" s="145"/>
      <c r="P130" s="398">
        <f t="shared" si="30"/>
        <v>-1.4053640015389183E-12</v>
      </c>
      <c r="Q130" s="514">
        <f t="shared" si="34"/>
        <v>9.546764628424691E-11</v>
      </c>
      <c r="R130" s="142">
        <f t="shared" si="35"/>
        <v>120233618572239.92</v>
      </c>
    </row>
    <row r="131" spans="1:18" s="146" customFormat="1" x14ac:dyDescent="0.15">
      <c r="A131" s="145">
        <f t="shared" si="21"/>
        <v>1.3252825044685584E-13</v>
      </c>
      <c r="B131" s="145">
        <f t="shared" si="22"/>
        <v>5.7850679539142359E-7</v>
      </c>
      <c r="C131" s="145">
        <f t="shared" si="23"/>
        <v>2.1994214930720806E-3</v>
      </c>
      <c r="D131" s="146">
        <f t="shared" si="18"/>
        <v>3.1622776601683746E-13</v>
      </c>
      <c r="E131" s="145">
        <f t="shared" si="24"/>
        <v>0.19054607179632441</v>
      </c>
      <c r="F131" s="141">
        <v>12.5</v>
      </c>
      <c r="G131" s="145">
        <f t="shared" si="33"/>
        <v>2.1881537161948029E-5</v>
      </c>
      <c r="H131" s="142">
        <f t="shared" si="25"/>
        <v>-1.9007091869525528E-3</v>
      </c>
      <c r="I131" s="145"/>
      <c r="J131" s="142">
        <f t="shared" si="27"/>
        <v>-7.9429661194767926E-9</v>
      </c>
      <c r="K131" s="142">
        <f t="shared" si="28"/>
        <v>0.1905384860205741</v>
      </c>
      <c r="L131" s="142">
        <f t="shared" si="29"/>
        <v>-0.18863778477658766</v>
      </c>
      <c r="N131" s="145"/>
      <c r="O131" s="145"/>
      <c r="P131" s="398">
        <f t="shared" si="30"/>
        <v>-7.0255410708843461E-13</v>
      </c>
      <c r="Q131" s="514">
        <f t="shared" si="34"/>
        <v>6.024011383947992E-11</v>
      </c>
      <c r="R131" s="142">
        <f t="shared" si="35"/>
        <v>190544470083769.62</v>
      </c>
    </row>
    <row r="132" spans="1:18" s="146" customFormat="1" x14ac:dyDescent="0.15">
      <c r="A132" s="145">
        <f t="shared" si="21"/>
        <v>8.3624195616509574E-14</v>
      </c>
      <c r="B132" s="145">
        <f t="shared" si="22"/>
        <v>4.5954913534737519E-7</v>
      </c>
      <c r="C132" s="145">
        <f t="shared" si="23"/>
        <v>2.1995404507810287E-3</v>
      </c>
      <c r="D132" s="146">
        <f t="shared" si="18"/>
        <v>2.511886431509579E-13</v>
      </c>
      <c r="E132" s="145">
        <f t="shared" si="24"/>
        <v>0.23988329190194846</v>
      </c>
      <c r="F132" s="141">
        <v>12.6</v>
      </c>
      <c r="G132" s="145">
        <f t="shared" si="33"/>
        <v>2.188153725975614E-5</v>
      </c>
      <c r="H132" s="142">
        <f t="shared" si="25"/>
        <v>-1.9008281446125969E-3</v>
      </c>
      <c r="I132" s="145"/>
      <c r="J132" s="142">
        <f t="shared" si="27"/>
        <v>-7.9430311585996571E-9</v>
      </c>
      <c r="K132" s="142">
        <f t="shared" si="28"/>
        <v>0.23987570612619816</v>
      </c>
      <c r="L132" s="142">
        <f t="shared" si="29"/>
        <v>-0.23797488592461671</v>
      </c>
      <c r="N132" s="145"/>
      <c r="O132" s="145"/>
      <c r="P132" s="398">
        <f t="shared" si="30"/>
        <v>-3.513992465700738E-13</v>
      </c>
      <c r="Q132" s="514">
        <f t="shared" si="34"/>
        <v>3.8010998007504351E-11</v>
      </c>
      <c r="R132" s="142">
        <f t="shared" si="35"/>
        <v>301976300834393.38</v>
      </c>
    </row>
    <row r="133" spans="1:18" s="146" customFormat="1" x14ac:dyDescent="0.15">
      <c r="A133" s="145">
        <f t="shared" si="21"/>
        <v>5.2765567312695674E-14</v>
      </c>
      <c r="B133" s="145">
        <f t="shared" si="22"/>
        <v>3.650485366503063E-7</v>
      </c>
      <c r="C133" s="145">
        <f t="shared" si="23"/>
        <v>2.1996349514105842E-3</v>
      </c>
      <c r="D133" s="146">
        <f t="shared" si="18"/>
        <v>1.9952623149688807E-13</v>
      </c>
      <c r="E133" s="145">
        <f t="shared" si="24"/>
        <v>0.3019951720402006</v>
      </c>
      <c r="F133" s="141">
        <v>12.7</v>
      </c>
      <c r="G133" s="145">
        <f t="shared" si="33"/>
        <v>2.1881537321473396E-5</v>
      </c>
      <c r="H133" s="142">
        <f t="shared" si="25"/>
        <v>-1.9009226452112939E-3</v>
      </c>
      <c r="I133" s="145"/>
      <c r="J133" s="142">
        <f t="shared" si="27"/>
        <v>-7.9430828210113127E-9</v>
      </c>
      <c r="K133" s="142">
        <f t="shared" si="28"/>
        <v>0.30198758626445033</v>
      </c>
      <c r="L133" s="142">
        <f t="shared" si="29"/>
        <v>-0.30008667156232183</v>
      </c>
      <c r="N133" s="145"/>
      <c r="O133" s="145"/>
      <c r="P133" s="398">
        <f t="shared" si="30"/>
        <v>-1.7583442489460033E-13</v>
      </c>
      <c r="Q133" s="514">
        <f t="shared" si="34"/>
        <v>2.3984348778498032E-11</v>
      </c>
      <c r="R133" s="142">
        <f t="shared" si="35"/>
        <v>478579621874914.69</v>
      </c>
    </row>
    <row r="134" spans="1:18" s="146" customFormat="1" x14ac:dyDescent="0.15">
      <c r="A134" s="145">
        <f t="shared" si="21"/>
        <v>3.3293958466582192E-14</v>
      </c>
      <c r="B134" s="145">
        <f t="shared" si="22"/>
        <v>2.8997825589903159E-7</v>
      </c>
      <c r="C134" s="145">
        <f t="shared" si="23"/>
        <v>2.1997100217108069E-3</v>
      </c>
      <c r="D134" s="146">
        <f t="shared" ref="D134:D146" si="36">10^(-F134)</f>
        <v>1.5848931924611046E-13</v>
      </c>
      <c r="E134" s="145">
        <f t="shared" si="24"/>
        <v>0.38018939632056276</v>
      </c>
      <c r="F134" s="141">
        <v>12.8</v>
      </c>
      <c r="G134" s="145">
        <f t="shared" si="33"/>
        <v>2.1881537360416614E-5</v>
      </c>
      <c r="H134" s="142">
        <f t="shared" si="25"/>
        <v>-1.9009977154920451E-3</v>
      </c>
      <c r="I134" s="145"/>
      <c r="J134" s="142">
        <f t="shared" si="27"/>
        <v>-7.9431238579235624E-9</v>
      </c>
      <c r="K134" s="142">
        <f t="shared" si="28"/>
        <v>0.38018181054481248</v>
      </c>
      <c r="L134" s="142">
        <f t="shared" si="29"/>
        <v>-0.37828082077244429</v>
      </c>
      <c r="N134" s="145"/>
      <c r="O134" s="145"/>
      <c r="P134" s="398">
        <f t="shared" si="30"/>
        <v>-8.8013868634937349E-14</v>
      </c>
      <c r="Q134" s="514">
        <f t="shared" ref="Q134:Q146" si="37">A134/DIC_concentration</f>
        <v>1.5133617484810086E-11</v>
      </c>
      <c r="R134" s="142">
        <f t="shared" ref="R134:R146" si="38">1/(molar_mass*mc_efficiency*A134)</f>
        <v>758471699238518.5</v>
      </c>
    </row>
    <row r="135" spans="1:18" s="146" customFormat="1" x14ac:dyDescent="0.15">
      <c r="A135" s="145">
        <f t="shared" ref="A135:A146" si="39">$B$2/(1+($E$2/D135)+($E$2*$H$2/D135^2))</f>
        <v>2.100763712261501E-14</v>
      </c>
      <c r="B135" s="145">
        <f t="shared" ref="B135:B146" si="40">$B$2/(1+(D135/$E$2)+($H$2/D135))</f>
        <v>2.3034416057435566E-7</v>
      </c>
      <c r="C135" s="145">
        <f t="shared" ref="C135:C146" si="41">$B$2/(1+(D135/$H$2)+(D135^2/($E$2*$H$2)))</f>
        <v>2.1997696558184181E-3</v>
      </c>
      <c r="D135" s="146">
        <f t="shared" si="36"/>
        <v>1.2589254117941612E-13</v>
      </c>
      <c r="E135" s="145">
        <f t="shared" ref="E135:E146" si="42">10^(-(13.22+LOG(D135)))</f>
        <v>0.47863009232263992</v>
      </c>
      <c r="F135" s="141">
        <v>12.9</v>
      </c>
      <c r="G135" s="145">
        <f t="shared" si="33"/>
        <v>2.1881537384989256E-5</v>
      </c>
      <c r="H135" s="142">
        <f t="shared" ref="H135:H146" si="43">B135-$B$87</f>
        <v>-1.90105734958737E-3</v>
      </c>
      <c r="I135" s="145"/>
      <c r="J135" s="142">
        <f t="shared" ref="J135:J146" si="44">D135-$D$87</f>
        <v>-7.9431564547016299E-9</v>
      </c>
      <c r="K135" s="142">
        <f t="shared" ref="K135:K146" si="45">E135-$E$87</f>
        <v>0.47862250654688965</v>
      </c>
      <c r="L135" s="142">
        <f t="shared" ref="L135:L146" si="46">J135-(H135+I135+K135)</f>
        <v>-0.47672145714045877</v>
      </c>
      <c r="N135" s="145"/>
      <c r="O135" s="145"/>
      <c r="P135" s="398">
        <f t="shared" ref="P135:P146" si="47">A135/L135</f>
        <v>-4.4066900719397296E-14</v>
      </c>
      <c r="Q135" s="514">
        <f t="shared" si="37"/>
        <v>9.5489259648250046E-12</v>
      </c>
      <c r="R135" s="142">
        <f t="shared" si="38"/>
        <v>1202064044858265.5</v>
      </c>
    </row>
    <row r="136" spans="1:18" s="146" customFormat="1" x14ac:dyDescent="0.15">
      <c r="A136" s="145">
        <f t="shared" si="39"/>
        <v>1.3255208373345701E-14</v>
      </c>
      <c r="B136" s="145">
        <f t="shared" si="40"/>
        <v>1.8297281062598758E-7</v>
      </c>
      <c r="C136" s="145">
        <f t="shared" si="41"/>
        <v>2.1998170271761187E-3</v>
      </c>
      <c r="D136" s="146">
        <f t="shared" si="36"/>
        <v>1E-13</v>
      </c>
      <c r="E136" s="145">
        <f t="shared" si="42"/>
        <v>0.60255958607435678</v>
      </c>
      <c r="F136" s="141">
        <v>13</v>
      </c>
      <c r="G136" s="145">
        <f t="shared" si="33"/>
        <v>2.1881537400494113E-5</v>
      </c>
      <c r="H136" s="142">
        <f t="shared" si="43"/>
        <v>-1.9011047209373183E-3</v>
      </c>
      <c r="I136" s="145"/>
      <c r="J136" s="142">
        <f t="shared" si="44"/>
        <v>-7.9431823472428083E-9</v>
      </c>
      <c r="K136" s="142">
        <f t="shared" si="45"/>
        <v>0.60255200029860645</v>
      </c>
      <c r="L136" s="142">
        <f t="shared" si="46"/>
        <v>-0.60065090352085149</v>
      </c>
      <c r="N136" s="145"/>
      <c r="O136" s="145"/>
      <c r="P136" s="398">
        <f t="shared" si="47"/>
        <v>-2.2068073644187148E-14</v>
      </c>
      <c r="Q136" s="514">
        <f t="shared" si="37"/>
        <v>6.0250947151571368E-12</v>
      </c>
      <c r="R136" s="142">
        <f t="shared" si="38"/>
        <v>1905102095814986.8</v>
      </c>
    </row>
    <row r="137" spans="1:18" s="146" customFormat="1" x14ac:dyDescent="0.15">
      <c r="A137" s="145">
        <f t="shared" si="39"/>
        <v>8.3636141405140954E-15</v>
      </c>
      <c r="B137" s="145">
        <f t="shared" si="40"/>
        <v>1.4534295584725395E-7</v>
      </c>
      <c r="C137" s="145">
        <f t="shared" si="41"/>
        <v>2.1998546570357897E-3</v>
      </c>
      <c r="D137" s="146">
        <f t="shared" si="36"/>
        <v>7.9432823472427931E-14</v>
      </c>
      <c r="E137" s="145">
        <f t="shared" si="42"/>
        <v>0.7585775750291851</v>
      </c>
      <c r="F137" s="141">
        <v>13.1</v>
      </c>
      <c r="G137" s="145">
        <f t="shared" si="33"/>
        <v>2.1881537410277303E-5</v>
      </c>
      <c r="H137" s="142">
        <f t="shared" si="43"/>
        <v>-1.901142350792097E-3</v>
      </c>
      <c r="I137" s="145"/>
      <c r="J137" s="142">
        <f t="shared" si="44"/>
        <v>-7.9432029144193369E-9</v>
      </c>
      <c r="K137" s="142">
        <f t="shared" si="45"/>
        <v>0.75856998925343477</v>
      </c>
      <c r="L137" s="142">
        <f t="shared" si="46"/>
        <v>-0.75666885484584556</v>
      </c>
      <c r="N137" s="145"/>
      <c r="O137" s="145"/>
      <c r="P137" s="398">
        <f t="shared" si="47"/>
        <v>-1.1053202582545829E-14</v>
      </c>
      <c r="Q137" s="514">
        <f t="shared" si="37"/>
        <v>3.8016427911427705E-12</v>
      </c>
      <c r="R137" s="142">
        <f t="shared" si="38"/>
        <v>3019331694201405.5</v>
      </c>
    </row>
    <row r="138" spans="1:18" s="146" customFormat="1" x14ac:dyDescent="0.15">
      <c r="A138" s="145">
        <f t="shared" si="39"/>
        <v>5.2771554727741153E-15</v>
      </c>
      <c r="B138" s="145">
        <f t="shared" si="40"/>
        <v>1.1545158226950557E-7</v>
      </c>
      <c r="C138" s="145">
        <f t="shared" si="41"/>
        <v>2.1998845484124539E-3</v>
      </c>
      <c r="D138" s="146">
        <f t="shared" si="36"/>
        <v>6.3095734448019215E-14</v>
      </c>
      <c r="E138" s="145">
        <f t="shared" si="42"/>
        <v>0.95499258602143688</v>
      </c>
      <c r="F138" s="141">
        <v>13.2</v>
      </c>
      <c r="G138" s="145">
        <f t="shared" si="33"/>
        <v>2.1881537416450218E-5</v>
      </c>
      <c r="H138" s="142">
        <f t="shared" si="43"/>
        <v>-1.9011722421656747E-3</v>
      </c>
      <c r="I138" s="145"/>
      <c r="J138" s="142">
        <f t="shared" si="44"/>
        <v>-7.9432192515083605E-9</v>
      </c>
      <c r="K138" s="142">
        <f t="shared" si="45"/>
        <v>0.95498500024568655</v>
      </c>
      <c r="L138" s="142">
        <f t="shared" si="46"/>
        <v>-0.95308383594674018</v>
      </c>
      <c r="N138" s="145"/>
      <c r="O138" s="145"/>
      <c r="P138" s="398">
        <f t="shared" si="47"/>
        <v>-5.536926840787394E-15</v>
      </c>
      <c r="Q138" s="514">
        <f t="shared" si="37"/>
        <v>2.3987070330791432E-12</v>
      </c>
      <c r="R138" s="142">
        <f t="shared" si="38"/>
        <v>4785253226441405</v>
      </c>
    </row>
    <row r="139" spans="1:18" s="146" customFormat="1" x14ac:dyDescent="0.15">
      <c r="A139" s="145">
        <f t="shared" si="39"/>
        <v>3.3296959417251623E-15</v>
      </c>
      <c r="B139" s="145">
        <f t="shared" si="40"/>
        <v>9.1707441360880624E-8</v>
      </c>
      <c r="C139" s="145">
        <f t="shared" si="41"/>
        <v>2.1999082925553098E-3</v>
      </c>
      <c r="D139" s="146">
        <f t="shared" si="36"/>
        <v>5.0118723362727011E-14</v>
      </c>
      <c r="E139" s="145">
        <f t="shared" si="42"/>
        <v>1.2022644346174181</v>
      </c>
      <c r="F139" s="141">
        <v>13.3</v>
      </c>
      <c r="G139" s="145">
        <f t="shared" si="33"/>
        <v>2.1881537420345137E-5</v>
      </c>
      <c r="H139" s="142">
        <f t="shared" si="43"/>
        <v>-1.9011959863065833E-3</v>
      </c>
      <c r="I139" s="145"/>
      <c r="J139" s="142">
        <f t="shared" si="44"/>
        <v>-7.9432322285194454E-9</v>
      </c>
      <c r="K139" s="142">
        <f t="shared" si="45"/>
        <v>1.2022568488416678</v>
      </c>
      <c r="L139" s="142">
        <f t="shared" si="46"/>
        <v>-1.2003556607985935</v>
      </c>
      <c r="N139" s="145"/>
      <c r="O139" s="145"/>
      <c r="P139" s="398">
        <f t="shared" si="47"/>
        <v>-2.7739244712770584E-15</v>
      </c>
      <c r="Q139" s="514">
        <f t="shared" si="37"/>
        <v>1.5134981553296191E-12</v>
      </c>
      <c r="R139" s="142">
        <f t="shared" si="38"/>
        <v>7584033405597259</v>
      </c>
    </row>
    <row r="140" spans="1:18" s="146" customFormat="1" x14ac:dyDescent="0.15">
      <c r="A140" s="145">
        <f t="shared" si="39"/>
        <v>2.1009141214402274E-15</v>
      </c>
      <c r="B140" s="145">
        <f t="shared" si="40"/>
        <v>7.2846434553943257E-8</v>
      </c>
      <c r="C140" s="145">
        <f t="shared" si="41"/>
        <v>2.1999271535633452E-3</v>
      </c>
      <c r="D140" s="146">
        <f t="shared" si="36"/>
        <v>3.9810717055349592E-14</v>
      </c>
      <c r="E140" s="145">
        <f t="shared" si="42"/>
        <v>1.5135612484362135</v>
      </c>
      <c r="F140" s="141">
        <v>13.4</v>
      </c>
      <c r="G140" s="145">
        <f t="shared" si="33"/>
        <v>2.1881537422802701E-5</v>
      </c>
      <c r="H140" s="142">
        <f t="shared" si="43"/>
        <v>-1.9012148473133903E-3</v>
      </c>
      <c r="I140" s="145"/>
      <c r="J140" s="142">
        <f t="shared" si="44"/>
        <v>-7.943242536525753E-9</v>
      </c>
      <c r="K140" s="142">
        <f t="shared" si="45"/>
        <v>1.5135536626604633</v>
      </c>
      <c r="L140" s="142">
        <f t="shared" si="46"/>
        <v>-1.5116524557563924</v>
      </c>
      <c r="N140" s="145"/>
      <c r="O140" s="145"/>
      <c r="P140" s="398">
        <f t="shared" si="47"/>
        <v>-1.3898129252130136E-15</v>
      </c>
      <c r="Q140" s="514">
        <f t="shared" si="37"/>
        <v>9.5496096429101238E-13</v>
      </c>
      <c r="R140" s="142">
        <f t="shared" si="38"/>
        <v>1.2019779863830912E+16</v>
      </c>
    </row>
    <row r="141" spans="1:18" s="146" customFormat="1" x14ac:dyDescent="0.15">
      <c r="A141" s="145">
        <f t="shared" si="39"/>
        <v>1.3255962226296396E-15</v>
      </c>
      <c r="B141" s="145">
        <f t="shared" si="40"/>
        <v>5.7864373833559741E-8</v>
      </c>
      <c r="C141" s="145">
        <f t="shared" si="41"/>
        <v>2.1999421356248407E-3</v>
      </c>
      <c r="D141" s="146">
        <f t="shared" si="36"/>
        <v>3.1622776601683714E-14</v>
      </c>
      <c r="E141" s="145">
        <f t="shared" si="42"/>
        <v>1.9054607179632523</v>
      </c>
      <c r="F141" s="141">
        <v>13.5</v>
      </c>
      <c r="G141" s="145">
        <f t="shared" si="33"/>
        <v>2.1881537424353337E-5</v>
      </c>
      <c r="H141" s="142">
        <f t="shared" si="43"/>
        <v>-1.9012298293741108E-3</v>
      </c>
      <c r="I141" s="145"/>
      <c r="J141" s="142">
        <f t="shared" si="44"/>
        <v>-7.9432507244662068E-9</v>
      </c>
      <c r="K141" s="142">
        <f t="shared" si="45"/>
        <v>1.9054531321875021</v>
      </c>
      <c r="L141" s="142">
        <f t="shared" si="46"/>
        <v>-1.9035519103013787</v>
      </c>
      <c r="N141" s="145"/>
      <c r="O141" s="145"/>
      <c r="P141" s="398">
        <f t="shared" si="47"/>
        <v>-6.9638039049839484E-16</v>
      </c>
      <c r="Q141" s="514">
        <f t="shared" si="37"/>
        <v>6.0254373755892704E-13</v>
      </c>
      <c r="R141" s="142">
        <f t="shared" si="38"/>
        <v>1.904993754616378E+16</v>
      </c>
    </row>
    <row r="142" spans="1:18" s="146" customFormat="1" x14ac:dyDescent="0.15">
      <c r="A142" s="145">
        <f t="shared" si="39"/>
        <v>8.3639919704885379E-16</v>
      </c>
      <c r="B142" s="145">
        <f t="shared" si="40"/>
        <v>4.5963554564004217E-8</v>
      </c>
      <c r="C142" s="145">
        <f t="shared" si="41"/>
        <v>2.1999540364445996E-3</v>
      </c>
      <c r="D142" s="146">
        <f t="shared" si="36"/>
        <v>2.511886431509576E-14</v>
      </c>
      <c r="E142" s="145">
        <f t="shared" si="42"/>
        <v>2.3988329190194952</v>
      </c>
      <c r="F142" s="141">
        <v>13.6</v>
      </c>
      <c r="G142" s="145">
        <f t="shared" si="33"/>
        <v>2.1881537425331731E-5</v>
      </c>
      <c r="H142" s="142">
        <f t="shared" si="43"/>
        <v>-1.9012417301933803E-3</v>
      </c>
      <c r="I142" s="145"/>
      <c r="J142" s="142">
        <f t="shared" si="44"/>
        <v>-7.9432572283784936E-9</v>
      </c>
      <c r="K142" s="142">
        <f t="shared" si="45"/>
        <v>2.398825333243745</v>
      </c>
      <c r="L142" s="142">
        <f t="shared" si="46"/>
        <v>-2.3969240994568088</v>
      </c>
      <c r="N142" s="145"/>
      <c r="O142" s="145"/>
      <c r="P142" s="398">
        <f t="shared" si="47"/>
        <v>-3.4894688456693252E-16</v>
      </c>
      <c r="Q142" s="514">
        <f t="shared" si="37"/>
        <v>3.8018145320402441E-13</v>
      </c>
      <c r="R142" s="142">
        <f t="shared" si="38"/>
        <v>3.0191953007159884E+16</v>
      </c>
    </row>
    <row r="143" spans="1:18" s="146" customFormat="1" x14ac:dyDescent="0.15">
      <c r="A143" s="145">
        <f t="shared" si="39"/>
        <v>5.2773448397176012E-16</v>
      </c>
      <c r="B143" s="145">
        <f t="shared" si="40"/>
        <v>3.6510306043358596E-8</v>
      </c>
      <c r="C143" s="145">
        <f t="shared" si="41"/>
        <v>2.1999634896934291E-3</v>
      </c>
      <c r="D143" s="146">
        <f t="shared" si="36"/>
        <v>1.9952623149688784E-14</v>
      </c>
      <c r="E143" s="145">
        <f t="shared" si="42"/>
        <v>3.0199517204020196</v>
      </c>
      <c r="F143" s="141">
        <v>13.7</v>
      </c>
      <c r="G143" s="145">
        <f t="shared" si="33"/>
        <v>2.1881537425949062E-5</v>
      </c>
      <c r="H143" s="142">
        <f t="shared" si="43"/>
        <v>-1.9012511834419008E-3</v>
      </c>
      <c r="I143" s="145"/>
      <c r="J143" s="142">
        <f t="shared" si="44"/>
        <v>-7.9432623946196596E-9</v>
      </c>
      <c r="K143" s="142">
        <f t="shared" si="45"/>
        <v>3.0199441346262694</v>
      </c>
      <c r="L143" s="142">
        <f t="shared" si="46"/>
        <v>-3.0180428913860902</v>
      </c>
      <c r="N143" s="145"/>
      <c r="O143" s="145"/>
      <c r="P143" s="398">
        <f t="shared" si="47"/>
        <v>-1.7485983564978051E-16</v>
      </c>
      <c r="Q143" s="514">
        <f t="shared" si="37"/>
        <v>2.3987931089625461E-13</v>
      </c>
      <c r="R143" s="142">
        <f t="shared" si="38"/>
        <v>4.7850815172192832E+16</v>
      </c>
    </row>
    <row r="144" spans="1:18" s="146" customFormat="1" x14ac:dyDescent="0.15">
      <c r="A144" s="145">
        <f t="shared" si="39"/>
        <v>3.3297908513668638E-16</v>
      </c>
      <c r="B144" s="145">
        <f t="shared" si="40"/>
        <v>2.9001265937093998E-8</v>
      </c>
      <c r="C144" s="145">
        <f t="shared" si="41"/>
        <v>2.1999709987337301E-3</v>
      </c>
      <c r="D144" s="146">
        <f t="shared" si="36"/>
        <v>1.5848931924611084E-14</v>
      </c>
      <c r="E144" s="145">
        <f t="shared" si="42"/>
        <v>3.8018939632056128</v>
      </c>
      <c r="F144" s="141">
        <v>13.8</v>
      </c>
      <c r="G144" s="145">
        <f t="shared" si="33"/>
        <v>2.1881537426338572E-5</v>
      </c>
      <c r="H144" s="142">
        <f t="shared" si="43"/>
        <v>-1.9012586924820071E-3</v>
      </c>
      <c r="I144" s="145"/>
      <c r="J144" s="142">
        <f t="shared" si="44"/>
        <v>-7.9432664983108849E-9</v>
      </c>
      <c r="K144" s="142">
        <f t="shared" si="45"/>
        <v>3.8018863774298626</v>
      </c>
      <c r="L144" s="142">
        <f t="shared" si="46"/>
        <v>-3.7999851266806473</v>
      </c>
      <c r="N144" s="145"/>
      <c r="O144" s="145"/>
      <c r="P144" s="398">
        <f t="shared" si="47"/>
        <v>-8.7626418008522405E-17</v>
      </c>
      <c r="Q144" s="514">
        <f t="shared" si="37"/>
        <v>1.513541296075847E-13</v>
      </c>
      <c r="R144" s="142">
        <f t="shared" si="38"/>
        <v>7.5838172364967632E+16</v>
      </c>
    </row>
    <row r="145" spans="1:18" s="146" customFormat="1" x14ac:dyDescent="0.15">
      <c r="A145" s="145">
        <f t="shared" si="39"/>
        <v>2.1009616894773206E-16</v>
      </c>
      <c r="B145" s="145">
        <f t="shared" si="40"/>
        <v>2.30365868344403E-8</v>
      </c>
      <c r="C145" s="145">
        <f t="shared" si="41"/>
        <v>2.1999769634129555E-3</v>
      </c>
      <c r="D145" s="146">
        <f t="shared" si="36"/>
        <v>1.2589254117941644E-14</v>
      </c>
      <c r="E145" s="145">
        <f t="shared" si="42"/>
        <v>4.7863009232263813</v>
      </c>
      <c r="F145" s="141">
        <v>13.9</v>
      </c>
      <c r="G145" s="145">
        <f t="shared" si="33"/>
        <v>2.1881537426584337E-5</v>
      </c>
      <c r="H145" s="142">
        <f t="shared" si="43"/>
        <v>-1.9012646571611098E-3</v>
      </c>
      <c r="I145" s="145"/>
      <c r="J145" s="142">
        <f t="shared" si="44"/>
        <v>-7.9432697579886915E-9</v>
      </c>
      <c r="K145" s="142">
        <f t="shared" si="45"/>
        <v>4.7862933374506307</v>
      </c>
      <c r="L145" s="142">
        <f t="shared" si="46"/>
        <v>-4.7843920807367395</v>
      </c>
      <c r="N145" s="145"/>
      <c r="O145" s="145"/>
      <c r="P145" s="398">
        <f t="shared" si="47"/>
        <v>-4.3912824325923501E-17</v>
      </c>
      <c r="Q145" s="514">
        <f t="shared" si="37"/>
        <v>9.5498258612605468E-14</v>
      </c>
      <c r="R145" s="142">
        <f t="shared" si="38"/>
        <v>1.2019507723059722E+17</v>
      </c>
    </row>
    <row r="146" spans="1:18" s="146" customFormat="1" x14ac:dyDescent="0.15">
      <c r="A146" s="145">
        <f t="shared" si="39"/>
        <v>1.3256200633360815E-16</v>
      </c>
      <c r="B146" s="145">
        <f t="shared" si="40"/>
        <v>1.8298650762710018E-8</v>
      </c>
      <c r="C146" s="145">
        <f t="shared" si="41"/>
        <v>2.1999817013491048E-3</v>
      </c>
      <c r="D146" s="146">
        <f t="shared" si="36"/>
        <v>1E-14</v>
      </c>
      <c r="E146" s="145">
        <f t="shared" si="42"/>
        <v>6.0255958607435698</v>
      </c>
      <c r="F146" s="141">
        <v>14</v>
      </c>
      <c r="G146" s="145">
        <f t="shared" si="33"/>
        <v>2.1881537426739405E-5</v>
      </c>
      <c r="H146" s="142">
        <f t="shared" si="43"/>
        <v>-1.9012693950971817E-3</v>
      </c>
      <c r="I146" s="145"/>
      <c r="J146" s="142">
        <f t="shared" si="44"/>
        <v>-7.9432723472428088E-9</v>
      </c>
      <c r="K146" s="142">
        <f t="shared" si="45"/>
        <v>6.0255882749678191</v>
      </c>
      <c r="L146" s="142">
        <f t="shared" si="46"/>
        <v>-6.0236870135159943</v>
      </c>
      <c r="N146" s="145"/>
      <c r="O146" s="145"/>
      <c r="P146" s="398">
        <f t="shared" si="47"/>
        <v>-2.2006788539338866E-17</v>
      </c>
      <c r="Q146" s="514">
        <f t="shared" si="37"/>
        <v>6.0255457424367337E-14</v>
      </c>
      <c r="R146" s="142">
        <f t="shared" si="38"/>
        <v>1.9049594941233955E+17</v>
      </c>
    </row>
  </sheetData>
  <mergeCells count="2">
    <mergeCell ref="A4:E4"/>
    <mergeCell ref="G4:L4"/>
  </mergeCells>
  <pageMargins left="0.7" right="0.7" top="0.75" bottom="0.75" header="0.3" footer="0.3"/>
  <pageSetup orientation="portrait" horizontalDpi="0" verticalDpi="0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CA43F5-658B-C64A-84D7-C8EF6B376D76}">
  <dimension ref="A1:N173"/>
  <sheetViews>
    <sheetView workbookViewId="0">
      <pane ySplit="1" topLeftCell="A2" activePane="bottomLeft" state="frozen"/>
      <selection pane="bottomLeft" activeCell="L26" sqref="L26"/>
    </sheetView>
  </sheetViews>
  <sheetFormatPr baseColWidth="10" defaultRowHeight="13" x14ac:dyDescent="0.15"/>
  <cols>
    <col min="1" max="1" width="28.6640625" style="12" customWidth="1"/>
    <col min="2" max="2" width="16.83203125" style="12" customWidth="1"/>
    <col min="3" max="4" width="16.83203125" style="523" customWidth="1"/>
    <col min="5" max="5" width="16.83203125" style="12" customWidth="1"/>
    <col min="6" max="6" width="16.83203125" style="523" customWidth="1"/>
    <col min="7" max="22" width="16.83203125" style="12" customWidth="1"/>
    <col min="23" max="16384" width="10.83203125" style="12"/>
  </cols>
  <sheetData>
    <row r="1" spans="1:3" s="617" customFormat="1" ht="27" x14ac:dyDescent="0.35">
      <c r="A1" s="615" t="s">
        <v>344</v>
      </c>
      <c r="B1" s="616">
        <f>H2_cost_infl*tons_to_kg</f>
        <v>138.15249440013105</v>
      </c>
      <c r="C1" s="615" t="s">
        <v>150</v>
      </c>
    </row>
    <row r="2" spans="1:3" s="617" customFormat="1" ht="23" x14ac:dyDescent="0.25">
      <c r="A2" s="615"/>
      <c r="B2" s="616"/>
      <c r="C2" s="615"/>
    </row>
    <row r="3" spans="1:3" ht="20" x14ac:dyDescent="0.25">
      <c r="A3" s="618" t="s">
        <v>533</v>
      </c>
    </row>
    <row r="33" spans="1:11" ht="18" x14ac:dyDescent="0.2">
      <c r="A33" s="618" t="s">
        <v>534</v>
      </c>
    </row>
    <row r="34" spans="1:11" x14ac:dyDescent="0.15">
      <c r="C34" s="12"/>
    </row>
    <row r="35" spans="1:11" x14ac:dyDescent="0.15">
      <c r="A35" s="7" t="s">
        <v>535</v>
      </c>
      <c r="C35" s="12"/>
      <c r="E35" s="7" t="s">
        <v>536</v>
      </c>
    </row>
    <row r="36" spans="1:11" ht="16" x14ac:dyDescent="0.15">
      <c r="A36" s="619" t="s">
        <v>289</v>
      </c>
      <c r="B36" s="417"/>
      <c r="C36" s="417"/>
      <c r="E36" s="619" t="s">
        <v>289</v>
      </c>
      <c r="F36" s="417"/>
      <c r="G36" s="417"/>
    </row>
    <row r="37" spans="1:11" x14ac:dyDescent="0.15">
      <c r="A37" s="620" t="s">
        <v>472</v>
      </c>
      <c r="B37" s="319">
        <v>7709</v>
      </c>
      <c r="C37" s="417" t="s">
        <v>471</v>
      </c>
      <c r="E37" s="620" t="s">
        <v>472</v>
      </c>
      <c r="F37" s="319">
        <v>1000000</v>
      </c>
      <c r="G37" s="417" t="s">
        <v>471</v>
      </c>
    </row>
    <row r="38" spans="1:11" ht="15" x14ac:dyDescent="0.2">
      <c r="A38" s="621" t="s">
        <v>286</v>
      </c>
      <c r="B38" s="622">
        <f>B37*tons_to_kg/365</f>
        <v>21120.547945205479</v>
      </c>
      <c r="C38" s="623" t="s">
        <v>109</v>
      </c>
      <c r="E38" s="621" t="s">
        <v>286</v>
      </c>
      <c r="F38" s="622">
        <f>F37*tons_to_kg/365</f>
        <v>2739726.0273972601</v>
      </c>
      <c r="G38" s="623" t="s">
        <v>109</v>
      </c>
      <c r="I38" s="7" t="s">
        <v>537</v>
      </c>
      <c r="J38" s="7" t="s">
        <v>538</v>
      </c>
    </row>
    <row r="39" spans="1:11" ht="16" x14ac:dyDescent="0.2">
      <c r="A39" s="621" t="s">
        <v>287</v>
      </c>
      <c r="B39" s="368">
        <f>B38/molar_mass*vol_mol*l_to_m3/ft3_to_m3/day_to_min</f>
        <v>263.69011981115818</v>
      </c>
      <c r="C39" s="417" t="s">
        <v>539</v>
      </c>
      <c r="E39" s="621" t="s">
        <v>287</v>
      </c>
      <c r="F39" s="368">
        <f>F38/molar_mass*vol_mol*l_to_m3/ft3_to_m3/day_to_min</f>
        <v>34205.489662882108</v>
      </c>
      <c r="G39" s="417" t="s">
        <v>539</v>
      </c>
      <c r="I39" s="624">
        <v>7709</v>
      </c>
      <c r="J39" s="625">
        <v>667</v>
      </c>
      <c r="K39" s="12" t="s">
        <v>540</v>
      </c>
    </row>
    <row r="40" spans="1:11" ht="14" x14ac:dyDescent="0.15">
      <c r="A40" s="621" t="s">
        <v>117</v>
      </c>
      <c r="B40" s="369">
        <f>B38/molar_mass/day_to_min/60</f>
        <v>5.5556996909736638</v>
      </c>
      <c r="C40" s="417" t="s">
        <v>117</v>
      </c>
      <c r="E40" s="621" t="s">
        <v>117</v>
      </c>
      <c r="F40" s="369">
        <f>F38/molar_mass/day_to_min/60</f>
        <v>720.67709054010425</v>
      </c>
      <c r="G40" s="417" t="s">
        <v>117</v>
      </c>
      <c r="I40" s="624">
        <v>100000</v>
      </c>
      <c r="J40" s="625">
        <v>250.02</v>
      </c>
    </row>
    <row r="41" spans="1:11" ht="14" x14ac:dyDescent="0.15">
      <c r="A41" s="621" t="s">
        <v>470</v>
      </c>
      <c r="B41" s="369">
        <f>B38/molar_mass/24/1000</f>
        <v>20.000518887505191</v>
      </c>
      <c r="C41" s="417" t="s">
        <v>470</v>
      </c>
      <c r="E41" s="621" t="s">
        <v>470</v>
      </c>
      <c r="F41" s="369">
        <f>F38/molar_mass/24/1000</f>
        <v>2594.437525944375</v>
      </c>
      <c r="G41" s="417" t="s">
        <v>470</v>
      </c>
      <c r="I41" s="624">
        <v>1000000</v>
      </c>
      <c r="J41" s="625">
        <v>163.97</v>
      </c>
    </row>
    <row r="42" spans="1:11" ht="14" x14ac:dyDescent="0.15">
      <c r="A42" s="621" t="s">
        <v>288</v>
      </c>
      <c r="B42" s="369">
        <f>B38/day_to_min/60</f>
        <v>0.24445078640284118</v>
      </c>
      <c r="C42" s="417" t="s">
        <v>288</v>
      </c>
      <c r="E42" s="621" t="s">
        <v>288</v>
      </c>
      <c r="F42" s="369">
        <f>F38/day_to_min/60</f>
        <v>31.709791983764585</v>
      </c>
      <c r="G42" s="417" t="s">
        <v>288</v>
      </c>
    </row>
    <row r="43" spans="1:11" x14ac:dyDescent="0.15">
      <c r="C43" s="12"/>
      <c r="F43" s="12"/>
    </row>
    <row r="44" spans="1:11" x14ac:dyDescent="0.15">
      <c r="F44" s="12"/>
      <c r="G44" s="523"/>
    </row>
    <row r="45" spans="1:11" ht="16" x14ac:dyDescent="0.15">
      <c r="A45" s="171" t="s">
        <v>204</v>
      </c>
      <c r="B45" s="414"/>
      <c r="C45" s="414"/>
      <c r="E45" s="171" t="s">
        <v>204</v>
      </c>
      <c r="F45" s="414"/>
      <c r="G45" s="414"/>
    </row>
    <row r="46" spans="1:11" ht="16" x14ac:dyDescent="0.15">
      <c r="A46" s="626" t="s">
        <v>302</v>
      </c>
      <c r="B46" s="393">
        <f>B38/m3OW_to_kgCO2</f>
        <v>272734.3484659798</v>
      </c>
      <c r="C46" s="414" t="s">
        <v>262</v>
      </c>
      <c r="E46" s="626" t="s">
        <v>302</v>
      </c>
      <c r="F46" s="393">
        <f>F38/m3OW_to_kgCO2</f>
        <v>35378693.53560511</v>
      </c>
      <c r="G46" s="414" t="s">
        <v>262</v>
      </c>
    </row>
    <row r="47" spans="1:11" ht="16" x14ac:dyDescent="0.15">
      <c r="A47" s="626" t="s">
        <v>303</v>
      </c>
      <c r="B47" s="393">
        <f>B46/24</f>
        <v>11363.931186082491</v>
      </c>
      <c r="C47" s="414" t="s">
        <v>290</v>
      </c>
      <c r="E47" s="626" t="s">
        <v>303</v>
      </c>
      <c r="F47" s="393">
        <f>F46/24</f>
        <v>1474112.2306502128</v>
      </c>
      <c r="G47" s="414" t="s">
        <v>290</v>
      </c>
    </row>
    <row r="48" spans="1:11" ht="14" x14ac:dyDescent="0.15">
      <c r="A48" s="626" t="s">
        <v>122</v>
      </c>
      <c r="B48" s="393">
        <f>B47*264.172/60</f>
        <v>50033.873821496403</v>
      </c>
      <c r="C48" s="414" t="s">
        <v>122</v>
      </c>
      <c r="E48" s="626" t="s">
        <v>122</v>
      </c>
      <c r="F48" s="393">
        <f>F47*264.172/60</f>
        <v>6490319.6032554675</v>
      </c>
      <c r="G48" s="414" t="s">
        <v>122</v>
      </c>
    </row>
    <row r="49" spans="1:14" ht="14" x14ac:dyDescent="0.15">
      <c r="A49" s="626" t="s">
        <v>291</v>
      </c>
      <c r="B49" s="393">
        <f>B46*264.172/1000000</f>
        <v>72.04877830295483</v>
      </c>
      <c r="C49" s="627" t="s">
        <v>291</v>
      </c>
      <c r="E49" s="626" t="s">
        <v>291</v>
      </c>
      <c r="F49" s="393">
        <f>F46*264.172/1000000</f>
        <v>9346.060228687873</v>
      </c>
      <c r="G49" s="627" t="s">
        <v>291</v>
      </c>
    </row>
    <row r="50" spans="1:14" x14ac:dyDescent="0.15">
      <c r="A50" s="414" t="s">
        <v>304</v>
      </c>
      <c r="B50" s="393">
        <f>B47/hr_to_s/l_to_m3</f>
        <v>3156.6475516895807</v>
      </c>
      <c r="C50" s="414" t="s">
        <v>304</v>
      </c>
      <c r="E50" s="414" t="s">
        <v>304</v>
      </c>
      <c r="F50" s="393">
        <f>F47/hr_to_s/l_to_m3</f>
        <v>409475.61962505913</v>
      </c>
      <c r="G50" s="414" t="s">
        <v>304</v>
      </c>
    </row>
    <row r="51" spans="1:14" x14ac:dyDescent="0.15">
      <c r="A51" s="414"/>
      <c r="B51" s="393"/>
      <c r="C51" s="414"/>
      <c r="E51" s="414"/>
      <c r="F51" s="393"/>
      <c r="G51" s="414"/>
    </row>
    <row r="52" spans="1:14" x14ac:dyDescent="0.15">
      <c r="C52" s="12"/>
    </row>
    <row r="53" spans="1:14" ht="18" x14ac:dyDescent="0.2">
      <c r="A53" s="618" t="s">
        <v>541</v>
      </c>
    </row>
    <row r="55" spans="1:14" ht="16" x14ac:dyDescent="0.2">
      <c r="A55" s="416" t="s">
        <v>468</v>
      </c>
      <c r="B55" s="417"/>
      <c r="C55" s="628"/>
      <c r="D55" s="628"/>
      <c r="E55" s="417" t="s">
        <v>542</v>
      </c>
      <c r="F55" s="628"/>
      <c r="H55" s="416" t="s">
        <v>362</v>
      </c>
      <c r="I55" s="417"/>
      <c r="J55" s="417"/>
      <c r="K55" s="417"/>
      <c r="L55" s="417"/>
      <c r="M55" s="417"/>
      <c r="N55" s="417"/>
    </row>
    <row r="56" spans="1:14" x14ac:dyDescent="0.15">
      <c r="A56" s="417"/>
      <c r="B56" s="417"/>
      <c r="C56" s="628"/>
      <c r="D56" s="628"/>
      <c r="E56" s="417"/>
      <c r="F56" s="628"/>
      <c r="H56" s="417"/>
      <c r="I56" s="417"/>
      <c r="J56" s="417"/>
      <c r="K56" s="417"/>
      <c r="L56" s="417"/>
      <c r="M56" s="417"/>
      <c r="N56" s="417"/>
    </row>
    <row r="57" spans="1:14" x14ac:dyDescent="0.15">
      <c r="A57" s="417"/>
      <c r="B57" s="418" t="s">
        <v>432</v>
      </c>
      <c r="C57" s="629" t="s">
        <v>430</v>
      </c>
      <c r="D57" s="629" t="s">
        <v>431</v>
      </c>
      <c r="E57" s="418" t="s">
        <v>543</v>
      </c>
      <c r="F57" s="630" t="s">
        <v>544</v>
      </c>
      <c r="H57" s="417"/>
      <c r="I57" s="418" t="s">
        <v>432</v>
      </c>
      <c r="J57" s="418" t="s">
        <v>430</v>
      </c>
      <c r="K57" s="418" t="s">
        <v>431</v>
      </c>
      <c r="L57" s="418" t="s">
        <v>394</v>
      </c>
      <c r="M57" s="418" t="s">
        <v>392</v>
      </c>
      <c r="N57" s="418" t="s">
        <v>393</v>
      </c>
    </row>
    <row r="58" spans="1:14" x14ac:dyDescent="0.15">
      <c r="A58" s="417" t="s">
        <v>112</v>
      </c>
      <c r="B58" s="445">
        <v>40</v>
      </c>
      <c r="C58" s="628">
        <v>58</v>
      </c>
      <c r="D58" s="628">
        <v>15</v>
      </c>
      <c r="E58" s="631">
        <v>9</v>
      </c>
      <c r="F58" s="632"/>
      <c r="H58" s="240" t="s">
        <v>189</v>
      </c>
      <c r="I58" s="445">
        <v>23.489623599017968</v>
      </c>
      <c r="J58" s="445">
        <v>20.945834494765315</v>
      </c>
      <c r="K58" s="445">
        <v>0</v>
      </c>
      <c r="L58" s="542">
        <v>0.15474652882225337</v>
      </c>
      <c r="M58" s="446">
        <v>0.17863402914781995</v>
      </c>
      <c r="N58" s="434">
        <v>0</v>
      </c>
    </row>
    <row r="59" spans="1:14" x14ac:dyDescent="0.15">
      <c r="A59" s="417" t="s">
        <v>545</v>
      </c>
      <c r="B59" s="445">
        <v>169</v>
      </c>
      <c r="C59" s="628">
        <v>15</v>
      </c>
      <c r="D59" s="628">
        <v>56</v>
      </c>
      <c r="E59" s="631">
        <v>54</v>
      </c>
      <c r="F59" s="632"/>
      <c r="H59" s="243" t="s">
        <v>113</v>
      </c>
      <c r="I59" s="445">
        <v>30.510205299020118</v>
      </c>
      <c r="J59" s="445">
        <v>0</v>
      </c>
      <c r="K59" s="445">
        <v>0</v>
      </c>
      <c r="L59" s="444">
        <v>0.20099719111186909</v>
      </c>
      <c r="M59" s="446">
        <v>0</v>
      </c>
      <c r="N59" s="434">
        <v>0</v>
      </c>
    </row>
    <row r="60" spans="1:14" x14ac:dyDescent="0.15">
      <c r="A60" s="417" t="s">
        <v>29</v>
      </c>
      <c r="B60" s="445">
        <f>SUM(B58:B59)</f>
        <v>209</v>
      </c>
      <c r="C60" s="628">
        <f>SUM(C58:C59)</f>
        <v>73</v>
      </c>
      <c r="D60" s="628">
        <f>SUM(D58:D59)</f>
        <v>71</v>
      </c>
      <c r="E60" s="445">
        <f>SUM(E58:E59)</f>
        <v>63</v>
      </c>
      <c r="F60" s="628">
        <v>20</v>
      </c>
      <c r="H60" s="243" t="s">
        <v>404</v>
      </c>
      <c r="I60" s="445">
        <v>16.167343454376901</v>
      </c>
      <c r="J60" s="445">
        <v>0.84717221897353479</v>
      </c>
      <c r="K60" s="445">
        <v>29.635732238666428</v>
      </c>
      <c r="L60" s="444">
        <v>0.10650831714249348</v>
      </c>
      <c r="M60" s="446">
        <v>7.2250063321737008E-3</v>
      </c>
      <c r="N60" s="434">
        <v>0.13821274921063112</v>
      </c>
    </row>
    <row r="61" spans="1:14" x14ac:dyDescent="0.15">
      <c r="A61" s="417"/>
      <c r="B61" s="633"/>
      <c r="C61" s="628"/>
      <c r="D61" s="628"/>
      <c r="E61" s="418" t="s">
        <v>258</v>
      </c>
      <c r="F61" s="629">
        <f>SUM(B60:F60)</f>
        <v>436</v>
      </c>
      <c r="H61" s="58" t="s">
        <v>148</v>
      </c>
      <c r="I61" s="445">
        <v>3.3820784105128228</v>
      </c>
      <c r="J61" s="445">
        <v>0.73941210145141745</v>
      </c>
      <c r="K61" s="445">
        <v>0</v>
      </c>
      <c r="L61" s="443">
        <v>2.2280684576547399E-2</v>
      </c>
      <c r="M61" s="446">
        <v>6.3059871362935276E-3</v>
      </c>
      <c r="N61" s="434">
        <v>0</v>
      </c>
    </row>
    <row r="62" spans="1:14" x14ac:dyDescent="0.15">
      <c r="A62" s="634"/>
      <c r="B62" s="401"/>
      <c r="H62" s="58" t="s">
        <v>112</v>
      </c>
      <c r="I62" s="445">
        <v>34.858521714244063</v>
      </c>
      <c r="J62" s="445">
        <v>83.01186359301802</v>
      </c>
      <c r="K62" s="445">
        <v>88.072324499650378</v>
      </c>
      <c r="L62" s="443">
        <v>0.22964332367505164</v>
      </c>
      <c r="M62" s="446">
        <v>0.70795669011879026</v>
      </c>
      <c r="N62" s="434">
        <v>0.41074463760289592</v>
      </c>
    </row>
    <row r="63" spans="1:14" ht="16" x14ac:dyDescent="0.2">
      <c r="A63" s="416" t="s">
        <v>546</v>
      </c>
      <c r="B63" s="417"/>
      <c r="C63" s="628"/>
      <c r="D63" s="628"/>
      <c r="E63" s="417" t="s">
        <v>547</v>
      </c>
      <c r="F63" s="628"/>
      <c r="H63" s="58" t="s">
        <v>577</v>
      </c>
      <c r="I63" s="445">
        <v>43.386414945273458</v>
      </c>
      <c r="J63" s="445">
        <v>11.711285272194868</v>
      </c>
      <c r="K63" s="445">
        <v>44.5095563142768</v>
      </c>
      <c r="L63" s="443">
        <v>0.28582395467178506</v>
      </c>
      <c r="M63" s="446">
        <v>9.9878287264922483E-2</v>
      </c>
      <c r="N63" s="434">
        <v>0.207580096040793</v>
      </c>
    </row>
    <row r="64" spans="1:14" x14ac:dyDescent="0.15">
      <c r="A64" s="417"/>
      <c r="B64" s="417"/>
      <c r="C64" s="628"/>
      <c r="D64" s="628"/>
      <c r="E64" s="417"/>
      <c r="F64" s="628"/>
      <c r="H64" s="58" t="s">
        <v>345</v>
      </c>
      <c r="I64" s="445">
        <v>0</v>
      </c>
      <c r="J64" s="445">
        <v>0</v>
      </c>
      <c r="K64" s="445">
        <v>52.203505172199485</v>
      </c>
      <c r="L64" s="434">
        <v>0</v>
      </c>
      <c r="M64" s="434">
        <v>0</v>
      </c>
      <c r="N64" s="434">
        <v>0.24346251714567951</v>
      </c>
    </row>
    <row r="65" spans="1:14" x14ac:dyDescent="0.15">
      <c r="A65" s="417"/>
      <c r="B65" s="418" t="s">
        <v>432</v>
      </c>
      <c r="C65" s="629" t="s">
        <v>430</v>
      </c>
      <c r="D65" s="629" t="s">
        <v>431</v>
      </c>
      <c r="E65" s="418" t="s">
        <v>543</v>
      </c>
      <c r="F65" s="635" t="s">
        <v>544</v>
      </c>
      <c r="H65" s="141" t="s">
        <v>29</v>
      </c>
      <c r="I65" s="445">
        <v>151.79418742244533</v>
      </c>
      <c r="J65" s="445">
        <v>117.25556768040316</v>
      </c>
      <c r="K65" s="445">
        <v>214.42111822479308</v>
      </c>
      <c r="L65" s="434">
        <v>1</v>
      </c>
      <c r="M65" s="434">
        <v>1</v>
      </c>
      <c r="N65" s="434">
        <v>0.99999999999999956</v>
      </c>
    </row>
    <row r="66" spans="1:14" x14ac:dyDescent="0.15">
      <c r="A66" s="417" t="s">
        <v>112</v>
      </c>
      <c r="B66" s="445">
        <f>I62</f>
        <v>34.858521714244063</v>
      </c>
      <c r="C66" s="445">
        <f>J62</f>
        <v>83.01186359301802</v>
      </c>
      <c r="D66" s="445">
        <f>K62</f>
        <v>88.072324499650378</v>
      </c>
      <c r="E66" s="318"/>
      <c r="F66" s="636"/>
      <c r="H66" s="399"/>
      <c r="I66" s="401"/>
      <c r="J66" s="452" t="s">
        <v>29</v>
      </c>
      <c r="K66" s="441">
        <v>729.04625303218165</v>
      </c>
    </row>
    <row r="67" spans="1:14" x14ac:dyDescent="0.15">
      <c r="A67" s="417" t="s">
        <v>545</v>
      </c>
      <c r="B67" s="445">
        <f>B68-B66</f>
        <v>116.93566570820127</v>
      </c>
      <c r="C67" s="445">
        <f>C68-C66</f>
        <v>34.24370408738514</v>
      </c>
      <c r="D67" s="445">
        <f>D68-D66</f>
        <v>126.3487937251427</v>
      </c>
      <c r="E67" s="318">
        <v>216.59</v>
      </c>
      <c r="F67" s="636"/>
    </row>
    <row r="68" spans="1:14" x14ac:dyDescent="0.15">
      <c r="A68" s="417" t="s">
        <v>29</v>
      </c>
      <c r="B68" s="445">
        <f>I65</f>
        <v>151.79418742244533</v>
      </c>
      <c r="C68" s="445">
        <f>J65</f>
        <v>117.25556768040316</v>
      </c>
      <c r="D68" s="445">
        <f>K65</f>
        <v>214.42111822479308</v>
      </c>
      <c r="E68" s="445">
        <f>E67</f>
        <v>216.59</v>
      </c>
      <c r="F68" s="628">
        <v>20</v>
      </c>
    </row>
    <row r="69" spans="1:14" x14ac:dyDescent="0.15">
      <c r="A69" s="417"/>
      <c r="B69" s="637"/>
      <c r="C69" s="628"/>
      <c r="D69" s="628"/>
      <c r="E69" s="418" t="s">
        <v>258</v>
      </c>
      <c r="F69" s="629">
        <f>SUM(B68:F68)</f>
        <v>720.06087332764162</v>
      </c>
    </row>
    <row r="72" spans="1:14" ht="18" x14ac:dyDescent="0.2">
      <c r="A72" s="618" t="s">
        <v>548</v>
      </c>
      <c r="C72" s="12"/>
    </row>
    <row r="73" spans="1:14" x14ac:dyDescent="0.15">
      <c r="C73" s="12"/>
    </row>
    <row r="74" spans="1:14" ht="16" x14ac:dyDescent="0.2">
      <c r="A74" s="539"/>
      <c r="B74" s="540" t="s">
        <v>546</v>
      </c>
      <c r="C74" s="638" t="s">
        <v>549</v>
      </c>
      <c r="E74" s="236" t="s">
        <v>28</v>
      </c>
      <c r="F74" s="236"/>
      <c r="G74" s="237"/>
      <c r="H74" s="238"/>
      <c r="I74" s="238"/>
    </row>
    <row r="75" spans="1:14" ht="42" x14ac:dyDescent="0.15">
      <c r="A75" s="539" t="s">
        <v>550</v>
      </c>
      <c r="B75" s="639">
        <v>0.02</v>
      </c>
      <c r="C75" s="639">
        <f>40*0.001</f>
        <v>0.04</v>
      </c>
      <c r="E75" s="316"/>
      <c r="F75" s="316"/>
      <c r="G75" s="101" t="s">
        <v>334</v>
      </c>
      <c r="H75" s="101" t="s">
        <v>176</v>
      </c>
      <c r="I75" s="101" t="s">
        <v>335</v>
      </c>
    </row>
    <row r="76" spans="1:14" x14ac:dyDescent="0.15">
      <c r="A76" s="539" t="s">
        <v>551</v>
      </c>
      <c r="B76" s="640">
        <f>6600/80</f>
        <v>82.5</v>
      </c>
      <c r="C76" s="640">
        <v>110</v>
      </c>
      <c r="E76" s="240" t="s">
        <v>189</v>
      </c>
      <c r="F76" s="240"/>
      <c r="G76" s="241">
        <f>cap_intake</f>
        <v>3249551.2565396908</v>
      </c>
      <c r="H76" s="242">
        <f>G76*CEPCI_inflator</f>
        <v>3249551.2565396908</v>
      </c>
      <c r="I76" s="98">
        <f>H76*scale_ratio^scaling_factor_exponent</f>
        <v>47844549.71554742</v>
      </c>
    </row>
    <row r="77" spans="1:14" x14ac:dyDescent="0.15">
      <c r="A77" s="539" t="s">
        <v>552</v>
      </c>
      <c r="B77" s="640">
        <f>0.04*10^4</f>
        <v>400</v>
      </c>
      <c r="C77" s="640">
        <v>460</v>
      </c>
      <c r="E77" s="243" t="s">
        <v>113</v>
      </c>
      <c r="F77" s="243"/>
      <c r="G77" s="244">
        <f>cap_screening</f>
        <v>4220777.5509378407</v>
      </c>
      <c r="H77" s="242">
        <f>G77*CEPCI_inflator</f>
        <v>4220777.5509378407</v>
      </c>
      <c r="I77" s="98" cm="1">
        <f t="array" ref="I77">H77*scale_ratio^scaling_factor_exponent</f>
        <v>62144334.842451639</v>
      </c>
    </row>
    <row r="78" spans="1:14" x14ac:dyDescent="0.15">
      <c r="A78" s="539" t="s">
        <v>553</v>
      </c>
      <c r="B78" s="641">
        <f>I76/MGD/1000000</f>
        <v>0.45277839547290599</v>
      </c>
      <c r="C78" s="642">
        <v>0.4</v>
      </c>
      <c r="E78" s="243" t="s">
        <v>192</v>
      </c>
      <c r="F78" s="243"/>
      <c r="G78" s="244">
        <f>cap_micro</f>
        <v>2236588.0413373508</v>
      </c>
      <c r="H78" s="242">
        <f>G78*CEPCI_inflator</f>
        <v>2236588.0413373508</v>
      </c>
      <c r="I78" s="98" cm="1">
        <f t="array" ref="I78">H78*scale_ratio^scaling_factor_exponent</f>
        <v>32930253.837852236</v>
      </c>
    </row>
    <row r="79" spans="1:14" x14ac:dyDescent="0.15">
      <c r="A79" s="539" t="s">
        <v>554</v>
      </c>
      <c r="B79" s="539"/>
      <c r="C79" s="642">
        <v>0.5</v>
      </c>
    </row>
    <row r="80" spans="1:14" x14ac:dyDescent="0.15">
      <c r="A80" s="539" t="s">
        <v>555</v>
      </c>
      <c r="B80" s="643">
        <f>SUM(I77:I78)/MGD/1000000</f>
        <v>0.89974134919961102</v>
      </c>
      <c r="C80" s="642">
        <v>0.5</v>
      </c>
    </row>
    <row r="81" spans="1:7" x14ac:dyDescent="0.15">
      <c r="C81" s="12"/>
    </row>
    <row r="82" spans="1:7" x14ac:dyDescent="0.15">
      <c r="C82" s="12"/>
    </row>
    <row r="83" spans="1:7" ht="18" x14ac:dyDescent="0.2">
      <c r="A83" s="618" t="s">
        <v>556</v>
      </c>
      <c r="C83" s="12"/>
    </row>
    <row r="84" spans="1:7" x14ac:dyDescent="0.15">
      <c r="C84" s="12"/>
    </row>
    <row r="85" spans="1:7" ht="16" x14ac:dyDescent="0.2">
      <c r="A85" s="422" t="s">
        <v>468</v>
      </c>
      <c r="B85" s="423"/>
      <c r="C85" s="519"/>
      <c r="D85" s="519" t="s">
        <v>557</v>
      </c>
      <c r="E85" s="423"/>
      <c r="F85" s="519"/>
    </row>
    <row r="86" spans="1:7" x14ac:dyDescent="0.15">
      <c r="A86" s="423"/>
      <c r="B86" s="423"/>
      <c r="C86" s="519"/>
      <c r="D86" s="519"/>
      <c r="E86" s="423"/>
      <c r="F86" s="519"/>
    </row>
    <row r="87" spans="1:7" x14ac:dyDescent="0.15">
      <c r="A87" s="424" t="s">
        <v>201</v>
      </c>
      <c r="B87" s="424" t="s">
        <v>558</v>
      </c>
      <c r="C87" s="644" t="s">
        <v>559</v>
      </c>
      <c r="D87" s="644" t="s">
        <v>560</v>
      </c>
      <c r="E87" s="424" t="s">
        <v>561</v>
      </c>
      <c r="F87" s="644" t="s">
        <v>562</v>
      </c>
      <c r="G87" s="7"/>
    </row>
    <row r="88" spans="1:7" x14ac:dyDescent="0.15">
      <c r="A88" s="423" t="s">
        <v>563</v>
      </c>
      <c r="B88" s="423">
        <v>192</v>
      </c>
      <c r="C88" s="519">
        <v>6930</v>
      </c>
      <c r="D88" s="519">
        <f>B88*C88</f>
        <v>1330560</v>
      </c>
      <c r="E88" s="423">
        <v>2.9</v>
      </c>
      <c r="F88" s="519">
        <f>D88*E88</f>
        <v>3858624</v>
      </c>
    </row>
    <row r="89" spans="1:7" x14ac:dyDescent="0.15">
      <c r="A89" s="423" t="s">
        <v>564</v>
      </c>
      <c r="B89" s="423">
        <v>1</v>
      </c>
      <c r="C89" s="519">
        <v>506500</v>
      </c>
      <c r="D89" s="519">
        <f t="shared" ref="D89:D96" si="0">B89*C89</f>
        <v>506500</v>
      </c>
      <c r="E89" s="423">
        <v>2.2999999999999998</v>
      </c>
      <c r="F89" s="519">
        <f t="shared" ref="F89:F96" si="1">D89*E89</f>
        <v>1164950</v>
      </c>
    </row>
    <row r="90" spans="1:7" x14ac:dyDescent="0.15">
      <c r="A90" s="423" t="s">
        <v>565</v>
      </c>
      <c r="B90" s="423">
        <v>1</v>
      </c>
      <c r="C90" s="519">
        <v>822400</v>
      </c>
      <c r="D90" s="519">
        <f t="shared" si="0"/>
        <v>822400</v>
      </c>
      <c r="E90" s="423">
        <v>2.2999999999999998</v>
      </c>
      <c r="F90" s="519">
        <f t="shared" si="1"/>
        <v>1891519.9999999998</v>
      </c>
    </row>
    <row r="91" spans="1:7" x14ac:dyDescent="0.15">
      <c r="A91" s="423" t="s">
        <v>566</v>
      </c>
      <c r="B91" s="423">
        <v>1</v>
      </c>
      <c r="C91" s="519">
        <v>69200</v>
      </c>
      <c r="D91" s="519">
        <f t="shared" si="0"/>
        <v>69200</v>
      </c>
      <c r="E91" s="423">
        <v>4.0999999999999996</v>
      </c>
      <c r="F91" s="519">
        <f t="shared" si="1"/>
        <v>283720</v>
      </c>
    </row>
    <row r="92" spans="1:7" x14ac:dyDescent="0.15">
      <c r="A92" s="423" t="s">
        <v>567</v>
      </c>
      <c r="B92" s="423">
        <v>1</v>
      </c>
      <c r="C92" s="519">
        <v>120700</v>
      </c>
      <c r="D92" s="519">
        <f t="shared" si="0"/>
        <v>120700</v>
      </c>
      <c r="E92" s="423">
        <v>4.0999999999999996</v>
      </c>
      <c r="F92" s="519">
        <f t="shared" si="1"/>
        <v>494869.99999999994</v>
      </c>
      <c r="G92" s="645">
        <f>SUM(F89:F92)</f>
        <v>3835060</v>
      </c>
    </row>
    <row r="93" spans="1:7" x14ac:dyDescent="0.15">
      <c r="A93" s="423" t="s">
        <v>568</v>
      </c>
      <c r="B93" s="423">
        <v>4</v>
      </c>
      <c r="C93" s="519">
        <v>422700</v>
      </c>
      <c r="D93" s="519">
        <f t="shared" si="0"/>
        <v>1690800</v>
      </c>
      <c r="E93" s="423">
        <v>1.4</v>
      </c>
      <c r="F93" s="519">
        <f t="shared" si="1"/>
        <v>2367120</v>
      </c>
    </row>
    <row r="94" spans="1:7" x14ac:dyDescent="0.15">
      <c r="A94" s="423" t="s">
        <v>115</v>
      </c>
      <c r="B94" s="423">
        <v>1</v>
      </c>
      <c r="C94" s="519">
        <v>21000</v>
      </c>
      <c r="D94" s="519">
        <f t="shared" si="0"/>
        <v>21000</v>
      </c>
      <c r="E94" s="423">
        <v>3.3</v>
      </c>
      <c r="F94" s="519">
        <f t="shared" si="1"/>
        <v>69300</v>
      </c>
    </row>
    <row r="95" spans="1:7" x14ac:dyDescent="0.15">
      <c r="A95" s="423" t="s">
        <v>569</v>
      </c>
      <c r="B95" s="423">
        <v>1</v>
      </c>
      <c r="C95" s="519">
        <v>316300</v>
      </c>
      <c r="D95" s="519">
        <f t="shared" si="0"/>
        <v>316300</v>
      </c>
      <c r="E95" s="423">
        <v>3.7</v>
      </c>
      <c r="F95" s="519">
        <f t="shared" si="1"/>
        <v>1170310</v>
      </c>
    </row>
    <row r="96" spans="1:7" x14ac:dyDescent="0.15">
      <c r="A96" s="423" t="s">
        <v>570</v>
      </c>
      <c r="B96" s="423">
        <v>1</v>
      </c>
      <c r="C96" s="519">
        <v>120000</v>
      </c>
      <c r="D96" s="519">
        <f t="shared" si="0"/>
        <v>120000</v>
      </c>
      <c r="E96" s="423">
        <v>2.2999999999999998</v>
      </c>
      <c r="F96" s="519">
        <f t="shared" si="1"/>
        <v>276000</v>
      </c>
    </row>
    <row r="97" spans="1:13" x14ac:dyDescent="0.15">
      <c r="A97" s="423"/>
      <c r="B97" s="423"/>
      <c r="C97" s="519"/>
      <c r="D97" s="519"/>
      <c r="E97" s="424" t="s">
        <v>258</v>
      </c>
      <c r="F97" s="519">
        <f>SUM(F88:F96)</f>
        <v>11576414</v>
      </c>
    </row>
    <row r="99" spans="1:13" ht="16" x14ac:dyDescent="0.2">
      <c r="A99" s="422" t="s">
        <v>546</v>
      </c>
      <c r="B99" s="423"/>
      <c r="C99" s="519"/>
      <c r="D99" s="519"/>
      <c r="E99" s="423"/>
      <c r="F99" s="519"/>
    </row>
    <row r="100" spans="1:13" x14ac:dyDescent="0.15">
      <c r="A100" s="423"/>
      <c r="B100" s="423"/>
      <c r="C100" s="519"/>
      <c r="D100" s="519"/>
      <c r="E100" s="423"/>
      <c r="F100" s="519"/>
    </row>
    <row r="101" spans="1:13" x14ac:dyDescent="0.15">
      <c r="A101" s="424" t="s">
        <v>201</v>
      </c>
      <c r="B101" s="424" t="s">
        <v>558</v>
      </c>
      <c r="C101" s="644" t="s">
        <v>559</v>
      </c>
      <c r="D101" s="644" t="s">
        <v>560</v>
      </c>
      <c r="E101" s="424" t="s">
        <v>561</v>
      </c>
      <c r="F101" s="644" t="s">
        <v>562</v>
      </c>
    </row>
    <row r="102" spans="1:13" x14ac:dyDescent="0.15">
      <c r="A102" s="423" t="s">
        <v>563</v>
      </c>
      <c r="B102" s="423">
        <v>209</v>
      </c>
      <c r="C102" s="519">
        <v>6600</v>
      </c>
      <c r="D102" s="519">
        <v>1379400</v>
      </c>
      <c r="E102" s="423">
        <v>2.9</v>
      </c>
      <c r="F102" s="519">
        <v>4000260</v>
      </c>
    </row>
    <row r="103" spans="1:13" x14ac:dyDescent="0.15">
      <c r="A103" s="423" t="s">
        <v>564</v>
      </c>
      <c r="B103" s="423">
        <v>753</v>
      </c>
      <c r="C103" s="519">
        <v>180</v>
      </c>
      <c r="D103" s="519">
        <f t="shared" ref="D103:D110" si="2">B103*C103</f>
        <v>135540</v>
      </c>
      <c r="E103" s="423">
        <v>2.2999999999999998</v>
      </c>
      <c r="F103" s="646">
        <f>D103*E103</f>
        <v>311742</v>
      </c>
    </row>
    <row r="104" spans="1:13" x14ac:dyDescent="0.15">
      <c r="A104" s="647" t="s">
        <v>565</v>
      </c>
      <c r="B104" s="423"/>
      <c r="C104" s="519"/>
      <c r="D104" s="519">
        <f t="shared" si="2"/>
        <v>0</v>
      </c>
      <c r="E104" s="423">
        <v>2.2999999999999998</v>
      </c>
      <c r="F104" s="519">
        <f t="shared" ref="F104:F110" si="3">D104*E104</f>
        <v>0</v>
      </c>
      <c r="G104" s="12" t="s">
        <v>571</v>
      </c>
    </row>
    <row r="105" spans="1:13" x14ac:dyDescent="0.15">
      <c r="A105" s="647" t="s">
        <v>566</v>
      </c>
      <c r="B105" s="423"/>
      <c r="C105" s="519"/>
      <c r="D105" s="519">
        <f t="shared" si="2"/>
        <v>0</v>
      </c>
      <c r="E105" s="423">
        <v>4.0999999999999996</v>
      </c>
      <c r="F105" s="519">
        <f t="shared" si="3"/>
        <v>0</v>
      </c>
      <c r="G105" s="12" t="s">
        <v>572</v>
      </c>
    </row>
    <row r="106" spans="1:13" x14ac:dyDescent="0.15">
      <c r="A106" s="647" t="s">
        <v>567</v>
      </c>
      <c r="B106" s="423"/>
      <c r="C106" s="519"/>
      <c r="D106" s="519">
        <f t="shared" si="2"/>
        <v>0</v>
      </c>
      <c r="E106" s="423">
        <v>4.0999999999999996</v>
      </c>
      <c r="F106" s="519">
        <f t="shared" si="3"/>
        <v>0</v>
      </c>
      <c r="G106" s="12" t="s">
        <v>572</v>
      </c>
    </row>
    <row r="107" spans="1:13" x14ac:dyDescent="0.15">
      <c r="A107" s="423" t="s">
        <v>568</v>
      </c>
      <c r="B107" s="423">
        <v>1</v>
      </c>
      <c r="C107" s="519">
        <v>3444516</v>
      </c>
      <c r="D107" s="519">
        <f t="shared" si="2"/>
        <v>3444516</v>
      </c>
      <c r="E107" s="423">
        <v>1.4</v>
      </c>
      <c r="F107" s="648">
        <f t="shared" si="3"/>
        <v>4822322.3999999994</v>
      </c>
    </row>
    <row r="108" spans="1:13" s="7" customFormat="1" x14ac:dyDescent="0.15">
      <c r="A108" s="647" t="s">
        <v>115</v>
      </c>
      <c r="B108" s="423"/>
      <c r="C108" s="519"/>
      <c r="D108" s="519">
        <f t="shared" si="2"/>
        <v>0</v>
      </c>
      <c r="E108" s="423">
        <v>3.3</v>
      </c>
      <c r="F108" s="519">
        <f t="shared" si="3"/>
        <v>0</v>
      </c>
      <c r="G108" s="12"/>
    </row>
    <row r="109" spans="1:13" x14ac:dyDescent="0.15">
      <c r="A109" s="423" t="s">
        <v>569</v>
      </c>
      <c r="B109" s="423">
        <v>2</v>
      </c>
      <c r="C109" s="519">
        <v>107930</v>
      </c>
      <c r="D109" s="519">
        <v>251785</v>
      </c>
      <c r="E109" s="423">
        <v>3.7</v>
      </c>
      <c r="F109" s="519">
        <f t="shared" si="3"/>
        <v>931604.5</v>
      </c>
    </row>
    <row r="110" spans="1:13" x14ac:dyDescent="0.15">
      <c r="A110" s="647" t="s">
        <v>570</v>
      </c>
      <c r="B110" s="423"/>
      <c r="C110" s="519"/>
      <c r="D110" s="519">
        <f t="shared" si="2"/>
        <v>0</v>
      </c>
      <c r="E110" s="423">
        <v>2.2999999999999998</v>
      </c>
      <c r="F110" s="519">
        <f t="shared" si="3"/>
        <v>0</v>
      </c>
    </row>
    <row r="111" spans="1:13" ht="16" x14ac:dyDescent="0.15">
      <c r="A111" s="423"/>
      <c r="B111" s="423"/>
      <c r="C111" s="519"/>
      <c r="D111" s="519"/>
      <c r="E111" s="424" t="s">
        <v>258</v>
      </c>
      <c r="F111" s="519">
        <f>SUM(F102:F110)</f>
        <v>10065928.899999999</v>
      </c>
      <c r="I111" s="649"/>
      <c r="J111" s="157"/>
      <c r="K111" s="157"/>
      <c r="L111" s="157"/>
      <c r="M111" s="157"/>
    </row>
    <row r="112" spans="1:13" ht="16" x14ac:dyDescent="0.15">
      <c r="I112" s="649"/>
      <c r="J112" s="649"/>
      <c r="K112" s="650"/>
      <c r="L112" s="650"/>
      <c r="M112" s="650"/>
    </row>
    <row r="113" spans="1:13" x14ac:dyDescent="0.15">
      <c r="I113" s="157"/>
      <c r="J113" s="157"/>
      <c r="K113" s="651"/>
      <c r="L113" s="652"/>
      <c r="M113" s="651"/>
    </row>
    <row r="114" spans="1:13" ht="18" x14ac:dyDescent="0.2">
      <c r="A114" s="618" t="s">
        <v>573</v>
      </c>
      <c r="I114" s="653"/>
      <c r="J114" s="401"/>
      <c r="K114" s="654"/>
      <c r="L114" s="655"/>
      <c r="M114" s="651"/>
    </row>
    <row r="115" spans="1:13" x14ac:dyDescent="0.15">
      <c r="I115" s="634"/>
      <c r="J115" s="401"/>
      <c r="K115" s="654"/>
      <c r="L115" s="655"/>
      <c r="M115" s="651"/>
    </row>
    <row r="116" spans="1:13" ht="16" x14ac:dyDescent="0.2">
      <c r="A116" s="416" t="s">
        <v>362</v>
      </c>
      <c r="B116" s="417"/>
      <c r="C116" s="417"/>
      <c r="D116" s="417"/>
      <c r="E116" s="417"/>
      <c r="F116" s="12"/>
      <c r="G116" s="401"/>
      <c r="H116" s="654"/>
      <c r="I116" s="655"/>
      <c r="J116" s="651"/>
    </row>
    <row r="117" spans="1:13" x14ac:dyDescent="0.15">
      <c r="A117" s="417"/>
      <c r="B117" s="417"/>
      <c r="C117" s="417"/>
      <c r="D117" s="417"/>
      <c r="E117" s="417"/>
      <c r="F117" s="12"/>
    </row>
    <row r="118" spans="1:13" x14ac:dyDescent="0.15">
      <c r="A118" s="417"/>
      <c r="B118" s="418" t="s">
        <v>432</v>
      </c>
      <c r="C118" s="418" t="s">
        <v>430</v>
      </c>
      <c r="D118" s="418" t="s">
        <v>431</v>
      </c>
      <c r="E118" s="418" t="s">
        <v>574</v>
      </c>
      <c r="F118" s="12"/>
    </row>
    <row r="119" spans="1:13" x14ac:dyDescent="0.15">
      <c r="A119" s="240" t="s">
        <v>189</v>
      </c>
      <c r="B119" s="445">
        <f>20*23.4786504143467</f>
        <v>469.573008286934</v>
      </c>
      <c r="C119" s="445">
        <v>10.472917247382661</v>
      </c>
      <c r="D119" s="445">
        <v>0</v>
      </c>
      <c r="E119" s="417"/>
      <c r="F119" s="656" t="s">
        <v>575</v>
      </c>
    </row>
    <row r="120" spans="1:13" x14ac:dyDescent="0.15">
      <c r="A120" s="243" t="s">
        <v>113</v>
      </c>
      <c r="B120" s="445">
        <f>10*30.4959524475135</f>
        <v>304.95952447513497</v>
      </c>
      <c r="C120" s="445">
        <v>0</v>
      </c>
      <c r="D120" s="445">
        <v>0</v>
      </c>
      <c r="E120" s="417"/>
      <c r="F120" s="656" t="s">
        <v>576</v>
      </c>
    </row>
    <row r="121" spans="1:13" x14ac:dyDescent="0.15">
      <c r="A121" s="243" t="s">
        <v>404</v>
      </c>
      <c r="B121" s="445">
        <f>10*16.1597908750595</f>
        <v>161.597908750595</v>
      </c>
      <c r="C121" s="445">
        <v>0.42358610948676756</v>
      </c>
      <c r="D121" s="445">
        <v>29.62188789751081</v>
      </c>
      <c r="E121" s="417"/>
      <c r="F121" s="656" t="s">
        <v>576</v>
      </c>
    </row>
    <row r="122" spans="1:13" ht="16" x14ac:dyDescent="0.2">
      <c r="A122" s="58" t="s">
        <v>148</v>
      </c>
      <c r="B122" s="445">
        <f>10*3.38049847157448</f>
        <v>33.804984715744801</v>
      </c>
      <c r="C122" s="445">
        <v>0.36970605072570883</v>
      </c>
      <c r="D122" s="445">
        <v>0</v>
      </c>
      <c r="E122" s="417"/>
      <c r="F122" s="656" t="s">
        <v>576</v>
      </c>
      <c r="G122" s="657"/>
      <c r="H122" s="658"/>
      <c r="I122" s="659"/>
      <c r="J122" s="659"/>
    </row>
    <row r="123" spans="1:13" x14ac:dyDescent="0.15">
      <c r="A123" s="58" t="s">
        <v>112</v>
      </c>
      <c r="B123" s="445">
        <f>34.842237545427</f>
        <v>34.842237545426997</v>
      </c>
      <c r="C123" s="445">
        <v>41.505931796509024</v>
      </c>
      <c r="D123" s="445">
        <v>88.031181486988416</v>
      </c>
      <c r="E123" s="417"/>
      <c r="F123" s="656"/>
      <c r="G123" s="7"/>
      <c r="H123" s="650"/>
      <c r="I123" s="650"/>
      <c r="J123" s="650"/>
    </row>
    <row r="124" spans="1:13" x14ac:dyDescent="0.15">
      <c r="A124" s="58" t="s">
        <v>577</v>
      </c>
      <c r="B124" s="445">
        <v>43.366146968589604</v>
      </c>
      <c r="C124" s="445">
        <v>5.8556426360974356</v>
      </c>
      <c r="D124" s="445">
        <v>44.488763661767372</v>
      </c>
      <c r="E124" s="417"/>
      <c r="F124" s="12"/>
      <c r="G124" s="653"/>
      <c r="H124" s="660"/>
      <c r="I124" s="661"/>
      <c r="J124" s="662"/>
    </row>
    <row r="125" spans="1:13" x14ac:dyDescent="0.15">
      <c r="A125" s="58" t="s">
        <v>345</v>
      </c>
      <c r="B125" s="445">
        <v>0</v>
      </c>
      <c r="C125" s="445">
        <v>0</v>
      </c>
      <c r="D125" s="445">
        <v>52.179118289185993</v>
      </c>
      <c r="E125" s="417"/>
      <c r="F125" s="12"/>
      <c r="G125" s="634"/>
      <c r="H125" s="663"/>
      <c r="I125" s="661"/>
      <c r="J125" s="662"/>
    </row>
    <row r="126" spans="1:13" x14ac:dyDescent="0.15">
      <c r="A126" s="141" t="s">
        <v>29</v>
      </c>
      <c r="B126" s="445">
        <f>SUM(B119:B125)</f>
        <v>1048.1438107424253</v>
      </c>
      <c r="C126" s="445">
        <f>SUM(C119:C125)</f>
        <v>58.627783840201595</v>
      </c>
      <c r="D126" s="445">
        <f>SUM(D119:D125)</f>
        <v>214.32095133545258</v>
      </c>
      <c r="E126" s="664">
        <f>200+0.25*B126</f>
        <v>462.03595268560633</v>
      </c>
      <c r="F126" s="12" t="s">
        <v>578</v>
      </c>
      <c r="G126" s="634"/>
      <c r="H126" s="663"/>
      <c r="I126" s="661"/>
      <c r="J126" s="662"/>
    </row>
    <row r="127" spans="1:13" x14ac:dyDescent="0.15">
      <c r="A127" s="399"/>
      <c r="B127" s="401"/>
      <c r="C127" s="452" t="s">
        <v>29</v>
      </c>
      <c r="D127" s="441">
        <v>669.22604242802709</v>
      </c>
      <c r="E127" s="441">
        <f>SUM(B126:E126)</f>
        <v>1783.1284986036858</v>
      </c>
      <c r="F127" s="12"/>
    </row>
    <row r="128" spans="1:13" x14ac:dyDescent="0.15">
      <c r="C128" s="12"/>
      <c r="D128" s="12"/>
      <c r="F128" s="12"/>
    </row>
    <row r="129" spans="1:9" x14ac:dyDescent="0.15">
      <c r="A129" s="7" t="s">
        <v>468</v>
      </c>
      <c r="B129" s="513">
        <v>1300</v>
      </c>
      <c r="C129" s="513">
        <v>150</v>
      </c>
      <c r="D129" s="513">
        <v>100</v>
      </c>
      <c r="E129" s="513">
        <v>300</v>
      </c>
      <c r="F129" s="12"/>
    </row>
    <row r="130" spans="1:9" x14ac:dyDescent="0.15">
      <c r="B130" s="513"/>
      <c r="C130" s="513"/>
      <c r="D130" s="513"/>
      <c r="E130" s="513">
        <v>1850</v>
      </c>
      <c r="F130" s="12"/>
    </row>
    <row r="131" spans="1:9" x14ac:dyDescent="0.15">
      <c r="B131" s="513"/>
      <c r="C131" s="513"/>
      <c r="D131" s="513"/>
      <c r="E131" s="513"/>
      <c r="F131" s="12"/>
    </row>
    <row r="132" spans="1:9" x14ac:dyDescent="0.15">
      <c r="B132" s="523" t="s">
        <v>579</v>
      </c>
      <c r="C132" s="523" t="s">
        <v>580</v>
      </c>
      <c r="D132" s="12" t="s">
        <v>581</v>
      </c>
      <c r="E132" s="523" t="s">
        <v>582</v>
      </c>
      <c r="F132" s="523" t="s">
        <v>407</v>
      </c>
      <c r="G132" s="513" t="s">
        <v>583</v>
      </c>
      <c r="H132" s="513" t="s">
        <v>111</v>
      </c>
      <c r="I132" s="12" t="s">
        <v>584</v>
      </c>
    </row>
    <row r="133" spans="1:9" x14ac:dyDescent="0.15">
      <c r="A133" s="12" t="s">
        <v>468</v>
      </c>
      <c r="B133" s="523">
        <f>55</f>
        <v>55</v>
      </c>
      <c r="C133" s="523">
        <v>1225</v>
      </c>
      <c r="D133" s="523">
        <f>58</f>
        <v>58</v>
      </c>
      <c r="E133" s="523">
        <v>150</v>
      </c>
      <c r="F133" s="523">
        <v>350</v>
      </c>
      <c r="G133" s="523">
        <f>SUM(B133:F133)</f>
        <v>1838</v>
      </c>
      <c r="H133" s="513"/>
      <c r="I133" s="523">
        <v>1839</v>
      </c>
    </row>
    <row r="134" spans="1:9" x14ac:dyDescent="0.15">
      <c r="A134" s="12" t="s">
        <v>585</v>
      </c>
      <c r="B134" s="523">
        <v>3.5098386890208348</v>
      </c>
      <c r="C134" s="523">
        <v>33.898083286780917</v>
      </c>
      <c r="D134" s="523">
        <v>41.505931796508982</v>
      </c>
      <c r="E134" s="523">
        <v>17.121852043692556</v>
      </c>
      <c r="F134" s="523">
        <v>20.887400876678484</v>
      </c>
      <c r="G134" s="523">
        <v>116.92310669268177</v>
      </c>
      <c r="I134" s="523">
        <v>115.31</v>
      </c>
    </row>
    <row r="135" spans="1:9" x14ac:dyDescent="0.15">
      <c r="A135" s="12" t="s">
        <v>586</v>
      </c>
      <c r="B135" s="523">
        <v>24.574683806483076</v>
      </c>
      <c r="C135" s="523">
        <v>237.34272490194328</v>
      </c>
      <c r="D135" s="523">
        <v>41.505931796509024</v>
      </c>
      <c r="E135" s="523">
        <v>17.12185204369257</v>
      </c>
      <c r="F135" s="523">
        <v>210.15654633036579</v>
      </c>
      <c r="G135" s="523">
        <v>530.70173887899375</v>
      </c>
      <c r="H135" s="12" t="s">
        <v>587</v>
      </c>
      <c r="I135" s="523">
        <v>503.77</v>
      </c>
    </row>
    <row r="136" spans="1:9" x14ac:dyDescent="0.15">
      <c r="A136" s="12" t="s">
        <v>588</v>
      </c>
      <c r="B136" s="523">
        <v>122.87341903241537</v>
      </c>
      <c r="C136" s="523">
        <v>243.17080902554795</v>
      </c>
      <c r="D136" s="523">
        <v>41.505931796509024</v>
      </c>
      <c r="E136" s="523">
        <v>17.12185204369257</v>
      </c>
      <c r="F136" s="513">
        <v>244.55403052986219</v>
      </c>
      <c r="G136" s="513">
        <v>669.22604242802709</v>
      </c>
      <c r="H136" s="12" t="s">
        <v>589</v>
      </c>
      <c r="I136" s="523">
        <v>587</v>
      </c>
    </row>
    <row r="137" spans="1:9" x14ac:dyDescent="0.15">
      <c r="A137" s="12" t="s">
        <v>590</v>
      </c>
      <c r="B137" s="523">
        <v>122.87341903241537</v>
      </c>
      <c r="C137" s="523">
        <v>243.17080902554795</v>
      </c>
      <c r="D137" s="523">
        <v>101.68953290144711</v>
      </c>
      <c r="E137" s="523">
        <v>41.948537507046808</v>
      </c>
      <c r="F137" s="513">
        <v>245.81968975179976</v>
      </c>
      <c r="G137" s="513">
        <v>755.501988218257</v>
      </c>
      <c r="H137" s="12" t="s">
        <v>591</v>
      </c>
      <c r="I137" s="523">
        <v>677</v>
      </c>
    </row>
    <row r="138" spans="1:9" x14ac:dyDescent="0.15">
      <c r="A138" s="12" t="s">
        <v>592</v>
      </c>
      <c r="B138" s="523">
        <v>122.87341903241534</v>
      </c>
      <c r="C138" s="523">
        <v>951.60125540987133</v>
      </c>
      <c r="D138" s="523">
        <v>101.68953290144711</v>
      </c>
      <c r="E138" s="523">
        <v>41.948537507046808</v>
      </c>
      <c r="F138" s="513">
        <v>662.81259213198518</v>
      </c>
      <c r="G138" s="513">
        <v>1880.9253369827657</v>
      </c>
      <c r="H138" s="12" t="s">
        <v>593</v>
      </c>
      <c r="I138" s="523">
        <v>1980</v>
      </c>
    </row>
    <row r="139" spans="1:9" x14ac:dyDescent="0.15">
      <c r="B139" s="523"/>
      <c r="E139" s="523"/>
      <c r="F139" s="513"/>
      <c r="G139" s="513"/>
    </row>
    <row r="140" spans="1:9" x14ac:dyDescent="0.15">
      <c r="B140" s="523"/>
      <c r="E140" s="523"/>
      <c r="F140" s="513"/>
      <c r="G140" s="513"/>
    </row>
    <row r="141" spans="1:9" x14ac:dyDescent="0.15">
      <c r="B141" s="523">
        <f>B161+D161</f>
        <v>3.7359948415314275</v>
      </c>
      <c r="C141" s="523">
        <f>B164+D164-(B161+D161)</f>
        <v>42.898567510314898</v>
      </c>
      <c r="D141" s="523">
        <f>C161</f>
        <v>46.058382956422676</v>
      </c>
      <c r="E141" s="523">
        <f>C164-C161</f>
        <v>20.193916964752134</v>
      </c>
      <c r="F141" s="523">
        <f>C171+C173</f>
        <v>25.265632127109974</v>
      </c>
      <c r="G141" s="523">
        <f>SUM(B141:F141)</f>
        <v>138.1524944001311</v>
      </c>
    </row>
    <row r="142" spans="1:9" x14ac:dyDescent="0.15">
      <c r="B142" s="523"/>
      <c r="E142" s="523"/>
      <c r="G142" s="513"/>
      <c r="H142" s="513"/>
    </row>
    <row r="143" spans="1:9" x14ac:dyDescent="0.15">
      <c r="B143" s="523"/>
      <c r="E143" s="523"/>
      <c r="G143" s="513"/>
      <c r="H143" s="513"/>
    </row>
    <row r="144" spans="1:9" x14ac:dyDescent="0.15">
      <c r="B144" s="523"/>
      <c r="E144" s="523"/>
      <c r="G144" s="513"/>
      <c r="H144" s="513"/>
    </row>
    <row r="145" spans="1:8" x14ac:dyDescent="0.15">
      <c r="B145" s="523"/>
      <c r="E145" s="523"/>
      <c r="G145" s="513"/>
      <c r="H145" s="513"/>
    </row>
    <row r="146" spans="1:8" x14ac:dyDescent="0.15">
      <c r="A146" s="417"/>
      <c r="B146" s="417"/>
      <c r="C146" s="628"/>
      <c r="D146" s="628"/>
      <c r="E146" s="417"/>
      <c r="F146" s="628"/>
      <c r="G146" s="513"/>
      <c r="H146" s="513"/>
    </row>
    <row r="147" spans="1:8" x14ac:dyDescent="0.15">
      <c r="A147" s="417"/>
      <c r="B147" s="418" t="s">
        <v>432</v>
      </c>
      <c r="C147" s="629" t="s">
        <v>430</v>
      </c>
      <c r="D147" s="629" t="s">
        <v>431</v>
      </c>
      <c r="E147" s="418" t="s">
        <v>543</v>
      </c>
      <c r="F147" s="630" t="s">
        <v>544</v>
      </c>
      <c r="G147" s="513"/>
      <c r="H147" s="513"/>
    </row>
    <row r="148" spans="1:8" x14ac:dyDescent="0.15">
      <c r="A148" s="417" t="s">
        <v>112</v>
      </c>
      <c r="B148" s="445">
        <v>40</v>
      </c>
      <c r="C148" s="628">
        <v>58</v>
      </c>
      <c r="D148" s="628">
        <v>15</v>
      </c>
      <c r="E148" s="631">
        <v>9</v>
      </c>
      <c r="F148" s="632"/>
    </row>
    <row r="149" spans="1:8" x14ac:dyDescent="0.15">
      <c r="A149" s="417" t="s">
        <v>545</v>
      </c>
      <c r="B149" s="445">
        <v>169</v>
      </c>
      <c r="C149" s="628">
        <v>15</v>
      </c>
      <c r="D149" s="628">
        <v>56</v>
      </c>
      <c r="E149" s="631">
        <v>54</v>
      </c>
      <c r="F149" s="632"/>
      <c r="G149" s="523"/>
      <c r="H149" s="523"/>
    </row>
    <row r="150" spans="1:8" x14ac:dyDescent="0.15">
      <c r="A150" s="417" t="s">
        <v>29</v>
      </c>
      <c r="B150" s="445">
        <f>SUM(B148:B149)</f>
        <v>209</v>
      </c>
      <c r="C150" s="628">
        <f>SUM(C148:C149)</f>
        <v>73</v>
      </c>
      <c r="D150" s="628">
        <f>SUM(D148:D149)</f>
        <v>71</v>
      </c>
      <c r="E150" s="445">
        <f>SUM(E148:E149)</f>
        <v>63</v>
      </c>
      <c r="F150" s="628">
        <v>20</v>
      </c>
      <c r="G150" s="523"/>
      <c r="H150" s="523"/>
    </row>
    <row r="151" spans="1:8" x14ac:dyDescent="0.15">
      <c r="A151" s="417"/>
      <c r="B151" s="633"/>
      <c r="C151" s="628"/>
      <c r="D151" s="628"/>
      <c r="E151" s="418" t="s">
        <v>258</v>
      </c>
      <c r="F151" s="629">
        <f>SUM(B150:F150)</f>
        <v>436</v>
      </c>
      <c r="G151" s="523"/>
      <c r="H151" s="523"/>
    </row>
    <row r="152" spans="1:8" x14ac:dyDescent="0.15">
      <c r="B152" s="523"/>
      <c r="E152" s="523"/>
      <c r="G152" s="523"/>
      <c r="H152" s="523"/>
    </row>
    <row r="154" spans="1:8" x14ac:dyDescent="0.15">
      <c r="A154" s="417" t="str">
        <f>Results!A29</f>
        <v>Breakdown by Process Step</v>
      </c>
      <c r="B154" s="417" t="s">
        <v>594</v>
      </c>
      <c r="C154" s="628"/>
      <c r="D154" s="628"/>
      <c r="E154" s="417"/>
      <c r="F154" s="628"/>
      <c r="G154" s="417"/>
    </row>
    <row r="155" spans="1:8" x14ac:dyDescent="0.15">
      <c r="A155" s="417"/>
      <c r="B155" s="417"/>
      <c r="C155" s="628"/>
      <c r="D155" s="628"/>
      <c r="E155" s="417"/>
      <c r="F155" s="628"/>
      <c r="G155" s="417"/>
    </row>
    <row r="156" spans="1:8" x14ac:dyDescent="0.15">
      <c r="A156" s="417"/>
      <c r="B156" s="417" t="str">
        <f>Results!B31</f>
        <v>Capital cost $/ton</v>
      </c>
      <c r="C156" s="628" t="str">
        <f>Results!C31</f>
        <v>Electricity cost $/ton</v>
      </c>
      <c r="D156" s="628" t="str">
        <f>Results!D31</f>
        <v>Replacements $/ton</v>
      </c>
      <c r="E156" s="417" t="str">
        <f>Results!E31</f>
        <v>Capital cost %</v>
      </c>
      <c r="F156" s="628" t="str">
        <f>Results!F31</f>
        <v>Electricity cost %</v>
      </c>
      <c r="G156" s="417" t="str">
        <f>Results!G31</f>
        <v>Replacements %</v>
      </c>
    </row>
    <row r="157" spans="1:8" x14ac:dyDescent="0.15">
      <c r="A157" s="417" t="str">
        <f>Results!A32</f>
        <v>Intake</v>
      </c>
      <c r="B157" s="628">
        <f>Results!B32</f>
        <v>3.5693690923900561</v>
      </c>
      <c r="C157" s="628">
        <f>Results!C32</f>
        <v>11.621607138366796</v>
      </c>
      <c r="D157" s="628">
        <f>Results!D32</f>
        <v>0</v>
      </c>
      <c r="E157" s="628">
        <f>Results!E32</f>
        <v>0.16314745345151097</v>
      </c>
      <c r="F157" s="628">
        <f>Results!F32</f>
        <v>0.17541439545787646</v>
      </c>
      <c r="G157" s="628">
        <f>Results!G32</f>
        <v>0</v>
      </c>
    </row>
    <row r="158" spans="1:8" x14ac:dyDescent="0.15">
      <c r="A158" s="417" t="str">
        <f>Results!A33</f>
        <v>Screening</v>
      </c>
      <c r="B158" s="628">
        <f>Results!B33</f>
        <v>4.6361825823956844</v>
      </c>
      <c r="C158" s="628">
        <f>Results!C33</f>
        <v>0</v>
      </c>
      <c r="D158" s="628">
        <f>Results!D33</f>
        <v>0</v>
      </c>
      <c r="E158" s="628">
        <f>Results!E33</f>
        <v>0.21190898516679638</v>
      </c>
      <c r="F158" s="628">
        <f>Results!F33</f>
        <v>0</v>
      </c>
      <c r="G158" s="628">
        <f>Results!G33</f>
        <v>0</v>
      </c>
    </row>
    <row r="159" spans="1:8" x14ac:dyDescent="0.15">
      <c r="A159" s="417" t="str">
        <f>Results!A34</f>
        <v>Microfiltration</v>
      </c>
      <c r="B159" s="628">
        <f>Results!B34</f>
        <v>2.4567109723512202</v>
      </c>
      <c r="C159" s="628">
        <f>Results!C34</f>
        <v>0.47004585612998195</v>
      </c>
      <c r="D159" s="628">
        <f>Results!D34</f>
        <v>4.5033019042274454</v>
      </c>
      <c r="E159" s="628">
        <f>Results!E34</f>
        <v>0.11229047168588173</v>
      </c>
      <c r="F159" s="628">
        <f>Results!F34</f>
        <v>7.0947854895487368E-3</v>
      </c>
      <c r="G159" s="628">
        <f>Results!G34</f>
        <v>0.18190467207530481</v>
      </c>
    </row>
    <row r="160" spans="1:8" x14ac:dyDescent="0.15">
      <c r="A160" s="417" t="str">
        <f>Results!A35</f>
        <v>Nanofiltration</v>
      </c>
      <c r="B160" s="628">
        <f>Results!B35</f>
        <v>0.51392420553851903</v>
      </c>
      <c r="C160" s="628">
        <f>Results!C35</f>
        <v>0.41025612794611499</v>
      </c>
      <c r="D160" s="628">
        <f>Results!D35</f>
        <v>0</v>
      </c>
      <c r="E160" s="628">
        <f>Results!E35</f>
        <v>2.3490264870466855E-2</v>
      </c>
      <c r="F160" s="628">
        <f>Results!F35</f>
        <v>6.1923303558401232E-3</v>
      </c>
      <c r="G160" s="628">
        <f>Results!G35</f>
        <v>0</v>
      </c>
    </row>
    <row r="161" spans="1:7" x14ac:dyDescent="0.15">
      <c r="A161" s="417" t="str">
        <f>Results!A36</f>
        <v>Electrodialysis</v>
      </c>
      <c r="B161" s="628">
        <f>Results!B36</f>
        <v>1.0593863242528261</v>
      </c>
      <c r="C161" s="628">
        <f>Results!C36</f>
        <v>46.058382956422676</v>
      </c>
      <c r="D161" s="628">
        <f>Results!D36</f>
        <v>2.6766085172786016</v>
      </c>
      <c r="E161" s="628">
        <f>Results!E36</f>
        <v>4.8422053463648342E-2</v>
      </c>
      <c r="F161" s="628">
        <f>Results!F36</f>
        <v>0.69519674050895885</v>
      </c>
      <c r="G161" s="628">
        <f>Results!G36</f>
        <v>0.10811791102712197</v>
      </c>
    </row>
    <row r="162" spans="1:7" x14ac:dyDescent="0.15">
      <c r="A162" s="417" t="str">
        <f>Results!A37</f>
        <v>CO2 stripping</v>
      </c>
      <c r="B162" s="628">
        <f>Results!B37</f>
        <v>9.6426052247401461</v>
      </c>
      <c r="C162" s="628">
        <f>Results!C37</f>
        <v>7.6920078423092315</v>
      </c>
      <c r="D162" s="628">
        <f>Results!D37</f>
        <v>9.8922227339658786</v>
      </c>
      <c r="E162" s="628">
        <f>Results!E37</f>
        <v>0.44074077136169587</v>
      </c>
      <c r="F162" s="628">
        <f>Results!F37</f>
        <v>0.11610174818777573</v>
      </c>
      <c r="G162" s="628">
        <f>Results!G37</f>
        <v>0.39958269971389759</v>
      </c>
    </row>
    <row r="163" spans="1:7" x14ac:dyDescent="0.15">
      <c r="A163" s="417" t="str">
        <f>Results!A38</f>
        <v>Other</v>
      </c>
      <c r="B163" s="628">
        <f>Results!B38</f>
        <v>0</v>
      </c>
      <c r="C163" s="628">
        <f>Results!C38</f>
        <v>0</v>
      </c>
      <c r="D163" s="628">
        <f>Results!D38</f>
        <v>7.6842507947059486</v>
      </c>
      <c r="E163" s="628">
        <f>Results!E38</f>
        <v>0</v>
      </c>
      <c r="F163" s="628">
        <f>Results!F38</f>
        <v>0</v>
      </c>
      <c r="G163" s="628">
        <f>Results!G38</f>
        <v>0.31039471718367567</v>
      </c>
    </row>
    <row r="164" spans="1:7" x14ac:dyDescent="0.15">
      <c r="A164" s="417" t="str">
        <f>Results!A39</f>
        <v>Total</v>
      </c>
      <c r="B164" s="628">
        <f>Results!B39</f>
        <v>21.87817840166845</v>
      </c>
      <c r="C164" s="628">
        <f>Results!C39</f>
        <v>66.25229992117481</v>
      </c>
      <c r="D164" s="628">
        <f>Results!D39</f>
        <v>24.756383950177874</v>
      </c>
      <c r="E164" s="628">
        <f>Results!E39</f>
        <v>1.0000000000000002</v>
      </c>
      <c r="F164" s="628">
        <f>Results!F39</f>
        <v>0.99999999999999989</v>
      </c>
      <c r="G164" s="628">
        <f>Results!G39</f>
        <v>1</v>
      </c>
    </row>
    <row r="165" spans="1:7" x14ac:dyDescent="0.15">
      <c r="A165" s="417"/>
      <c r="B165" s="417"/>
      <c r="C165" s="628" t="str">
        <f>Results!C40</f>
        <v>Total</v>
      </c>
      <c r="D165" s="628">
        <f>Results!D40</f>
        <v>138.1524944001311</v>
      </c>
      <c r="E165" s="417"/>
      <c r="F165" s="628"/>
      <c r="G165" s="417"/>
    </row>
    <row r="167" spans="1:7" x14ac:dyDescent="0.15">
      <c r="A167" s="414" t="str">
        <f>Results!F5</f>
        <v>Category</v>
      </c>
      <c r="B167" s="414" t="str">
        <f>Results!G5</f>
        <v>Cost breakdown</v>
      </c>
      <c r="C167" s="431" t="str">
        <f>Results!H5</f>
        <v>Contribution to CO2 price</v>
      </c>
      <c r="D167" s="523" t="s">
        <v>594</v>
      </c>
    </row>
    <row r="168" spans="1:7" x14ac:dyDescent="0.15">
      <c r="A168" s="414"/>
      <c r="B168" s="414"/>
      <c r="C168" s="431"/>
    </row>
    <row r="169" spans="1:7" x14ac:dyDescent="0.15">
      <c r="A169" s="414" t="str">
        <f>Results!F7</f>
        <v>CapEx</v>
      </c>
      <c r="B169" s="414">
        <f>Results!G7</f>
        <v>276377006.25358826</v>
      </c>
      <c r="C169" s="431">
        <f>Results!H7</f>
        <v>21.87817840166845</v>
      </c>
    </row>
    <row r="170" spans="1:7" x14ac:dyDescent="0.15">
      <c r="A170" s="414" t="str">
        <f>Results!F8</f>
        <v>Replacements</v>
      </c>
      <c r="B170" s="414">
        <f>Results!G8</f>
        <v>312736058.56019342</v>
      </c>
      <c r="C170" s="431">
        <f>Results!H8</f>
        <v>24.756383950177874</v>
      </c>
    </row>
    <row r="171" spans="1:7" x14ac:dyDescent="0.15">
      <c r="A171" s="414" t="str">
        <f>Results!F9</f>
        <v>Fixed OpEx</v>
      </c>
      <c r="B171" s="414">
        <f>Results!G9</f>
        <v>269906273.09919643</v>
      </c>
      <c r="C171" s="431">
        <f>Results!H9</f>
        <v>21.365951077621528</v>
      </c>
    </row>
    <row r="172" spans="1:7" x14ac:dyDescent="0.15">
      <c r="A172" s="414" t="str">
        <f>Results!F10</f>
        <v>Variable OpEx</v>
      </c>
      <c r="B172" s="414">
        <f>Results!G10</f>
        <v>836934957.44749725</v>
      </c>
      <c r="C172" s="431">
        <f>Results!H10</f>
        <v>66.25229992117481</v>
      </c>
    </row>
    <row r="173" spans="1:7" x14ac:dyDescent="0.15">
      <c r="A173" s="414" t="str">
        <f>Results!F11</f>
        <v>Taxes &amp; Working Capital</v>
      </c>
      <c r="B173" s="414">
        <f>Results!G11</f>
        <v>49262884.414512083</v>
      </c>
      <c r="C173" s="431">
        <f>Results!H11</f>
        <v>3.8996810494884446</v>
      </c>
    </row>
  </sheetData>
  <pageMargins left="0.7" right="0.7" top="0.75" bottom="0.75" header="0.3" footer="0.3"/>
  <pageSetup orientation="portrait" horizontalDpi="0" verticalDpi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141</vt:i4>
      </vt:variant>
    </vt:vector>
  </HeadingPairs>
  <TitlesOfParts>
    <vt:vector size="148" baseType="lpstr">
      <vt:lpstr>Main</vt:lpstr>
      <vt:lpstr>Results</vt:lpstr>
      <vt:lpstr>Cash flow analysis</vt:lpstr>
      <vt:lpstr>Process and cost assumptions</vt:lpstr>
      <vt:lpstr>Equipment reference</vt:lpstr>
      <vt:lpstr>Carbonate acidity</vt:lpstr>
      <vt:lpstr>Eisaman</vt:lpstr>
      <vt:lpstr>acid_concH</vt:lpstr>
      <vt:lpstr>acid_pH</vt:lpstr>
      <vt:lpstr>adiabatic_const</vt:lpstr>
      <vt:lpstr>adiabatic_N2</vt:lpstr>
      <vt:lpstr>also_calc</vt:lpstr>
      <vt:lpstr>anal_period</vt:lpstr>
      <vt:lpstr>anal_year</vt:lpstr>
      <vt:lpstr>avg_prod</vt:lpstr>
      <vt:lpstr>bar_to_fthead</vt:lpstr>
      <vt:lpstr>bar_to_pa</vt:lpstr>
      <vt:lpstr>baseline_cap</vt:lpstr>
      <vt:lpstr>basis_year</vt:lpstr>
      <vt:lpstr>breakdown_param</vt:lpstr>
      <vt:lpstr>breakdown_table</vt:lpstr>
      <vt:lpstr>cap_co2</vt:lpstr>
      <vt:lpstr>cap_co2_scaled</vt:lpstr>
      <vt:lpstr>cap_ed</vt:lpstr>
      <vt:lpstr>cap_ed_scaled</vt:lpstr>
      <vt:lpstr>cap_factor</vt:lpstr>
      <vt:lpstr>cap_intake</vt:lpstr>
      <vt:lpstr>cap_intake_scaled</vt:lpstr>
      <vt:lpstr>cap_micro</vt:lpstr>
      <vt:lpstr>cap_micro_scaled</vt:lpstr>
      <vt:lpstr>cap_nano</vt:lpstr>
      <vt:lpstr>cap_nano_scaled</vt:lpstr>
      <vt:lpstr>cap_screening</vt:lpstr>
      <vt:lpstr>cap_screening_scaled</vt:lpstr>
      <vt:lpstr>cashflow_table</vt:lpstr>
      <vt:lpstr>CEPCI_inflator</vt:lpstr>
      <vt:lpstr>chem_inflator</vt:lpstr>
      <vt:lpstr>co2_per_DIC</vt:lpstr>
      <vt:lpstr>construct_period</vt:lpstr>
      <vt:lpstr>cost_factors</vt:lpstr>
      <vt:lpstr>CPI_inflator</vt:lpstr>
      <vt:lpstr>ctf</vt:lpstr>
      <vt:lpstr>ctf_calc</vt:lpstr>
      <vt:lpstr>ctn</vt:lpstr>
      <vt:lpstr>ctn_calc</vt:lpstr>
      <vt:lpstr>current_density</vt:lpstr>
      <vt:lpstr>day_to_min</vt:lpstr>
      <vt:lpstr>debt_financing</vt:lpstr>
      <vt:lpstr>debt_interest_rate</vt:lpstr>
      <vt:lpstr>decom_prct</vt:lpstr>
      <vt:lpstr>density</vt:lpstr>
      <vt:lpstr>depr_cap_infl</vt:lpstr>
      <vt:lpstr>depr_length</vt:lpstr>
      <vt:lpstr>design_cap</vt:lpstr>
      <vt:lpstr>DIC_concentration</vt:lpstr>
      <vt:lpstr>direct_cap</vt:lpstr>
      <vt:lpstr>elec_cost</vt:lpstr>
      <vt:lpstr>energy_co2</vt:lpstr>
      <vt:lpstr>energy_ed</vt:lpstr>
      <vt:lpstr>energy_intake</vt:lpstr>
      <vt:lpstr>energy_micro</vt:lpstr>
      <vt:lpstr>energy_nano</vt:lpstr>
      <vt:lpstr>energy_screening</vt:lpstr>
      <vt:lpstr>energy_total</vt:lpstr>
      <vt:lpstr>equity_financing</vt:lpstr>
      <vt:lpstr>extraction_efficiency</vt:lpstr>
      <vt:lpstr>extraction_efficiency_calc</vt:lpstr>
      <vt:lpstr>faraday</vt:lpstr>
      <vt:lpstr>fraction_oceanwater</vt:lpstr>
      <vt:lpstr>ft3_to_m3</vt:lpstr>
      <vt:lpstr>gal_min</vt:lpstr>
      <vt:lpstr>gal_to_m3</vt:lpstr>
      <vt:lpstr>gas_const</vt:lpstr>
      <vt:lpstr>H2_cost</vt:lpstr>
      <vt:lpstr>H2_cost_infl</vt:lpstr>
      <vt:lpstr>how</vt:lpstr>
      <vt:lpstr>hr_to_s</vt:lpstr>
      <vt:lpstr>hyield</vt:lpstr>
      <vt:lpstr>inflation_factor</vt:lpstr>
      <vt:lpstr>inflation_rate</vt:lpstr>
      <vt:lpstr>kg_s</vt:lpstr>
      <vt:lpstr>kWh_to_Ws</vt:lpstr>
      <vt:lpstr>l_s</vt:lpstr>
      <vt:lpstr>l_to_m3</vt:lpstr>
      <vt:lpstr>labor_baseline_cap</vt:lpstr>
      <vt:lpstr>labor_inflator</vt:lpstr>
      <vt:lpstr>labor_scale_ratio</vt:lpstr>
      <vt:lpstr>lfr</vt:lpstr>
      <vt:lpstr>lfr_gfr</vt:lpstr>
      <vt:lpstr>lfr_multiplier</vt:lpstr>
      <vt:lpstr>LOW_to_kgCO2</vt:lpstr>
      <vt:lpstr>m3_day</vt:lpstr>
      <vt:lpstr>m3_h</vt:lpstr>
      <vt:lpstr>m3co2_h</vt:lpstr>
      <vt:lpstr>m3OW_to_kgCO2</vt:lpstr>
      <vt:lpstr>MACRS_table</vt:lpstr>
      <vt:lpstr>mc_efficiency</vt:lpstr>
      <vt:lpstr>mc_types</vt:lpstr>
      <vt:lpstr>MGD</vt:lpstr>
      <vt:lpstr>min_n_MCs</vt:lpstr>
      <vt:lpstr>min_n_VPs</vt:lpstr>
      <vt:lpstr>mol_s</vt:lpstr>
      <vt:lpstr>molar_mass</vt:lpstr>
      <vt:lpstr>molh_to_kgco2</vt:lpstr>
      <vt:lpstr>molh_to_molco2eq</vt:lpstr>
      <vt:lpstr>molh_to_molco2ex</vt:lpstr>
      <vt:lpstr>motor_types</vt:lpstr>
      <vt:lpstr>multiplier</vt:lpstr>
      <vt:lpstr>n_MCs</vt:lpstr>
      <vt:lpstr>n_VPs</vt:lpstr>
      <vt:lpstr>nominal_irr</vt:lpstr>
      <vt:lpstr>non_depr_cap</vt:lpstr>
      <vt:lpstr>OW_pH</vt:lpstr>
      <vt:lpstr>param_to_vary</vt:lpstr>
      <vt:lpstr>param1</vt:lpstr>
      <vt:lpstr>param2</vt:lpstr>
      <vt:lpstr>plant_life</vt:lpstr>
      <vt:lpstr>pressure_ss</vt:lpstr>
      <vt:lpstr>process_table</vt:lpstr>
      <vt:lpstr>pump_materials</vt:lpstr>
      <vt:lpstr>pump_types</vt:lpstr>
      <vt:lpstr>r_const</vt:lpstr>
      <vt:lpstr>real_irr</vt:lpstr>
      <vt:lpstr>recovery_period</vt:lpstr>
      <vt:lpstr>recovery_year</vt:lpstr>
      <vt:lpstr>ref_year</vt:lpstr>
      <vt:lpstr>salvage</vt:lpstr>
      <vt:lpstr>scale_factor</vt:lpstr>
      <vt:lpstr>scale_ratio</vt:lpstr>
      <vt:lpstr>scaling_factor_exponent</vt:lpstr>
      <vt:lpstr>secondary</vt:lpstr>
      <vt:lpstr>startup_perct_revs</vt:lpstr>
      <vt:lpstr>startup_time</vt:lpstr>
      <vt:lpstr>startup_year</vt:lpstr>
      <vt:lpstr>sweep_table</vt:lpstr>
      <vt:lpstr>sweep_table_2D</vt:lpstr>
      <vt:lpstr>table_costindex</vt:lpstr>
      <vt:lpstr>tax_rate</vt:lpstr>
      <vt:lpstr>temp</vt:lpstr>
      <vt:lpstr>test_cell</vt:lpstr>
      <vt:lpstr>tons_to_kg</vt:lpstr>
      <vt:lpstr>torr_to_pa</vt:lpstr>
      <vt:lpstr>total_capital</vt:lpstr>
      <vt:lpstr>vacuum_pump_types</vt:lpstr>
      <vt:lpstr>vol_mol</vt:lpstr>
      <vt:lpstr>voltage</vt:lpstr>
      <vt:lpstr>when</vt:lpstr>
      <vt:lpstr>working_cap_perct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Digdaya</dc:creator>
  <cp:lastModifiedBy>Cora Went</cp:lastModifiedBy>
  <cp:lastPrinted>2021-11-29T22:01:18Z</cp:lastPrinted>
  <dcterms:created xsi:type="dcterms:W3CDTF">2020-08-16T16:05:15Z</dcterms:created>
  <dcterms:modified xsi:type="dcterms:W3CDTF">2021-11-29T23:01:18Z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0x0101002C85DFCCB350BB47916F5322395C7C63</vt:lpwstr>
  </property>
</Properties>
</file>