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holdings-my.sharepoint.com/personal/kris_corbin_postholdings_com/Documents/003 - GHG Inventory Tool/EnviroVision/EviroSpec Vision/Carbon Intensity Calculations/"/>
    </mc:Choice>
  </mc:AlternateContent>
  <xr:revisionPtr revIDLastSave="0" documentId="8_{EA4574C4-8158-4D98-BABA-AF4C64D29B59}" xr6:coauthVersionLast="47" xr6:coauthVersionMax="47" xr10:uidLastSave="{00000000-0000-0000-0000-000000000000}"/>
  <bookViews>
    <workbookView xWindow="-120" yWindow="-120" windowWidth="29040" windowHeight="16440" tabRatio="720" firstSheet="1" activeTab="1" xr2:uid="{DFF46D42-FCAA-4D9F-9257-ECA08EAA5402}"/>
  </bookViews>
  <sheets>
    <sheet name="Wheat" sheetId="2" r:id="rId1"/>
    <sheet name="EnviroSpec Vision data Table" sheetId="3" r:id="rId2"/>
    <sheet name="Outputs" sheetId="4" r:id="rId3"/>
    <sheet name="Math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K21" i="5"/>
  <c r="Q21" i="5"/>
  <c r="K19" i="5"/>
  <c r="M19" i="5"/>
  <c r="Q19" i="5"/>
  <c r="K10" i="5"/>
  <c r="K8" i="5"/>
  <c r="AA4" i="3"/>
  <c r="AB4" i="3" s="1"/>
  <c r="AA5" i="3"/>
  <c r="AB5" i="3" s="1"/>
  <c r="AA6" i="3"/>
  <c r="AB6" i="3" s="1"/>
  <c r="AA7" i="3"/>
  <c r="AB7" i="3" s="1"/>
  <c r="AA8" i="3"/>
  <c r="AB8" i="3" s="1"/>
  <c r="AA9" i="3"/>
  <c r="AB9" i="3" s="1"/>
  <c r="AA10" i="3"/>
  <c r="AB10" i="3" s="1"/>
  <c r="AA11" i="3"/>
  <c r="AB11" i="3" s="1"/>
  <c r="AA12" i="3"/>
  <c r="AB12" i="3" s="1"/>
  <c r="AA13" i="3"/>
  <c r="AB13" i="3" s="1"/>
  <c r="AA14" i="3"/>
  <c r="AB14" i="3" s="1"/>
  <c r="AA15" i="3"/>
  <c r="AB15" i="3" s="1"/>
  <c r="AA16" i="3"/>
  <c r="AB16" i="3" s="1"/>
  <c r="AA17" i="3"/>
  <c r="AB17" i="3" s="1"/>
  <c r="AA18" i="3"/>
  <c r="AB18" i="3" s="1"/>
  <c r="AA3" i="3"/>
  <c r="AB3" i="3" s="1"/>
  <c r="Y3" i="3"/>
  <c r="X3" i="3"/>
  <c r="AE3" i="3"/>
  <c r="Q16" i="5"/>
  <c r="Q14" i="5"/>
  <c r="M14" i="5"/>
  <c r="K14" i="5"/>
  <c r="K16" i="5"/>
  <c r="W3" i="3"/>
  <c r="Q10" i="5"/>
  <c r="M8" i="5"/>
  <c r="Q8" i="5" s="1"/>
  <c r="K5" i="3"/>
  <c r="K4" i="3"/>
  <c r="J5" i="3"/>
  <c r="J4" i="3"/>
  <c r="J3" i="3"/>
  <c r="W7" i="3"/>
  <c r="W5" i="3"/>
  <c r="W6" i="3"/>
  <c r="W4" i="3"/>
  <c r="T5" i="3"/>
  <c r="T4" i="3"/>
  <c r="T3" i="3"/>
  <c r="M3" i="3"/>
  <c r="W8" i="3"/>
  <c r="W9" i="3"/>
  <c r="W10" i="3"/>
  <c r="W11" i="3"/>
  <c r="W12" i="3"/>
  <c r="W13" i="3"/>
  <c r="W14" i="3"/>
  <c r="W15" i="3"/>
  <c r="W16" i="3"/>
  <c r="W17" i="3"/>
  <c r="W18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M18" i="3"/>
  <c r="N18" i="3" s="1"/>
  <c r="M15" i="3"/>
  <c r="N15" i="3" s="1"/>
  <c r="AG15" i="3" s="1"/>
  <c r="M14" i="3"/>
  <c r="N14" i="3" s="1"/>
  <c r="AG14" i="3" s="1"/>
  <c r="M13" i="3"/>
  <c r="N13" i="3" s="1"/>
  <c r="AG13" i="3" s="1"/>
  <c r="M11" i="3"/>
  <c r="N11" i="3" s="1"/>
  <c r="AG11" i="3" s="1"/>
  <c r="M10" i="3"/>
  <c r="N10" i="3" s="1"/>
  <c r="M9" i="3"/>
  <c r="N9" i="3" s="1"/>
  <c r="AG9" i="3" s="1"/>
  <c r="M8" i="3"/>
  <c r="N8" i="3" s="1"/>
  <c r="M7" i="3"/>
  <c r="N7" i="3" s="1"/>
  <c r="AG7" i="3" s="1"/>
  <c r="M6" i="3"/>
  <c r="N6" i="3" s="1"/>
  <c r="AG6" i="3" s="1"/>
  <c r="M5" i="3"/>
  <c r="N5" i="3" s="1"/>
  <c r="AG5" i="3" s="1"/>
  <c r="M4" i="3"/>
  <c r="N4" i="3" s="1"/>
  <c r="AG4" i="3" s="1"/>
  <c r="N3" i="3"/>
  <c r="K7" i="3"/>
  <c r="K6" i="3"/>
  <c r="K3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X18" i="3" l="1"/>
  <c r="X15" i="3"/>
  <c r="X14" i="3"/>
  <c r="X13" i="3"/>
  <c r="X11" i="3"/>
  <c r="X10" i="3"/>
  <c r="X9" i="3"/>
  <c r="X8" i="3"/>
  <c r="X4" i="3"/>
  <c r="X6" i="3"/>
  <c r="X5" i="3"/>
  <c r="X7" i="3"/>
  <c r="Z3" i="3"/>
  <c r="AG3" i="3"/>
  <c r="Z8" i="3"/>
  <c r="AG8" i="3"/>
  <c r="Z10" i="3"/>
  <c r="AG10" i="3"/>
  <c r="Z18" i="3"/>
  <c r="AG18" i="3"/>
  <c r="Z13" i="3"/>
  <c r="Z14" i="3"/>
  <c r="Z6" i="3"/>
  <c r="Z11" i="3"/>
  <c r="Z5" i="3"/>
  <c r="Z7" i="3"/>
  <c r="Z4" i="3"/>
  <c r="Z15" i="3"/>
  <c r="Z9" i="3"/>
  <c r="AJ3" i="3" l="1"/>
  <c r="AK3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AE18" i="3" l="1"/>
  <c r="K18" i="3"/>
  <c r="AE17" i="3"/>
  <c r="L17" i="3"/>
  <c r="AE16" i="3"/>
  <c r="L16" i="3"/>
  <c r="AH15" i="3"/>
  <c r="AE15" i="3"/>
  <c r="K15" i="3"/>
  <c r="AH14" i="3"/>
  <c r="AE14" i="3"/>
  <c r="K14" i="3"/>
  <c r="AJ13" i="3"/>
  <c r="AO13" i="3" s="1"/>
  <c r="AE13" i="3"/>
  <c r="K13" i="3"/>
  <c r="AE12" i="3"/>
  <c r="L12" i="3"/>
  <c r="AH11" i="3"/>
  <c r="AE11" i="3"/>
  <c r="K11" i="3"/>
  <c r="AH10" i="3"/>
  <c r="AE10" i="3"/>
  <c r="K10" i="3"/>
  <c r="AH9" i="3"/>
  <c r="AE9" i="3"/>
  <c r="K9" i="3"/>
  <c r="AH8" i="3"/>
  <c r="AE8" i="3"/>
  <c r="K8" i="3"/>
  <c r="AH7" i="3"/>
  <c r="AE7" i="3"/>
  <c r="AH6" i="3"/>
  <c r="AE6" i="3"/>
  <c r="AH5" i="3"/>
  <c r="AE5" i="3"/>
  <c r="AH4" i="3"/>
  <c r="AE4" i="3"/>
  <c r="K12" i="3" l="1"/>
  <c r="M12" i="3"/>
  <c r="N12" i="3" s="1"/>
  <c r="X12" i="3" s="1"/>
  <c r="K17" i="3"/>
  <c r="M17" i="3"/>
  <c r="N17" i="3" s="1"/>
  <c r="X17" i="3" s="1"/>
  <c r="K16" i="3"/>
  <c r="M16" i="3"/>
  <c r="N16" i="3" s="1"/>
  <c r="X16" i="3" s="1"/>
  <c r="AK18" i="3"/>
  <c r="AJ18" i="3"/>
  <c r="AO18" i="3" s="1"/>
  <c r="AH3" i="3"/>
  <c r="AO3" i="3"/>
  <c r="AH18" i="3"/>
  <c r="AJ15" i="3"/>
  <c r="AO15" i="3" s="1"/>
  <c r="AK13" i="3"/>
  <c r="AK15" i="3"/>
  <c r="AK14" i="3"/>
  <c r="AH13" i="3"/>
  <c r="AJ14" i="3"/>
  <c r="AO14" i="3" s="1"/>
  <c r="AJ4" i="3"/>
  <c r="AO4" i="3" s="1"/>
  <c r="AJ5" i="3"/>
  <c r="AO5" i="3" s="1"/>
  <c r="AJ6" i="3"/>
  <c r="AO6" i="3" s="1"/>
  <c r="AJ7" i="3"/>
  <c r="AO7" i="3" s="1"/>
  <c r="AJ8" i="3"/>
  <c r="AO8" i="3" s="1"/>
  <c r="AJ9" i="3"/>
  <c r="AO9" i="3" s="1"/>
  <c r="AJ10" i="3"/>
  <c r="AO10" i="3" s="1"/>
  <c r="AJ11" i="3"/>
  <c r="AO11" i="3" s="1"/>
  <c r="AK4" i="3"/>
  <c r="AK5" i="3"/>
  <c r="AK6" i="3"/>
  <c r="AK7" i="3"/>
  <c r="AK8" i="3"/>
  <c r="AK9" i="3"/>
  <c r="AK10" i="3"/>
  <c r="AK11" i="3"/>
  <c r="Z16" i="3" l="1"/>
  <c r="AG16" i="3"/>
  <c r="Z17" i="3"/>
  <c r="AG17" i="3"/>
  <c r="Z12" i="3"/>
  <c r="AG12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3" i="2"/>
  <c r="Q21" i="2"/>
  <c r="V3" i="2"/>
  <c r="Z3" i="2" s="1"/>
  <c r="G24" i="2"/>
  <c r="I3" i="2"/>
  <c r="Z16" i="2"/>
  <c r="Z15" i="2"/>
  <c r="Z7" i="2"/>
  <c r="R18" i="2"/>
  <c r="R17" i="2"/>
  <c r="R16" i="2"/>
  <c r="R15" i="2"/>
  <c r="R14" i="2"/>
  <c r="R13" i="2"/>
  <c r="R12" i="2"/>
  <c r="Z12" i="2" s="1"/>
  <c r="R11" i="2"/>
  <c r="R10" i="2"/>
  <c r="R9" i="2"/>
  <c r="R8" i="2"/>
  <c r="R7" i="2"/>
  <c r="R6" i="2"/>
  <c r="R5" i="2"/>
  <c r="R4" i="2"/>
  <c r="Z4" i="2" s="1"/>
  <c r="R3" i="2"/>
  <c r="W3" i="2"/>
  <c r="Y3" i="2"/>
  <c r="V18" i="2"/>
  <c r="Y18" i="2" s="1"/>
  <c r="V17" i="2"/>
  <c r="Y17" i="2" s="1"/>
  <c r="V16" i="2"/>
  <c r="W16" i="2" s="1"/>
  <c r="V15" i="2"/>
  <c r="Y15" i="2" s="1"/>
  <c r="V14" i="2"/>
  <c r="Y14" i="2" s="1"/>
  <c r="V13" i="2"/>
  <c r="Y13" i="2" s="1"/>
  <c r="V12" i="2"/>
  <c r="W12" i="2" s="1"/>
  <c r="V11" i="2"/>
  <c r="Y11" i="2" s="1"/>
  <c r="V10" i="2"/>
  <c r="Y10" i="2" s="1"/>
  <c r="V9" i="2"/>
  <c r="Y9" i="2" s="1"/>
  <c r="V8" i="2"/>
  <c r="W8" i="2" s="1"/>
  <c r="V7" i="2"/>
  <c r="Y7" i="2" s="1"/>
  <c r="V6" i="2"/>
  <c r="Y6" i="2" s="1"/>
  <c r="V5" i="2"/>
  <c r="Y5" i="2" s="1"/>
  <c r="V4" i="2"/>
  <c r="K21" i="2"/>
  <c r="K23" i="2" s="1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J12" i="2"/>
  <c r="I12" i="2" s="1"/>
  <c r="H13" i="2"/>
  <c r="I13" i="2"/>
  <c r="H14" i="2"/>
  <c r="I14" i="2"/>
  <c r="H15" i="2"/>
  <c r="I15" i="2"/>
  <c r="H16" i="2"/>
  <c r="J16" i="2"/>
  <c r="I16" i="2" s="1"/>
  <c r="H17" i="2"/>
  <c r="J17" i="2"/>
  <c r="I17" i="2" s="1"/>
  <c r="H18" i="2"/>
  <c r="I18" i="2"/>
  <c r="D21" i="2"/>
  <c r="E21" i="2"/>
  <c r="F21" i="2"/>
  <c r="G21" i="2"/>
  <c r="AJ12" i="3" l="1"/>
  <c r="AO12" i="3" s="1"/>
  <c r="AH12" i="3"/>
  <c r="AK12" i="3"/>
  <c r="AH17" i="3"/>
  <c r="AJ17" i="3"/>
  <c r="AO17" i="3" s="1"/>
  <c r="AK17" i="3"/>
  <c r="AH16" i="3"/>
  <c r="AJ16" i="3"/>
  <c r="AO16" i="3" s="1"/>
  <c r="AK16" i="3"/>
  <c r="Z5" i="2"/>
  <c r="Z13" i="2"/>
  <c r="Z6" i="2"/>
  <c r="Z14" i="2"/>
  <c r="Z8" i="2"/>
  <c r="Z21" i="2" s="1"/>
  <c r="Z25" i="2" s="1"/>
  <c r="AA25" i="2" s="1"/>
  <c r="Z9" i="2"/>
  <c r="Z17" i="2"/>
  <c r="Z10" i="2"/>
  <c r="Z18" i="2"/>
  <c r="Z11" i="2"/>
  <c r="V21" i="2"/>
  <c r="Y16" i="2"/>
  <c r="W9" i="2"/>
  <c r="W11" i="2"/>
  <c r="W17" i="2"/>
  <c r="W5" i="2"/>
  <c r="W13" i="2"/>
  <c r="Y12" i="2"/>
  <c r="W6" i="2"/>
  <c r="W14" i="2"/>
  <c r="W7" i="2"/>
  <c r="W15" i="2"/>
  <c r="Y8" i="2"/>
  <c r="W4" i="2"/>
  <c r="Y4" i="2"/>
  <c r="W10" i="2"/>
  <c r="W18" i="2"/>
  <c r="AA21" i="2" l="1"/>
  <c r="Y21" i="2"/>
  <c r="W21" i="2"/>
  <c r="H21" i="2"/>
  <c r="F24" i="2" l="1"/>
  <c r="F25" i="2" s="1"/>
  <c r="H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tc={EFF0334E-0358-4235-AB16-E4FE0DD6A18A}</author>
  </authors>
  <commentList>
    <comment ref="O13" authorId="0" shapeId="0" xr:uid="{EFF0334E-0358-4235-AB16-E4FE0DD6A18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high due to the acreage discrepancy.  We should probably use the per/ac rate of change and weight it to the area provided by the grower if that is correct.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tc={813F848B-A056-4BC0-8B5F-23CCF8ADDF41}</author>
  </authors>
  <commentList>
    <comment ref="U13" authorId="0" shapeId="0" xr:uid="{813F848B-A056-4BC0-8B5F-23CCF8ADDF4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high due to the acreage discrepancy.  We should probably use the per/ac rate of change and weight it to the area provided by the grower if that is correct.</t>
      </text>
    </comment>
  </commentList>
</comments>
</file>

<file path=xl/sharedStrings.xml><?xml version="1.0" encoding="utf-8"?>
<sst xmlns="http://schemas.openxmlformats.org/spreadsheetml/2006/main" count="252" uniqueCount="87">
  <si>
    <t>Grower Name</t>
  </si>
  <si>
    <t>Field Name</t>
  </si>
  <si>
    <t>Field Locations</t>
  </si>
  <si>
    <t>Data Complete</t>
  </si>
  <si>
    <t>Ac</t>
  </si>
  <si>
    <t>Est Avg Yield (bu)</t>
  </si>
  <si>
    <t>Est Production (bu)</t>
  </si>
  <si>
    <t>Actual Yield (bu/ac)</t>
  </si>
  <si>
    <t>Total Production (bu)</t>
  </si>
  <si>
    <t>Total Production (Mt) Wheat</t>
  </si>
  <si>
    <t>SOC Score (Mt CO2e / ac) Removals</t>
  </si>
  <si>
    <t xml:space="preserve">On Field &amp; Pre-Field Emissions (Mt CO2e / ac) Emissions </t>
  </si>
  <si>
    <t>Final Score Field Gate (CI - Mt CO2e / ac )</t>
  </si>
  <si>
    <t>SOC Score (Mt CO2e / Mt wheat) Removals</t>
  </si>
  <si>
    <t xml:space="preserve">On Field &amp; Pre-Field Emissions (Mt CO2e / Mt wheat) Emissions </t>
  </si>
  <si>
    <t>Final Score Field Gate (CI - Mt CO2e / Mt wheat )</t>
  </si>
  <si>
    <t>Final Score Field Gate (CI - kg CO2e / Mt wheat )</t>
  </si>
  <si>
    <t>Final Score Field Gate (CI - kg CO2e / kg Wheat - Unallocated )</t>
  </si>
  <si>
    <t>Final Score Field Gate (CI - g CO2e / kg Wheat - Unallocated )</t>
  </si>
  <si>
    <t>Flour yield</t>
  </si>
  <si>
    <t>Flour MT</t>
  </si>
  <si>
    <t>Flour kg</t>
  </si>
  <si>
    <t>lbs / MT</t>
  </si>
  <si>
    <t>Flour Lbs</t>
  </si>
  <si>
    <t>Emissions kg CO2e / Flour MT</t>
  </si>
  <si>
    <t>Wt. Avg Emissions kg CO2e / Flour MT</t>
  </si>
  <si>
    <t>Emissions kg CO2e / Flour kg</t>
  </si>
  <si>
    <t>Steve Tait</t>
  </si>
  <si>
    <t>Ralphs</t>
  </si>
  <si>
    <t>Jims</t>
  </si>
  <si>
    <t xml:space="preserve">Don S. Barn </t>
  </si>
  <si>
    <t>Ians</t>
  </si>
  <si>
    <t>John C</t>
  </si>
  <si>
    <t>John P Home</t>
  </si>
  <si>
    <t>Filion Rd</t>
  </si>
  <si>
    <t>Stinson East</t>
  </si>
  <si>
    <t>Mike's 40</t>
  </si>
  <si>
    <t>Wayne B</t>
  </si>
  <si>
    <t>Home/Rogner</t>
  </si>
  <si>
    <t>Auernhamer</t>
  </si>
  <si>
    <t>Mike</t>
  </si>
  <si>
    <t>Gilford</t>
  </si>
  <si>
    <t>Scott B</t>
  </si>
  <si>
    <t>Todd East</t>
  </si>
  <si>
    <t>Scott Home North</t>
  </si>
  <si>
    <t>Jacob Bauer</t>
  </si>
  <si>
    <t>Home South 40</t>
  </si>
  <si>
    <t>Farmers</t>
  </si>
  <si>
    <t>Fields</t>
  </si>
  <si>
    <t>Total Ac</t>
  </si>
  <si>
    <t>Avg Yield</t>
  </si>
  <si>
    <t>Production</t>
  </si>
  <si>
    <t>TOTALS</t>
  </si>
  <si>
    <t>Estimate</t>
  </si>
  <si>
    <t>Goal</t>
  </si>
  <si>
    <t>% of Goal</t>
  </si>
  <si>
    <t>estimated Allocation Rate</t>
  </si>
  <si>
    <t>Bushels</t>
  </si>
  <si>
    <t>Lb Flour</t>
  </si>
  <si>
    <t>reported from Farmer / or Miller</t>
  </si>
  <si>
    <t>Calculation</t>
  </si>
  <si>
    <t>Constant value for conversion</t>
  </si>
  <si>
    <t>reported from MRV (Indigo)</t>
  </si>
  <si>
    <t>Subset sum column</t>
  </si>
  <si>
    <t>Product Description</t>
  </si>
  <si>
    <t>Product #</t>
  </si>
  <si>
    <t>Lot #</t>
  </si>
  <si>
    <t>Acres</t>
  </si>
  <si>
    <t>Wheat total kg</t>
  </si>
  <si>
    <t>Wheat kg / bushel</t>
  </si>
  <si>
    <t>kg / Metric ton</t>
  </si>
  <si>
    <t>g / Metric ton</t>
  </si>
  <si>
    <t>SOC Score (Mt CO2e / ac) Carbon Sequestration Removals</t>
  </si>
  <si>
    <t>On Field &amp; Pre-Field Emissions (Mt CO2e / Mt wheat)</t>
  </si>
  <si>
    <t>Total Field Gate CI ( Mt CO2e)</t>
  </si>
  <si>
    <t>Total Field Gate CI ( kg CO2e)</t>
  </si>
  <si>
    <t>Final Score Field Gate (CI - g CO2e / Mt wheat )</t>
  </si>
  <si>
    <t>Total Field Gate CI ( g CO2e)</t>
  </si>
  <si>
    <t>Total Emission of CO2e in KG</t>
  </si>
  <si>
    <t>$/ lb</t>
  </si>
  <si>
    <t>Star Patent Wheat Flour</t>
  </si>
  <si>
    <t>Total Emissions kg CO2e / 100 grams flour</t>
  </si>
  <si>
    <t>file name: EnviroSpec Vision EIM 2023-12-06</t>
  </si>
  <si>
    <t>X</t>
  </si>
  <si>
    <t>kg</t>
  </si>
  <si>
    <t>MT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</si>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</sst>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#,##0.000"/>
    <numFmt numFmtId="167" formatCode="0.0"/>
    <numFmt numFmtId="168" formatCode="#,##0.0000_);[Red]\(#,##0.0000\)"/>
    <numFmt numFmtId="169" formatCode="&quot;$&quot;#,##0.00"/>
    <numFmt numFmtId="170" formatCode="#,##0.0_);[Red]\(#,##0.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2" fontId="0" fillId="0" borderId="0" xfId="0" applyNumberFormat="1"/>
    <xf numFmtId="9" fontId="0" fillId="2" borderId="0" xfId="0" applyNumberFormat="1" applyFill="1" applyAlignment="1">
      <alignment horizontal="left"/>
    </xf>
    <xf numFmtId="9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quotePrefix="1" applyFont="1"/>
    <xf numFmtId="0" fontId="5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/>
    <xf numFmtId="4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 applyAlignment="1"/>
    <xf numFmtId="0" fontId="0" fillId="3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1" fontId="0" fillId="4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right"/>
    </xf>
    <xf numFmtId="9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/>
    <xf numFmtId="166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164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164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168" fontId="11" fillId="0" borderId="0" xfId="0" applyNumberFormat="1" applyFont="1" applyAlignment="1">
      <alignment horizontal="center"/>
    </xf>
    <xf numFmtId="168" fontId="11" fillId="0" borderId="2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8" fontId="11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9" fontId="0" fillId="0" borderId="0" xfId="0" applyNumberFormat="1"/>
    <xf numFmtId="0" fontId="12" fillId="6" borderId="6" xfId="0" applyFont="1" applyFill="1" applyBorder="1" applyAlignment="1">
      <alignment horizontal="center" vertical="center" wrapText="1"/>
    </xf>
    <xf numFmtId="2" fontId="12" fillId="6" borderId="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5" xfId="0" applyFill="1" applyBorder="1" applyAlignment="1">
      <alignment wrapText="1"/>
    </xf>
    <xf numFmtId="0" fontId="0" fillId="8" borderId="5" xfId="0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167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/>
    <xf numFmtId="4" fontId="0" fillId="8" borderId="5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6" fontId="0" fillId="8" borderId="5" xfId="0" applyNumberFormat="1" applyFill="1" applyBorder="1" applyAlignment="1">
      <alignment horizontal="center"/>
    </xf>
    <xf numFmtId="168" fontId="11" fillId="8" borderId="5" xfId="0" applyNumberFormat="1" applyFont="1" applyFill="1" applyBorder="1" applyAlignment="1">
      <alignment horizontal="center"/>
    </xf>
    <xf numFmtId="0" fontId="0" fillId="9" borderId="5" xfId="0" applyFill="1" applyBorder="1" applyAlignment="1">
      <alignment wrapText="1"/>
    </xf>
    <xf numFmtId="0" fontId="0" fillId="9" borderId="5" xfId="0" applyFill="1" applyBorder="1" applyAlignment="1">
      <alignment horizontal="center"/>
    </xf>
    <xf numFmtId="167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4" fontId="0" fillId="9" borderId="5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6" fontId="0" fillId="9" borderId="5" xfId="0" applyNumberFormat="1" applyFill="1" applyBorder="1" applyAlignment="1">
      <alignment horizontal="center"/>
    </xf>
    <xf numFmtId="168" fontId="11" fillId="9" borderId="5" xfId="0" applyNumberFormat="1" applyFont="1" applyFill="1" applyBorder="1" applyAlignment="1">
      <alignment horizontal="center"/>
    </xf>
    <xf numFmtId="0" fontId="0" fillId="10" borderId="5" xfId="0" applyFill="1" applyBorder="1" applyAlignment="1">
      <alignment wrapText="1"/>
    </xf>
    <xf numFmtId="0" fontId="0" fillId="10" borderId="5" xfId="0" applyFill="1" applyBorder="1" applyAlignment="1">
      <alignment horizontal="center"/>
    </xf>
    <xf numFmtId="167" fontId="0" fillId="10" borderId="5" xfId="0" applyNumberFormat="1" applyFill="1" applyBorder="1" applyAlignment="1">
      <alignment horizontal="center"/>
    </xf>
    <xf numFmtId="164" fontId="0" fillId="10" borderId="5" xfId="0" applyNumberFormat="1" applyFill="1" applyBorder="1"/>
    <xf numFmtId="4" fontId="0" fillId="10" borderId="5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6" fontId="0" fillId="10" borderId="5" xfId="0" applyNumberFormat="1" applyFill="1" applyBorder="1" applyAlignment="1">
      <alignment horizontal="center"/>
    </xf>
    <xf numFmtId="168" fontId="11" fillId="10" borderId="5" xfId="0" applyNumberFormat="1" applyFont="1" applyFill="1" applyBorder="1" applyAlignment="1">
      <alignment horizontal="center"/>
    </xf>
    <xf numFmtId="0" fontId="10" fillId="10" borderId="5" xfId="0" applyFont="1" applyFill="1" applyBorder="1" applyAlignment="1">
      <alignment wrapText="1"/>
    </xf>
    <xf numFmtId="0" fontId="8" fillId="10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wrapText="1"/>
    </xf>
    <xf numFmtId="49" fontId="0" fillId="11" borderId="0" xfId="0" applyNumberFormat="1" applyFill="1" applyAlignment="1">
      <alignment horizontal="left" vertical="center"/>
    </xf>
    <xf numFmtId="0" fontId="0" fillId="11" borderId="0" xfId="0" applyFill="1"/>
    <xf numFmtId="169" fontId="0" fillId="0" borderId="0" xfId="0" applyNumberFormat="1"/>
    <xf numFmtId="43" fontId="0" fillId="8" borderId="5" xfId="0" applyNumberFormat="1" applyFill="1" applyBorder="1"/>
    <xf numFmtId="43" fontId="0" fillId="10" borderId="5" xfId="0" applyNumberFormat="1" applyFill="1" applyBorder="1"/>
    <xf numFmtId="43" fontId="0" fillId="9" borderId="5" xfId="0" applyNumberFormat="1" applyFill="1" applyBorder="1" applyAlignment="1">
      <alignment horizontal="center"/>
    </xf>
    <xf numFmtId="0" fontId="14" fillId="13" borderId="6" xfId="0" applyFont="1" applyFill="1" applyBorder="1" applyAlignment="1">
      <alignment horizontal="center" vertical="center" wrapText="1"/>
    </xf>
    <xf numFmtId="0" fontId="14" fillId="14" borderId="0" xfId="0" applyFont="1" applyFill="1" applyAlignment="1">
      <alignment horizontal="center" vertical="center" wrapText="1"/>
    </xf>
    <xf numFmtId="0" fontId="14" fillId="14" borderId="5" xfId="0" applyFont="1" applyFill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0" fillId="8" borderId="5" xfId="0" applyFill="1" applyBorder="1"/>
    <xf numFmtId="0" fontId="0" fillId="8" borderId="5" xfId="0" applyFill="1" applyBorder="1" applyAlignment="1">
      <alignment horizontal="center" vertical="center" wrapText="1"/>
    </xf>
    <xf numFmtId="38" fontId="11" fillId="8" borderId="5" xfId="0" applyNumberFormat="1" applyFont="1" applyFill="1" applyBorder="1" applyAlignment="1">
      <alignment horizontal="center"/>
    </xf>
    <xf numFmtId="170" fontId="11" fillId="8" borderId="5" xfId="0" applyNumberFormat="1" applyFont="1" applyFill="1" applyBorder="1" applyAlignment="1">
      <alignment horizontal="center"/>
    </xf>
    <xf numFmtId="9" fontId="0" fillId="8" borderId="5" xfId="0" applyNumberFormat="1" applyFill="1" applyBorder="1" applyAlignment="1">
      <alignment horizontal="center"/>
    </xf>
    <xf numFmtId="0" fontId="0" fillId="0" borderId="5" xfId="0" applyBorder="1"/>
    <xf numFmtId="169" fontId="0" fillId="0" borderId="5" xfId="0" applyNumberFormat="1" applyBorder="1"/>
    <xf numFmtId="0" fontId="0" fillId="10" borderId="5" xfId="0" applyFill="1" applyBorder="1"/>
    <xf numFmtId="0" fontId="0" fillId="10" borderId="5" xfId="0" applyFill="1" applyBorder="1" applyAlignment="1">
      <alignment horizontal="center" vertical="center" wrapText="1"/>
    </xf>
    <xf numFmtId="38" fontId="11" fillId="10" borderId="5" xfId="0" applyNumberFormat="1" applyFont="1" applyFill="1" applyBorder="1" applyAlignment="1">
      <alignment horizontal="center"/>
    </xf>
    <xf numFmtId="170" fontId="11" fillId="10" borderId="5" xfId="0" applyNumberFormat="1" applyFont="1" applyFill="1" applyBorder="1" applyAlignment="1">
      <alignment horizontal="center"/>
    </xf>
    <xf numFmtId="9" fontId="0" fillId="10" borderId="5" xfId="0" applyNumberFormat="1" applyFill="1" applyBorder="1" applyAlignment="1">
      <alignment horizontal="center"/>
    </xf>
    <xf numFmtId="0" fontId="0" fillId="9" borderId="5" xfId="0" applyFill="1" applyBorder="1"/>
    <xf numFmtId="0" fontId="0" fillId="9" borderId="5" xfId="0" applyFill="1" applyBorder="1" applyAlignment="1">
      <alignment horizontal="center" vertical="center" wrapText="1"/>
    </xf>
    <xf numFmtId="38" fontId="11" fillId="9" borderId="5" xfId="0" applyNumberFormat="1" applyFont="1" applyFill="1" applyBorder="1" applyAlignment="1">
      <alignment horizontal="center"/>
    </xf>
    <xf numFmtId="170" fontId="11" fillId="9" borderId="5" xfId="0" applyNumberFormat="1" applyFont="1" applyFill="1" applyBorder="1" applyAlignment="1">
      <alignment horizontal="center"/>
    </xf>
    <xf numFmtId="9" fontId="0" fillId="9" borderId="5" xfId="0" applyNumberFormat="1" applyFill="1" applyBorder="1" applyAlignment="1">
      <alignment horizontal="center"/>
    </xf>
    <xf numFmtId="0" fontId="7" fillId="9" borderId="5" xfId="0" applyFont="1" applyFill="1" applyBorder="1" applyAlignment="1">
      <alignment wrapText="1"/>
    </xf>
    <xf numFmtId="0" fontId="15" fillId="5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6" fillId="0" borderId="0" xfId="0" quotePrefix="1" applyFont="1" applyAlignment="1">
      <alignment horizontal="center" vertical="center" wrapText="1"/>
    </xf>
    <xf numFmtId="2" fontId="14" fillId="6" borderId="5" xfId="0" applyNumberFormat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4" fillId="12" borderId="5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4" fillId="6" borderId="5" xfId="0" quotePrefix="1" applyFont="1" applyFill="1" applyBorder="1" applyAlignment="1">
      <alignment horizontal="center" vertical="center" wrapText="1"/>
    </xf>
    <xf numFmtId="0" fontId="14" fillId="12" borderId="6" xfId="0" quotePrefix="1" applyFont="1" applyFill="1" applyBorder="1" applyAlignment="1">
      <alignment horizontal="center" vertical="center" wrapText="1"/>
    </xf>
    <xf numFmtId="0" fontId="14" fillId="12" borderId="0" xfId="0" quotePrefix="1" applyFont="1" applyFill="1" applyBorder="1" applyAlignment="1">
      <alignment horizontal="center" vertical="center" wrapText="1"/>
    </xf>
    <xf numFmtId="38" fontId="17" fillId="8" borderId="5" xfId="0" applyNumberFormat="1" applyFont="1" applyFill="1" applyBorder="1" applyAlignment="1">
      <alignment horizontal="center"/>
    </xf>
  </cellXfs>
  <cellStyles count="2">
    <cellStyle name="Comma 2" xfId="1" xr:uid="{4A91CC2A-72E5-41B0-8228-6C9FC143D3C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persons/person.xml" Type="http://schemas.microsoft.com/office/2017/10/relationships/person"/><Relationship Id="rId9" Target="calcChain.xml" Type="http://schemas.openxmlformats.org/officeDocument/2006/relationships/calcChain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ie Johnson" id="{15AF1B46-A164-4BC7-B704-A617DA441132}" userId="S::halliejohnson@indigoag.com::25b062c9-ba8e-4b12-a7fe-cc2a79101e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3" dT="2023-09-05T19:57:11.67" personId="{15AF1B46-A164-4BC7-B704-A617DA441132}" id="{EFF0334E-0358-4235-AB16-E4FE0DD6A18A}">
    <text>This number is high due to the acreage discrepancy.  We should probably use the per/ac rate of change and weight it to the area provided by the grower if that is correct.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13" dT="2023-09-05T19:57:11.67" personId="{15AF1B46-A164-4BC7-B704-A617DA441132}" id="{813F848B-A056-4BC0-8B5F-23CCF8ADDF41}">
    <text>This number is high due to the acreage discrepancy.  We should probably use the per/ac rate of change and weight it to the area provided by the grower if that is correct.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362-B885-4815-88D2-2348FD4999D8}">
  <dimension ref="B1:AB28"/>
  <sheetViews>
    <sheetView topLeftCell="G1" zoomScale="110" zoomScaleNormal="110" workbookViewId="0">
      <selection activeCell="M26" sqref="M26"/>
    </sheetView>
  </sheetViews>
  <sheetFormatPr defaultRowHeight="15"/>
  <cols>
    <col min="1" max="1" width="2.140625" customWidth="1"/>
    <col min="2" max="2" width="13.5703125" bestFit="1" customWidth="1"/>
    <col min="3" max="3" width="26.140625" bestFit="1" customWidth="1"/>
    <col min="4" max="4" width="11.7109375" customWidth="1"/>
    <col min="5" max="5" width="10.140625" customWidth="1"/>
    <col min="6" max="6" width="12.28515625" customWidth="1"/>
    <col min="7" max="7" width="12.5703125" customWidth="1"/>
    <col min="8" max="8" width="10.85546875" customWidth="1"/>
    <col min="9" max="9" width="12.5703125" customWidth="1"/>
    <col min="10" max="10" width="10.42578125" customWidth="1"/>
    <col min="11" max="11" width="12" style="1" customWidth="1"/>
    <col min="12" max="12" width="14.85546875" customWidth="1"/>
    <col min="13" max="13" width="19.140625" customWidth="1"/>
    <col min="14" max="15" width="14.85546875" customWidth="1"/>
    <col min="16" max="16" width="20.7109375" customWidth="1"/>
    <col min="17" max="20" width="15.7109375" customWidth="1"/>
    <col min="21" max="21" width="8.42578125" style="9" customWidth="1"/>
    <col min="22" max="22" width="11.28515625" style="9" bestFit="1" customWidth="1"/>
    <col min="23" max="23" width="11.28515625" style="9" customWidth="1"/>
    <col min="24" max="24" width="7.85546875" style="9" bestFit="1" customWidth="1"/>
    <col min="25" max="25" width="11.28515625" style="9" bestFit="1" customWidth="1"/>
    <col min="26" max="26" width="9.28515625" bestFit="1" customWidth="1"/>
    <col min="27" max="27" width="9.140625" customWidth="1"/>
  </cols>
  <sheetData>
    <row r="1" spans="2:28" ht="8.25" customHeight="1"/>
    <row r="2" spans="2:28" s="61" customFormat="1" ht="75">
      <c r="B2" s="55" t="s">
        <v>0</v>
      </c>
      <c r="C2" s="55" t="s">
        <v>1</v>
      </c>
      <c r="D2" s="56" t="s">
        <v>2</v>
      </c>
      <c r="E2" s="56" t="s">
        <v>3</v>
      </c>
      <c r="F2" s="57" t="s">
        <v>4</v>
      </c>
      <c r="G2" s="57" t="s">
        <v>5</v>
      </c>
      <c r="H2" s="57" t="s">
        <v>6</v>
      </c>
      <c r="I2" s="57" t="s">
        <v>7</v>
      </c>
      <c r="J2" s="57" t="s">
        <v>8</v>
      </c>
      <c r="K2" s="58" t="s">
        <v>9</v>
      </c>
      <c r="L2" s="57" t="s">
        <v>10</v>
      </c>
      <c r="M2" s="57" t="s">
        <v>11</v>
      </c>
      <c r="N2" s="57" t="s">
        <v>12</v>
      </c>
      <c r="O2" s="59" t="s">
        <v>13</v>
      </c>
      <c r="P2" s="57" t="s">
        <v>14</v>
      </c>
      <c r="Q2" s="57" t="s">
        <v>15</v>
      </c>
      <c r="R2" s="57" t="s">
        <v>16</v>
      </c>
      <c r="S2" s="57" t="s">
        <v>17</v>
      </c>
      <c r="T2" s="57" t="s">
        <v>18</v>
      </c>
      <c r="U2" s="60" t="s">
        <v>19</v>
      </c>
      <c r="V2" s="60" t="s">
        <v>20</v>
      </c>
      <c r="W2" s="61" t="s">
        <v>21</v>
      </c>
      <c r="X2" s="60" t="s">
        <v>22</v>
      </c>
      <c r="Y2" s="60" t="s">
        <v>23</v>
      </c>
      <c r="Z2" s="61" t="s">
        <v>24</v>
      </c>
      <c r="AA2" s="61" t="s">
        <v>25</v>
      </c>
      <c r="AB2" s="61" t="s">
        <v>26</v>
      </c>
    </row>
    <row r="3" spans="2:28">
      <c r="B3" t="s">
        <v>27</v>
      </c>
      <c r="C3" t="s">
        <v>28</v>
      </c>
      <c r="D3" s="9">
        <v>1</v>
      </c>
      <c r="E3" s="9">
        <v>1</v>
      </c>
      <c r="F3" s="9">
        <v>35</v>
      </c>
      <c r="G3" s="9">
        <v>80</v>
      </c>
      <c r="H3" s="34">
        <v>5000</v>
      </c>
      <c r="I3" s="33">
        <f>J3/F3</f>
        <v>93</v>
      </c>
      <c r="J3" s="48">
        <v>3255</v>
      </c>
      <c r="K3" s="1">
        <v>88.571428571428598</v>
      </c>
      <c r="L3" s="9">
        <v>-0.70588571428571423</v>
      </c>
      <c r="M3" s="31">
        <v>0.84524588235294118</v>
      </c>
      <c r="N3" s="52">
        <v>0.13936016806722695</v>
      </c>
      <c r="O3" s="30">
        <v>-0.27893870967741935</v>
      </c>
      <c r="P3" s="29">
        <v>0.33400845351043645</v>
      </c>
      <c r="Q3" s="52">
        <v>5.5069743833017104E-2</v>
      </c>
      <c r="R3" s="52">
        <f>Q3*1000</f>
        <v>55.069743833017107</v>
      </c>
      <c r="S3" s="52">
        <v>5.5069743833017109</v>
      </c>
      <c r="T3" s="52">
        <f>S3*1000</f>
        <v>5506.974383301711</v>
      </c>
      <c r="U3" s="54">
        <v>0.7</v>
      </c>
      <c r="V3" s="62">
        <f>U3*K3</f>
        <v>62.000000000000014</v>
      </c>
      <c r="W3" s="62">
        <f>V3*1000</f>
        <v>62000.000000000015</v>
      </c>
      <c r="X3" s="31">
        <v>2204.62</v>
      </c>
      <c r="Y3" s="62">
        <f>X3*V3</f>
        <v>136686.44000000003</v>
      </c>
      <c r="Z3" s="62">
        <f>V3*R3</f>
        <v>3414.3241176470615</v>
      </c>
    </row>
    <row r="4" spans="2:28">
      <c r="C4" t="s">
        <v>29</v>
      </c>
      <c r="D4" s="9">
        <v>1</v>
      </c>
      <c r="E4" s="9">
        <v>1</v>
      </c>
      <c r="F4" s="49">
        <v>76.5</v>
      </c>
      <c r="G4" s="9">
        <v>80</v>
      </c>
      <c r="H4" s="34">
        <f t="shared" ref="H4:H18" si="0">F4*G4</f>
        <v>6120</v>
      </c>
      <c r="I4" s="33">
        <f t="shared" ref="I4:I18" si="1">J4/F4</f>
        <v>98.718954248366018</v>
      </c>
      <c r="J4" s="48">
        <v>7552</v>
      </c>
      <c r="K4" s="1">
        <v>205.49659863945578</v>
      </c>
      <c r="L4" s="9">
        <v>-0.69094117647058828</v>
      </c>
      <c r="M4" s="31">
        <v>0.89153178198861238</v>
      </c>
      <c r="N4" s="52">
        <v>0.2005906055180241</v>
      </c>
      <c r="O4" s="30">
        <v>-0.25721593617584748</v>
      </c>
      <c r="P4" s="29">
        <v>0.33188958733954388</v>
      </c>
      <c r="Q4" s="52">
        <v>7.4673651163696397E-2</v>
      </c>
      <c r="R4" s="52">
        <f t="shared" ref="R4:R18" si="2">Q4*1000</f>
        <v>74.673651163696391</v>
      </c>
      <c r="S4" s="52">
        <v>7.4673651163696393</v>
      </c>
      <c r="T4" s="52">
        <f t="shared" ref="T4:T18" si="3">S4*1000</f>
        <v>7467.3651163696395</v>
      </c>
      <c r="U4" s="54">
        <v>0.7</v>
      </c>
      <c r="V4" s="62">
        <f t="shared" ref="V4:V18" si="4">U4*K4</f>
        <v>143.84761904761905</v>
      </c>
      <c r="W4" s="62">
        <f t="shared" ref="W4:W18" si="5">V4*1000</f>
        <v>143847.61904761905</v>
      </c>
      <c r="X4" s="31">
        <v>2204.62</v>
      </c>
      <c r="Y4" s="62">
        <f t="shared" ref="Y4:Y18" si="6">X4*V4</f>
        <v>317129.33790476189</v>
      </c>
      <c r="Z4" s="62">
        <f t="shared" ref="Z4:Z18" si="7">V4*R4</f>
        <v>10741.626925490193</v>
      </c>
    </row>
    <row r="5" spans="2:28">
      <c r="C5" t="s">
        <v>30</v>
      </c>
      <c r="D5" s="9">
        <v>1</v>
      </c>
      <c r="E5" s="9">
        <v>1</v>
      </c>
      <c r="F5" s="9">
        <v>40</v>
      </c>
      <c r="G5" s="9">
        <v>80</v>
      </c>
      <c r="H5" s="34">
        <f t="shared" si="0"/>
        <v>3200</v>
      </c>
      <c r="I5" s="33">
        <f t="shared" si="1"/>
        <v>117.875</v>
      </c>
      <c r="J5" s="48">
        <v>4715</v>
      </c>
      <c r="K5" s="1">
        <v>128.29931972789115</v>
      </c>
      <c r="L5" s="9">
        <v>-0.41224999999999995</v>
      </c>
      <c r="M5" s="31">
        <v>0.78158549719887971</v>
      </c>
      <c r="N5" s="52">
        <v>0.36933549719887976</v>
      </c>
      <c r="O5" s="30">
        <v>-0.12852757158006362</v>
      </c>
      <c r="P5" s="29">
        <v>0.24367564811926898</v>
      </c>
      <c r="Q5" s="52">
        <v>0.11514807653920536</v>
      </c>
      <c r="R5" s="52">
        <f t="shared" si="2"/>
        <v>115.14807653920536</v>
      </c>
      <c r="S5" s="52">
        <v>11.514807653920538</v>
      </c>
      <c r="T5" s="52">
        <f t="shared" si="3"/>
        <v>11514.807653920538</v>
      </c>
      <c r="U5" s="54">
        <v>0.7</v>
      </c>
      <c r="V5" s="62">
        <f t="shared" si="4"/>
        <v>89.809523809523796</v>
      </c>
      <c r="W5" s="62">
        <f t="shared" si="5"/>
        <v>89809.523809523802</v>
      </c>
      <c r="X5" s="31">
        <v>2204.62</v>
      </c>
      <c r="Y5" s="62">
        <f t="shared" si="6"/>
        <v>197995.87238095235</v>
      </c>
      <c r="Z5" s="62">
        <f t="shared" si="7"/>
        <v>10341.393921568633</v>
      </c>
    </row>
    <row r="6" spans="2:28">
      <c r="C6" t="s">
        <v>31</v>
      </c>
      <c r="D6" s="9">
        <v>1</v>
      </c>
      <c r="E6" s="9">
        <v>1</v>
      </c>
      <c r="F6" s="9">
        <v>84</v>
      </c>
      <c r="G6" s="9">
        <v>80</v>
      </c>
      <c r="H6" s="34">
        <f t="shared" si="0"/>
        <v>6720</v>
      </c>
      <c r="I6" s="33">
        <f t="shared" si="1"/>
        <v>104.73809523809524</v>
      </c>
      <c r="J6" s="48">
        <v>8798</v>
      </c>
      <c r="K6" s="1">
        <v>239.40136054421768</v>
      </c>
      <c r="L6" s="9">
        <v>-0.61732142857142858</v>
      </c>
      <c r="M6" s="31">
        <v>0.65647901387221552</v>
      </c>
      <c r="N6" s="52">
        <v>3.9157585300786946E-2</v>
      </c>
      <c r="O6" s="30">
        <v>-0.21660277904069108</v>
      </c>
      <c r="P6" s="29">
        <v>0.23034220457189469</v>
      </c>
      <c r="Q6" s="52">
        <v>1.3739425531203608E-2</v>
      </c>
      <c r="R6" s="52">
        <f t="shared" si="2"/>
        <v>13.739425531203608</v>
      </c>
      <c r="S6" s="52">
        <v>1.3739425531203608</v>
      </c>
      <c r="T6" s="52">
        <f t="shared" si="3"/>
        <v>1373.9425531203608</v>
      </c>
      <c r="U6" s="54">
        <v>0.7</v>
      </c>
      <c r="V6" s="62">
        <f t="shared" si="4"/>
        <v>167.58095238095237</v>
      </c>
      <c r="W6" s="62">
        <f t="shared" si="5"/>
        <v>167580.95238095237</v>
      </c>
      <c r="X6" s="31">
        <v>2204.62</v>
      </c>
      <c r="Y6" s="62">
        <f t="shared" si="6"/>
        <v>369452.3192380952</v>
      </c>
      <c r="Z6" s="62">
        <f t="shared" si="7"/>
        <v>2302.4660156862728</v>
      </c>
    </row>
    <row r="7" spans="2:28">
      <c r="C7" t="s">
        <v>32</v>
      </c>
      <c r="D7" s="9">
        <v>1</v>
      </c>
      <c r="E7" s="9">
        <v>1</v>
      </c>
      <c r="F7" s="9">
        <v>25</v>
      </c>
      <c r="G7" s="9">
        <v>80</v>
      </c>
      <c r="H7" s="34">
        <f t="shared" si="0"/>
        <v>2000</v>
      </c>
      <c r="I7" s="33">
        <f t="shared" si="1"/>
        <v>93.12</v>
      </c>
      <c r="J7" s="48">
        <v>2328</v>
      </c>
      <c r="K7" s="1">
        <v>63.346938775510196</v>
      </c>
      <c r="L7" s="9">
        <v>-0.95596000000000003</v>
      </c>
      <c r="M7" s="31">
        <v>0.72412771630252104</v>
      </c>
      <c r="N7" s="52">
        <v>-0.23183228369747899</v>
      </c>
      <c r="O7" s="30">
        <v>-0.37727158505154645</v>
      </c>
      <c r="P7" s="29">
        <v>0.28577849628562774</v>
      </c>
      <c r="Q7" s="52">
        <v>-9.1493088765918718E-2</v>
      </c>
      <c r="R7" s="52">
        <f t="shared" si="2"/>
        <v>-91.493088765918714</v>
      </c>
      <c r="S7" s="52">
        <v>-9.1493088765918706</v>
      </c>
      <c r="T7" s="52">
        <f t="shared" si="3"/>
        <v>-9149.308876591871</v>
      </c>
      <c r="U7" s="54">
        <v>0.7</v>
      </c>
      <c r="V7" s="62">
        <f t="shared" si="4"/>
        <v>44.342857142857135</v>
      </c>
      <c r="W7" s="62">
        <f t="shared" si="5"/>
        <v>44342.857142857138</v>
      </c>
      <c r="X7" s="31">
        <v>2204.62</v>
      </c>
      <c r="Y7" s="62">
        <f t="shared" si="6"/>
        <v>97759.149714285697</v>
      </c>
      <c r="Z7" s="62">
        <f t="shared" si="7"/>
        <v>-4057.0649647058804</v>
      </c>
    </row>
    <row r="8" spans="2:28">
      <c r="C8" s="51" t="s">
        <v>33</v>
      </c>
      <c r="D8" s="9">
        <v>1</v>
      </c>
      <c r="E8" s="9">
        <v>1</v>
      </c>
      <c r="F8" s="49">
        <v>65</v>
      </c>
      <c r="G8" s="9">
        <v>80</v>
      </c>
      <c r="H8" s="34">
        <f t="shared" si="0"/>
        <v>5200</v>
      </c>
      <c r="I8" s="33">
        <f t="shared" si="1"/>
        <v>90.615384615384613</v>
      </c>
      <c r="J8" s="48">
        <v>5890</v>
      </c>
      <c r="K8" s="1">
        <v>160.27210884353741</v>
      </c>
      <c r="L8" s="9">
        <v>-0.88472307692307695</v>
      </c>
      <c r="M8" s="31">
        <v>0.72072192932557633</v>
      </c>
      <c r="N8" s="52">
        <v>-0.16400114759750062</v>
      </c>
      <c r="O8" s="30">
        <v>-0.35880853140916813</v>
      </c>
      <c r="P8" s="29">
        <v>0.29229618143912911</v>
      </c>
      <c r="Q8" s="52">
        <v>-6.651234997003902E-2</v>
      </c>
      <c r="R8" s="52">
        <f t="shared" si="2"/>
        <v>-66.512349970039025</v>
      </c>
      <c r="S8" s="52">
        <v>-6.6512349970039022</v>
      </c>
      <c r="T8" s="52">
        <f t="shared" si="3"/>
        <v>-6651.2349970039022</v>
      </c>
      <c r="U8" s="54">
        <v>0.7</v>
      </c>
      <c r="V8" s="62">
        <f t="shared" si="4"/>
        <v>112.19047619047618</v>
      </c>
      <c r="W8" s="62">
        <f t="shared" si="5"/>
        <v>112190.47619047617</v>
      </c>
      <c r="X8" s="31">
        <v>2204.62</v>
      </c>
      <c r="Y8" s="62">
        <f t="shared" si="6"/>
        <v>247337.36761904758</v>
      </c>
      <c r="Z8" s="62">
        <f t="shared" si="7"/>
        <v>-7462.0522156862817</v>
      </c>
    </row>
    <row r="9" spans="2:28">
      <c r="C9" s="51" t="s">
        <v>34</v>
      </c>
      <c r="D9" s="9">
        <v>1</v>
      </c>
      <c r="E9" s="9">
        <v>1</v>
      </c>
      <c r="F9" s="49">
        <v>76</v>
      </c>
      <c r="G9" s="9">
        <v>80</v>
      </c>
      <c r="H9" s="34">
        <f t="shared" si="0"/>
        <v>6080</v>
      </c>
      <c r="I9" s="33">
        <f t="shared" si="1"/>
        <v>93</v>
      </c>
      <c r="J9" s="48">
        <v>7068</v>
      </c>
      <c r="K9" s="1">
        <v>192.32653061224488</v>
      </c>
      <c r="L9" s="9">
        <v>-1.0504868421052631</v>
      </c>
      <c r="M9" s="31">
        <v>0.83805555904467044</v>
      </c>
      <c r="N9" s="52">
        <v>-0.21243128306059267</v>
      </c>
      <c r="O9" s="30">
        <v>-0.41511173599320883</v>
      </c>
      <c r="P9" s="29">
        <v>0.33116711607410365</v>
      </c>
      <c r="Q9" s="52">
        <v>-8.3944619919105179E-2</v>
      </c>
      <c r="R9" s="52">
        <f t="shared" si="2"/>
        <v>-83.944619919105179</v>
      </c>
      <c r="S9" s="52">
        <v>-8.3944619919105161</v>
      </c>
      <c r="T9" s="52">
        <f t="shared" si="3"/>
        <v>-8394.4619919105153</v>
      </c>
      <c r="U9" s="54">
        <v>0.7</v>
      </c>
      <c r="V9" s="62">
        <f t="shared" si="4"/>
        <v>134.62857142857141</v>
      </c>
      <c r="W9" s="62">
        <f t="shared" si="5"/>
        <v>134628.57142857139</v>
      </c>
      <c r="X9" s="31">
        <v>2204.62</v>
      </c>
      <c r="Y9" s="62">
        <f t="shared" si="6"/>
        <v>296804.8411428571</v>
      </c>
      <c r="Z9" s="62">
        <f t="shared" si="7"/>
        <v>-11301.34425882353</v>
      </c>
    </row>
    <row r="10" spans="2:28">
      <c r="C10" s="50" t="s">
        <v>35</v>
      </c>
      <c r="D10" s="9">
        <v>1</v>
      </c>
      <c r="E10" s="9">
        <v>1</v>
      </c>
      <c r="F10" s="49">
        <v>65</v>
      </c>
      <c r="G10" s="9">
        <v>80</v>
      </c>
      <c r="H10" s="34">
        <f t="shared" si="0"/>
        <v>5200</v>
      </c>
      <c r="I10" s="33">
        <f t="shared" si="1"/>
        <v>107</v>
      </c>
      <c r="J10" s="48">
        <v>6955</v>
      </c>
      <c r="K10" s="1">
        <v>189.25170068027211</v>
      </c>
      <c r="L10" s="9">
        <v>-0.92155384615384617</v>
      </c>
      <c r="M10" s="31">
        <v>0.76672015815556982</v>
      </c>
      <c r="N10" s="52">
        <v>-0.15483368799827635</v>
      </c>
      <c r="O10" s="30">
        <v>-0.3165149892163911</v>
      </c>
      <c r="P10" s="29">
        <v>0.26333612908614196</v>
      </c>
      <c r="Q10" s="52">
        <v>-5.3178860130249139E-2</v>
      </c>
      <c r="R10" s="52">
        <f t="shared" si="2"/>
        <v>-53.178860130249141</v>
      </c>
      <c r="S10" s="52">
        <v>-5.317886013024915</v>
      </c>
      <c r="T10" s="52">
        <f t="shared" si="3"/>
        <v>-5317.886013024915</v>
      </c>
      <c r="U10" s="54">
        <v>0.7</v>
      </c>
      <c r="V10" s="62">
        <f t="shared" si="4"/>
        <v>132.47619047619048</v>
      </c>
      <c r="W10" s="62">
        <f t="shared" si="5"/>
        <v>132476.19047619047</v>
      </c>
      <c r="X10" s="31">
        <v>2204.62</v>
      </c>
      <c r="Y10" s="62">
        <f t="shared" si="6"/>
        <v>292059.65904761903</v>
      </c>
      <c r="Z10" s="62">
        <f t="shared" si="7"/>
        <v>-7044.932803921577</v>
      </c>
    </row>
    <row r="11" spans="2:28">
      <c r="B11" s="44"/>
      <c r="C11" s="47" t="s">
        <v>36</v>
      </c>
      <c r="D11" s="39">
        <v>1</v>
      </c>
      <c r="E11" s="39">
        <v>1</v>
      </c>
      <c r="F11" s="46">
        <v>38</v>
      </c>
      <c r="G11" s="39">
        <v>80</v>
      </c>
      <c r="H11" s="43">
        <f t="shared" si="0"/>
        <v>3040</v>
      </c>
      <c r="I11" s="42">
        <f t="shared" si="1"/>
        <v>108</v>
      </c>
      <c r="J11" s="45">
        <v>4104</v>
      </c>
      <c r="K11" s="40">
        <v>111.67346938775511</v>
      </c>
      <c r="L11" s="39">
        <v>-0.9221315789473683</v>
      </c>
      <c r="M11" s="38">
        <v>0.7810278478549314</v>
      </c>
      <c r="N11" s="53">
        <v>-0.1411037310924369</v>
      </c>
      <c r="O11" s="37">
        <v>-0.31378088450292396</v>
      </c>
      <c r="P11" s="36">
        <v>0.26576642045063636</v>
      </c>
      <c r="Q11" s="53">
        <v>-4.8014464052287598E-2</v>
      </c>
      <c r="R11" s="52">
        <f t="shared" si="2"/>
        <v>-48.0144640522876</v>
      </c>
      <c r="S11" s="53">
        <v>-4.8014464052287602</v>
      </c>
      <c r="T11" s="52">
        <f t="shared" si="3"/>
        <v>-4801.4464052287603</v>
      </c>
      <c r="U11" s="54">
        <v>0.7</v>
      </c>
      <c r="V11" s="62">
        <f t="shared" si="4"/>
        <v>78.171428571428564</v>
      </c>
      <c r="W11" s="62">
        <f t="shared" si="5"/>
        <v>78171.428571428565</v>
      </c>
      <c r="X11" s="31">
        <v>2204.62</v>
      </c>
      <c r="Y11" s="62">
        <f t="shared" si="6"/>
        <v>172338.29485714284</v>
      </c>
      <c r="Z11" s="62">
        <f t="shared" si="7"/>
        <v>-3753.3592470588246</v>
      </c>
    </row>
    <row r="12" spans="2:28">
      <c r="B12" t="s">
        <v>37</v>
      </c>
      <c r="C12" t="s">
        <v>38</v>
      </c>
      <c r="D12" s="9">
        <v>1</v>
      </c>
      <c r="E12" s="9">
        <v>1</v>
      </c>
      <c r="F12" s="9">
        <v>152</v>
      </c>
      <c r="G12" s="9">
        <v>94</v>
      </c>
      <c r="H12" s="34">
        <f t="shared" si="0"/>
        <v>14288</v>
      </c>
      <c r="I12" s="33">
        <f t="shared" si="1"/>
        <v>105.06796052631577</v>
      </c>
      <c r="J12" s="32">
        <f>SUM(10763.14,5207.19)</f>
        <v>15970.329999999998</v>
      </c>
      <c r="K12" s="1">
        <v>434.56680272108838</v>
      </c>
      <c r="L12" s="9">
        <v>-0.93891447368421055</v>
      </c>
      <c r="M12" s="31">
        <v>0.73183842105263164</v>
      </c>
      <c r="N12" s="52">
        <v>-0.20707605263157891</v>
      </c>
      <c r="O12" s="30">
        <v>-0.3284075062944849</v>
      </c>
      <c r="P12" s="29">
        <v>0.25597776752264984</v>
      </c>
      <c r="Q12" s="52">
        <v>-7.2429738771835062E-2</v>
      </c>
      <c r="R12" s="52">
        <f t="shared" si="2"/>
        <v>-72.429738771835062</v>
      </c>
      <c r="S12" s="52">
        <v>-7.2429738771835055</v>
      </c>
      <c r="T12" s="52">
        <f t="shared" si="3"/>
        <v>-7242.9738771835055</v>
      </c>
      <c r="U12" s="54">
        <v>0.7</v>
      </c>
      <c r="V12" s="62">
        <f t="shared" si="4"/>
        <v>304.19676190476184</v>
      </c>
      <c r="W12" s="62">
        <f t="shared" si="5"/>
        <v>304196.76190476184</v>
      </c>
      <c r="X12" s="31">
        <v>2204.62</v>
      </c>
      <c r="Y12" s="62">
        <f t="shared" si="6"/>
        <v>670638.26523047604</v>
      </c>
      <c r="Z12" s="62">
        <f t="shared" si="7"/>
        <v>-22032.892000000007</v>
      </c>
    </row>
    <row r="13" spans="2:28">
      <c r="C13" t="s">
        <v>39</v>
      </c>
      <c r="D13" s="9">
        <v>1</v>
      </c>
      <c r="E13" s="9">
        <v>1</v>
      </c>
      <c r="F13" s="9">
        <v>27</v>
      </c>
      <c r="G13" s="9">
        <v>94</v>
      </c>
      <c r="H13" s="34">
        <f t="shared" si="0"/>
        <v>2538</v>
      </c>
      <c r="I13" s="33">
        <f t="shared" si="1"/>
        <v>69.850370370370371</v>
      </c>
      <c r="J13" s="32">
        <v>1885.96</v>
      </c>
      <c r="K13" s="1">
        <v>51.318639455782318</v>
      </c>
      <c r="L13" s="9">
        <v>-0.68480544747081706</v>
      </c>
      <c r="M13" s="31">
        <v>0.85134250972762648</v>
      </c>
      <c r="N13" s="52">
        <v>0.16653706225680942</v>
      </c>
      <c r="O13" s="30">
        <v>-0.36029301006008513</v>
      </c>
      <c r="P13" s="29">
        <v>0.4479122596859092</v>
      </c>
      <c r="Q13" s="52">
        <v>8.7619249625824069E-2</v>
      </c>
      <c r="R13" s="52">
        <f t="shared" si="2"/>
        <v>87.619249625824068</v>
      </c>
      <c r="S13" s="52">
        <v>8.7619249625824072</v>
      </c>
      <c r="T13" s="52">
        <f t="shared" si="3"/>
        <v>8761.9249625824068</v>
      </c>
      <c r="U13" s="54">
        <v>0.7</v>
      </c>
      <c r="V13" s="62">
        <f t="shared" si="4"/>
        <v>35.923047619047622</v>
      </c>
      <c r="W13" s="62">
        <f t="shared" si="5"/>
        <v>35923.047619047626</v>
      </c>
      <c r="X13" s="31">
        <v>2204.62</v>
      </c>
      <c r="Y13" s="62">
        <f t="shared" si="6"/>
        <v>79196.669241904761</v>
      </c>
      <c r="Z13" s="62">
        <f t="shared" si="7"/>
        <v>3147.5504766536988</v>
      </c>
    </row>
    <row r="14" spans="2:28">
      <c r="C14" t="s">
        <v>40</v>
      </c>
      <c r="D14" s="9">
        <v>1</v>
      </c>
      <c r="E14" s="9">
        <v>1</v>
      </c>
      <c r="F14" s="9">
        <v>77.400000000000006</v>
      </c>
      <c r="G14" s="9">
        <v>94</v>
      </c>
      <c r="H14" s="34">
        <f t="shared" si="0"/>
        <v>7275.6</v>
      </c>
      <c r="I14" s="33">
        <f t="shared" si="1"/>
        <v>88.669250645994822</v>
      </c>
      <c r="J14" s="32">
        <v>6863</v>
      </c>
      <c r="K14" s="1">
        <v>186.74829931972789</v>
      </c>
      <c r="L14" s="9">
        <v>-0.74954780361757101</v>
      </c>
      <c r="M14" s="31">
        <v>0.96507894056847532</v>
      </c>
      <c r="N14" s="52">
        <v>0.21553113695090431</v>
      </c>
      <c r="O14" s="30">
        <v>-0.31065878624508231</v>
      </c>
      <c r="P14" s="29">
        <v>0.39998816734664139</v>
      </c>
      <c r="Q14" s="52">
        <v>8.932938110155908E-2</v>
      </c>
      <c r="R14" s="52">
        <f t="shared" si="2"/>
        <v>89.329381101559079</v>
      </c>
      <c r="S14" s="52">
        <v>8.9329381101559076</v>
      </c>
      <c r="T14" s="52">
        <f t="shared" si="3"/>
        <v>8932.9381101559084</v>
      </c>
      <c r="U14" s="54">
        <v>0.7</v>
      </c>
      <c r="V14" s="62">
        <f t="shared" si="4"/>
        <v>130.72380952380951</v>
      </c>
      <c r="W14" s="62">
        <f t="shared" si="5"/>
        <v>130723.80952380951</v>
      </c>
      <c r="X14" s="31">
        <v>2204.62</v>
      </c>
      <c r="Y14" s="62">
        <f t="shared" si="6"/>
        <v>288196.32495238091</v>
      </c>
      <c r="Z14" s="62">
        <f t="shared" si="7"/>
        <v>11677.476999999997</v>
      </c>
    </row>
    <row r="15" spans="2:28">
      <c r="B15" s="44"/>
      <c r="C15" s="44" t="s">
        <v>41</v>
      </c>
      <c r="D15" s="39">
        <v>1</v>
      </c>
      <c r="E15" s="39">
        <v>1</v>
      </c>
      <c r="F15" s="39">
        <v>75</v>
      </c>
      <c r="G15" s="39">
        <v>94</v>
      </c>
      <c r="H15" s="43">
        <f t="shared" si="0"/>
        <v>7050</v>
      </c>
      <c r="I15" s="42">
        <f t="shared" si="1"/>
        <v>97.907733333333326</v>
      </c>
      <c r="J15" s="41">
        <v>7343.08</v>
      </c>
      <c r="K15" s="40">
        <v>199.81170068027211</v>
      </c>
      <c r="L15" s="39">
        <v>-0.78558666666666666</v>
      </c>
      <c r="M15" s="38">
        <v>0.75521946666666673</v>
      </c>
      <c r="N15" s="53">
        <v>-3.0367199999999928E-2</v>
      </c>
      <c r="O15" s="37">
        <v>-0.29487262157024025</v>
      </c>
      <c r="P15" s="36">
        <v>0.28347418998567359</v>
      </c>
      <c r="Q15" s="53">
        <v>-1.139843158456666E-2</v>
      </c>
      <c r="R15" s="52">
        <f t="shared" si="2"/>
        <v>-11.398431584566659</v>
      </c>
      <c r="S15" s="53">
        <v>-1.139843158456666</v>
      </c>
      <c r="T15" s="52">
        <f t="shared" si="3"/>
        <v>-1139.8431584566661</v>
      </c>
      <c r="U15" s="54">
        <v>0.7</v>
      </c>
      <c r="V15" s="62">
        <f t="shared" si="4"/>
        <v>139.86819047619048</v>
      </c>
      <c r="W15" s="62">
        <f t="shared" si="5"/>
        <v>139868.19047619047</v>
      </c>
      <c r="X15" s="31">
        <v>2204.62</v>
      </c>
      <c r="Y15" s="62">
        <f t="shared" si="6"/>
        <v>308356.21008761902</v>
      </c>
      <c r="Z15" s="62">
        <f t="shared" si="7"/>
        <v>-1594.277999999995</v>
      </c>
    </row>
    <row r="16" spans="2:28">
      <c r="B16" t="s">
        <v>42</v>
      </c>
      <c r="C16" t="s">
        <v>43</v>
      </c>
      <c r="D16" s="9">
        <v>1</v>
      </c>
      <c r="E16" s="9">
        <v>1</v>
      </c>
      <c r="F16" s="9">
        <v>37</v>
      </c>
      <c r="G16" s="9">
        <v>90</v>
      </c>
      <c r="H16" s="34">
        <f t="shared" si="0"/>
        <v>3330</v>
      </c>
      <c r="I16" s="33">
        <f t="shared" si="1"/>
        <v>93.322027027027019</v>
      </c>
      <c r="J16" s="32">
        <f>6905.83 /2</f>
        <v>3452.915</v>
      </c>
      <c r="K16" s="1">
        <v>93.956870748299323</v>
      </c>
      <c r="L16" s="9">
        <v>-0.93043243243243245</v>
      </c>
      <c r="M16" s="31">
        <v>0.89001567567567585</v>
      </c>
      <c r="N16" s="52">
        <v>-4.04167567567566E-2</v>
      </c>
      <c r="O16" s="30">
        <v>-0.36640215585961428</v>
      </c>
      <c r="P16" s="29">
        <v>0.35048612983522626</v>
      </c>
      <c r="Q16" s="52">
        <v>-1.5916026024388019E-2</v>
      </c>
      <c r="R16" s="52">
        <f t="shared" si="2"/>
        <v>-15.916026024388019</v>
      </c>
      <c r="S16" s="52">
        <v>-1.5916026024388021</v>
      </c>
      <c r="T16" s="52">
        <f t="shared" si="3"/>
        <v>-1591.6026024388023</v>
      </c>
      <c r="U16" s="54">
        <v>0.7</v>
      </c>
      <c r="V16" s="62">
        <f t="shared" si="4"/>
        <v>65.769809523809528</v>
      </c>
      <c r="W16" s="62">
        <f t="shared" si="5"/>
        <v>65769.809523809527</v>
      </c>
      <c r="X16" s="31">
        <v>2204.62</v>
      </c>
      <c r="Y16" s="62">
        <f t="shared" si="6"/>
        <v>144997.43747238096</v>
      </c>
      <c r="Z16" s="62">
        <f t="shared" si="7"/>
        <v>-1046.7939999999955</v>
      </c>
    </row>
    <row r="17" spans="2:27">
      <c r="B17" s="44"/>
      <c r="C17" s="44" t="s">
        <v>44</v>
      </c>
      <c r="D17" s="39">
        <v>1</v>
      </c>
      <c r="E17" s="39">
        <v>1</v>
      </c>
      <c r="F17" s="39">
        <v>42</v>
      </c>
      <c r="G17" s="39">
        <v>90</v>
      </c>
      <c r="H17" s="43">
        <f t="shared" si="0"/>
        <v>3780</v>
      </c>
      <c r="I17" s="42">
        <f t="shared" si="1"/>
        <v>82.212261904761903</v>
      </c>
      <c r="J17" s="41">
        <f>6905.83 /2</f>
        <v>3452.915</v>
      </c>
      <c r="K17" s="40">
        <v>93.956870748299323</v>
      </c>
      <c r="L17" s="39">
        <v>-0.61792857142857138</v>
      </c>
      <c r="M17" s="38">
        <v>0.67331071428571421</v>
      </c>
      <c r="N17" s="53">
        <v>5.5382142857142824E-2</v>
      </c>
      <c r="O17" s="37">
        <v>-0.27622248158440044</v>
      </c>
      <c r="P17" s="36">
        <v>0.30097905320576956</v>
      </c>
      <c r="Q17" s="53">
        <v>2.4756571621369128E-2</v>
      </c>
      <c r="R17" s="52">
        <f t="shared" si="2"/>
        <v>24.756571621369126</v>
      </c>
      <c r="S17" s="53">
        <v>2.4756571621369128</v>
      </c>
      <c r="T17" s="52">
        <f t="shared" si="3"/>
        <v>2475.6571621369126</v>
      </c>
      <c r="U17" s="54">
        <v>0.7</v>
      </c>
      <c r="V17" s="62">
        <f t="shared" si="4"/>
        <v>65.769809523809528</v>
      </c>
      <c r="W17" s="62">
        <f t="shared" si="5"/>
        <v>65769.809523809527</v>
      </c>
      <c r="X17" s="31">
        <v>2204.62</v>
      </c>
      <c r="Y17" s="62">
        <f t="shared" si="6"/>
        <v>144997.43747238096</v>
      </c>
      <c r="Z17" s="62">
        <f t="shared" si="7"/>
        <v>1628.2349999999958</v>
      </c>
    </row>
    <row r="18" spans="2:27">
      <c r="B18" t="s">
        <v>45</v>
      </c>
      <c r="C18" s="35" t="s">
        <v>46</v>
      </c>
      <c r="D18" s="9">
        <v>1</v>
      </c>
      <c r="E18" s="9">
        <v>1</v>
      </c>
      <c r="F18" s="9">
        <v>40</v>
      </c>
      <c r="G18" s="9">
        <v>90</v>
      </c>
      <c r="H18" s="34">
        <f t="shared" si="0"/>
        <v>3600</v>
      </c>
      <c r="I18" s="33">
        <f t="shared" si="1"/>
        <v>109.16749999999999</v>
      </c>
      <c r="J18" s="32">
        <v>4366.7</v>
      </c>
      <c r="K18" s="1">
        <v>118.821768707483</v>
      </c>
      <c r="L18" s="9">
        <v>-0.64017499999999994</v>
      </c>
      <c r="M18" s="31">
        <v>0.56574050000000009</v>
      </c>
      <c r="N18" s="52">
        <v>-7.4434499999999848E-2</v>
      </c>
      <c r="O18" s="30">
        <v>-0.21550764879657408</v>
      </c>
      <c r="P18" s="29">
        <v>0.19045011908306048</v>
      </c>
      <c r="Q18" s="52">
        <v>-2.5057529713513604E-2</v>
      </c>
      <c r="R18" s="52">
        <f t="shared" si="2"/>
        <v>-25.057529713513603</v>
      </c>
      <c r="S18" s="52">
        <v>-2.5057529713513604</v>
      </c>
      <c r="T18" s="52">
        <f t="shared" si="3"/>
        <v>-2505.7529713513604</v>
      </c>
      <c r="U18" s="54">
        <v>0.7</v>
      </c>
      <c r="V18" s="62">
        <f t="shared" si="4"/>
        <v>83.1752380952381</v>
      </c>
      <c r="W18" s="62">
        <f t="shared" si="5"/>
        <v>83175.238095238106</v>
      </c>
      <c r="X18" s="31">
        <v>2204.62</v>
      </c>
      <c r="Y18" s="62">
        <f t="shared" si="6"/>
        <v>183369.79340952382</v>
      </c>
      <c r="Z18" s="62">
        <f t="shared" si="7"/>
        <v>-2084.1659999999974</v>
      </c>
    </row>
    <row r="19" spans="2:27">
      <c r="H19" s="9"/>
      <c r="I19" s="9"/>
      <c r="J19" s="11"/>
      <c r="K19" s="10"/>
      <c r="L19" s="9"/>
      <c r="M19" s="9"/>
      <c r="N19" s="13"/>
      <c r="O19" s="13"/>
      <c r="P19" s="13"/>
      <c r="Q19" s="13"/>
      <c r="R19" s="13"/>
      <c r="S19" s="13"/>
      <c r="T19" s="13"/>
      <c r="W19" s="62"/>
      <c r="X19" s="31"/>
      <c r="Y19" s="62"/>
    </row>
    <row r="20" spans="2:27">
      <c r="D20" s="9" t="s">
        <v>47</v>
      </c>
      <c r="E20" s="9" t="s">
        <v>48</v>
      </c>
      <c r="F20" s="9" t="s">
        <v>49</v>
      </c>
      <c r="G20" s="9" t="s">
        <v>50</v>
      </c>
      <c r="H20" s="9" t="s">
        <v>51</v>
      </c>
      <c r="I20" s="9"/>
      <c r="J20" s="11"/>
      <c r="K20" s="10"/>
      <c r="L20" s="9"/>
      <c r="M20" s="9"/>
      <c r="N20" s="28"/>
      <c r="O20" s="13"/>
      <c r="P20" s="13"/>
      <c r="Q20" s="13"/>
      <c r="R20" s="13"/>
      <c r="S20" s="13"/>
      <c r="T20" s="13"/>
      <c r="W20" s="62"/>
      <c r="X20" s="31"/>
      <c r="Y20" s="62"/>
    </row>
    <row r="21" spans="2:27" ht="15.75">
      <c r="B21" s="27" t="s">
        <v>52</v>
      </c>
      <c r="C21" s="26"/>
      <c r="D21" s="25">
        <f>COUNTIF(B3:B18,"&lt;&gt;")</f>
        <v>4</v>
      </c>
      <c r="E21" s="25">
        <f>COUNTIF(C3:C18,"&lt;&gt;")</f>
        <v>16</v>
      </c>
      <c r="F21" s="24">
        <f>SUM(F3:F18)</f>
        <v>954.9</v>
      </c>
      <c r="G21" s="22">
        <f>SUMPRODUCT(G3:G18,F3:F18)/SUM(F3:F18)</f>
        <v>86.104932453660084</v>
      </c>
      <c r="H21" s="23">
        <f>SUM(J3:J18)</f>
        <v>93999.9</v>
      </c>
      <c r="I21" s="22"/>
      <c r="J21" s="11"/>
      <c r="K21" s="10">
        <f>SUM(K3:K18)</f>
        <v>2557.8204081632657</v>
      </c>
      <c r="L21" s="9"/>
      <c r="M21" s="9"/>
      <c r="N21" s="13"/>
      <c r="O21" s="13"/>
      <c r="P21" s="13"/>
      <c r="Q21" s="63">
        <f>AVERAGE(Q3:Q18)</f>
        <v>-4.7556309475176375E-4</v>
      </c>
      <c r="R21" s="13"/>
      <c r="S21" s="13"/>
      <c r="T21" s="13"/>
      <c r="V21" s="62">
        <f>SUM(V3:V18)</f>
        <v>1790.4742857142851</v>
      </c>
      <c r="W21" s="62">
        <f>SUM(W3:W18)</f>
        <v>1790474.2857142852</v>
      </c>
      <c r="X21" s="31"/>
      <c r="Y21" s="62">
        <f>SUM(Y3:Y18)</f>
        <v>3947315.4197714287</v>
      </c>
      <c r="Z21" s="62">
        <f>SUM(Z3:Z18)</f>
        <v>-17123.810033150243</v>
      </c>
      <c r="AA21" s="31">
        <f>Z21/V21</f>
        <v>-9.5638402460043892</v>
      </c>
    </row>
    <row r="22" spans="2:27">
      <c r="B22" s="19"/>
      <c r="C22" s="19"/>
      <c r="D22" s="21"/>
      <c r="E22" s="21"/>
      <c r="F22" s="20"/>
      <c r="G22" s="19"/>
      <c r="H22" s="18"/>
      <c r="I22" s="18"/>
      <c r="J22" s="11"/>
      <c r="K22" s="10">
        <v>2204.62</v>
      </c>
      <c r="L22" s="9"/>
      <c r="M22" s="9"/>
      <c r="N22" s="13"/>
      <c r="O22" s="13"/>
      <c r="P22" s="13"/>
      <c r="Q22" s="13"/>
      <c r="R22" s="13"/>
      <c r="S22" s="13"/>
      <c r="T22" s="13"/>
      <c r="V22" s="10"/>
      <c r="W22" s="10"/>
    </row>
    <row r="23" spans="2:27" ht="15.75">
      <c r="E23" s="17"/>
      <c r="F23" s="16" t="s">
        <v>53</v>
      </c>
      <c r="G23" s="16" t="s">
        <v>54</v>
      </c>
      <c r="H23" s="15" t="s">
        <v>55</v>
      </c>
      <c r="I23" s="14"/>
      <c r="J23" s="11"/>
      <c r="K23" s="31">
        <f>K22*K21</f>
        <v>5639022.0282448987</v>
      </c>
      <c r="L23" s="9"/>
      <c r="M23" s="9"/>
      <c r="N23" s="13"/>
      <c r="O23" s="13"/>
      <c r="P23" s="13"/>
      <c r="Q23" s="13"/>
      <c r="R23" s="13"/>
      <c r="S23" s="13"/>
      <c r="T23" s="13"/>
      <c r="V23" s="31"/>
      <c r="W23" s="31"/>
      <c r="Y23" s="7" t="s">
        <v>56</v>
      </c>
      <c r="Z23" s="64">
        <v>0.4</v>
      </c>
    </row>
    <row r="24" spans="2:27" ht="15.75">
      <c r="B24" s="12"/>
      <c r="E24" s="6" t="s">
        <v>57</v>
      </c>
      <c r="F24" s="5">
        <f>H21</f>
        <v>93999.9</v>
      </c>
      <c r="G24" s="4">
        <f>G25/42</f>
        <v>95238.095238095237</v>
      </c>
      <c r="H24" s="2"/>
      <c r="I24" s="2"/>
      <c r="J24" s="11"/>
      <c r="K24" s="10"/>
      <c r="L24" s="9"/>
      <c r="M24" s="9"/>
      <c r="N24" s="8"/>
      <c r="O24" s="8"/>
      <c r="P24" s="8"/>
      <c r="Q24" s="8"/>
      <c r="R24" s="8"/>
      <c r="S24" s="8"/>
      <c r="T24" s="8"/>
    </row>
    <row r="25" spans="2:27" ht="15.75">
      <c r="B25" s="7"/>
      <c r="E25" s="6" t="s">
        <v>58</v>
      </c>
      <c r="F25" s="5">
        <f>F24*42</f>
        <v>3947995.8</v>
      </c>
      <c r="G25" s="4">
        <v>4000000</v>
      </c>
      <c r="H25" s="3">
        <f>F25/G25</f>
        <v>0.98699894999999993</v>
      </c>
      <c r="I25" s="2"/>
      <c r="Z25" s="62">
        <f>Z21*Z23</f>
        <v>-6849.5240132600975</v>
      </c>
      <c r="AA25" s="31">
        <f>Z25/V21</f>
        <v>-3.8255360984017561</v>
      </c>
    </row>
    <row r="27" spans="2:27">
      <c r="R27" s="13"/>
      <c r="S27" s="13"/>
      <c r="T27" s="13"/>
    </row>
    <row r="28" spans="2:27" ht="15.75">
      <c r="R28" s="8"/>
      <c r="S28" s="8"/>
      <c r="T28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1245-0DBF-401F-A22C-F3C2CDE10995}">
  <dimension ref="A1:AO22"/>
  <sheetViews>
    <sheetView tabSelected="1" topLeftCell="C1" zoomScale="90" zoomScaleNormal="90" workbookViewId="0">
      <selection activeCell="AG3" sqref="AG3"/>
    </sheetView>
  </sheetViews>
  <sheetFormatPr defaultRowHeight="15"/>
  <cols>
    <col min="1" max="1" width="22.42578125" bestFit="1" customWidth="1"/>
    <col min="2" max="2" width="11.140625" customWidth="1"/>
    <col min="3" max="3" width="8.85546875" bestFit="1" customWidth="1"/>
    <col min="4" max="4" width="11.42578125" bestFit="1" customWidth="1"/>
    <col min="5" max="5" width="12.7109375" customWidth="1"/>
    <col min="6" max="6" width="11.7109375" customWidth="1"/>
    <col min="7" max="7" width="10.140625" customWidth="1"/>
    <col min="8" max="8" width="7.140625" customWidth="1"/>
    <col min="9" max="9" width="8.7109375" bestFit="1" customWidth="1"/>
    <col min="10" max="10" width="8.7109375" customWidth="1"/>
    <col min="11" max="11" width="6.85546875" bestFit="1" customWidth="1"/>
    <col min="12" max="12" width="9.85546875" bestFit="1" customWidth="1"/>
    <col min="13" max="13" width="9.5703125" bestFit="1" customWidth="1"/>
    <col min="14" max="14" width="8.42578125" customWidth="1"/>
    <col min="15" max="15" width="11.28515625" customWidth="1"/>
    <col min="16" max="16" width="8.42578125" customWidth="1"/>
    <col min="17" max="17" width="10.7109375" bestFit="1" customWidth="1"/>
    <col min="18" max="18" width="14.85546875" customWidth="1"/>
    <col min="19" max="19" width="19.140625" customWidth="1"/>
    <col min="20" max="20" width="14.85546875" customWidth="1"/>
    <col min="21" max="22" width="19.42578125" customWidth="1"/>
    <col min="23" max="23" width="18.42578125" customWidth="1"/>
    <col min="24" max="24" width="17.5703125" customWidth="1"/>
    <col min="25" max="25" width="18.42578125" customWidth="1"/>
    <col min="26" max="29" width="17.5703125" customWidth="1"/>
    <col min="30" max="31" width="15.7109375" customWidth="1"/>
    <col min="32" max="32" width="6.7109375" style="9" customWidth="1"/>
    <col min="33" max="33" width="8.85546875" style="9" bestFit="1" customWidth="1"/>
    <col min="34" max="34" width="10.42578125" style="9" bestFit="1" customWidth="1"/>
    <col min="35" max="35" width="8.7109375" style="9" bestFit="1" customWidth="1"/>
    <col min="36" max="36" width="10.42578125" style="9" bestFit="1" customWidth="1"/>
    <col min="37" max="37" width="9" bestFit="1" customWidth="1"/>
    <col min="38" max="38" width="9.140625" customWidth="1"/>
    <col min="41" max="41" width="12" bestFit="1" customWidth="1"/>
  </cols>
  <sheetData>
    <row r="1" spans="1:41" s="129" customFormat="1" ht="83.25" customHeight="1">
      <c r="A1" s="128" t="s">
        <v>59</v>
      </c>
      <c r="B1" s="128" t="s">
        <v>59</v>
      </c>
      <c r="C1" s="128" t="s">
        <v>59</v>
      </c>
      <c r="D1" s="128" t="s">
        <v>59</v>
      </c>
      <c r="E1" s="128" t="s">
        <v>59</v>
      </c>
      <c r="H1" s="128" t="s">
        <v>59</v>
      </c>
      <c r="I1" s="128" t="s">
        <v>59</v>
      </c>
      <c r="J1" s="140" t="s">
        <v>60</v>
      </c>
      <c r="K1" s="130"/>
      <c r="L1" s="130" t="s">
        <v>59</v>
      </c>
      <c r="M1" s="140" t="s">
        <v>60</v>
      </c>
      <c r="N1" s="139"/>
      <c r="O1" s="107" t="s">
        <v>61</v>
      </c>
      <c r="P1" s="107" t="s">
        <v>61</v>
      </c>
      <c r="Q1" s="107" t="s">
        <v>61</v>
      </c>
      <c r="R1" s="106" t="s">
        <v>62</v>
      </c>
      <c r="S1" s="106" t="s">
        <v>62</v>
      </c>
      <c r="T1" s="140" t="s">
        <v>60</v>
      </c>
      <c r="U1" s="106" t="s">
        <v>62</v>
      </c>
      <c r="V1" s="106" t="s">
        <v>62</v>
      </c>
      <c r="W1" s="140" t="s">
        <v>60</v>
      </c>
      <c r="X1" s="140" t="s">
        <v>60</v>
      </c>
      <c r="Y1" s="140" t="s">
        <v>60</v>
      </c>
      <c r="Z1" s="140" t="s">
        <v>60</v>
      </c>
      <c r="AA1" s="140" t="s">
        <v>60</v>
      </c>
      <c r="AB1" s="140" t="s">
        <v>60</v>
      </c>
      <c r="AC1" s="141"/>
      <c r="AG1" s="133"/>
      <c r="AJ1" s="131"/>
      <c r="AK1" s="129" t="s">
        <v>63</v>
      </c>
    </row>
    <row r="2" spans="1:41" s="138" customFormat="1" ht="81">
      <c r="A2" s="128" t="s">
        <v>64</v>
      </c>
      <c r="B2" s="128" t="s">
        <v>65</v>
      </c>
      <c r="C2" s="128" t="s">
        <v>66</v>
      </c>
      <c r="D2" s="128" t="s">
        <v>0</v>
      </c>
      <c r="E2" s="128" t="s">
        <v>1</v>
      </c>
      <c r="F2" s="128" t="s">
        <v>2</v>
      </c>
      <c r="G2" s="128" t="s">
        <v>3</v>
      </c>
      <c r="H2" s="128" t="s">
        <v>67</v>
      </c>
      <c r="I2" s="128" t="s">
        <v>5</v>
      </c>
      <c r="J2" s="135" t="s">
        <v>6</v>
      </c>
      <c r="K2" s="130" t="s">
        <v>7</v>
      </c>
      <c r="L2" s="130" t="s">
        <v>8</v>
      </c>
      <c r="M2" s="135" t="s">
        <v>68</v>
      </c>
      <c r="N2" s="132" t="s">
        <v>9</v>
      </c>
      <c r="O2" s="108" t="s">
        <v>69</v>
      </c>
      <c r="P2" s="108" t="s">
        <v>70</v>
      </c>
      <c r="Q2" s="108" t="s">
        <v>71</v>
      </c>
      <c r="R2" s="109" t="s">
        <v>72</v>
      </c>
      <c r="S2" s="109" t="s">
        <v>11</v>
      </c>
      <c r="T2" s="135" t="s">
        <v>12</v>
      </c>
      <c r="U2" s="109" t="s">
        <v>13</v>
      </c>
      <c r="V2" s="109" t="s">
        <v>73</v>
      </c>
      <c r="W2" s="135" t="s">
        <v>15</v>
      </c>
      <c r="X2" s="135" t="s">
        <v>74</v>
      </c>
      <c r="Y2" s="135" t="s">
        <v>16</v>
      </c>
      <c r="Z2" s="135" t="s">
        <v>75</v>
      </c>
      <c r="AA2" s="135" t="s">
        <v>76</v>
      </c>
      <c r="AB2" s="135" t="s">
        <v>77</v>
      </c>
      <c r="AC2" s="135"/>
      <c r="AD2" s="130" t="s">
        <v>17</v>
      </c>
      <c r="AE2" s="130" t="s">
        <v>18</v>
      </c>
      <c r="AF2" s="133" t="s">
        <v>19</v>
      </c>
      <c r="AG2" s="133" t="s">
        <v>20</v>
      </c>
      <c r="AH2" s="134" t="s">
        <v>21</v>
      </c>
      <c r="AI2" s="133" t="s">
        <v>22</v>
      </c>
      <c r="AJ2" s="135" t="s">
        <v>23</v>
      </c>
      <c r="AK2" s="134" t="s">
        <v>78</v>
      </c>
      <c r="AL2" s="136" t="s">
        <v>25</v>
      </c>
      <c r="AM2" s="136" t="s">
        <v>26</v>
      </c>
      <c r="AN2" s="137" t="s">
        <v>79</v>
      </c>
    </row>
    <row r="3" spans="1:41">
      <c r="A3" s="110" t="s">
        <v>80</v>
      </c>
      <c r="B3" s="110">
        <v>11013000</v>
      </c>
      <c r="C3" s="110">
        <v>2023001</v>
      </c>
      <c r="D3" s="111" t="s">
        <v>27</v>
      </c>
      <c r="E3" s="72" t="s">
        <v>28</v>
      </c>
      <c r="F3" s="73">
        <v>1</v>
      </c>
      <c r="G3" s="73">
        <v>1</v>
      </c>
      <c r="H3" s="73">
        <v>35</v>
      </c>
      <c r="I3" s="73">
        <v>80</v>
      </c>
      <c r="J3" s="73">
        <f>I3*H3</f>
        <v>2800</v>
      </c>
      <c r="K3" s="75">
        <f>L3/H3</f>
        <v>93</v>
      </c>
      <c r="L3" s="76">
        <v>3255</v>
      </c>
      <c r="M3" s="76">
        <f>O3*L3</f>
        <v>88586.452499999999</v>
      </c>
      <c r="N3" s="103">
        <f>M3/P3</f>
        <v>88.586452499999993</v>
      </c>
      <c r="O3" s="103">
        <v>27.215499999999999</v>
      </c>
      <c r="P3" s="76">
        <v>1000</v>
      </c>
      <c r="Q3" s="76">
        <v>1000000</v>
      </c>
      <c r="R3" s="73">
        <v>-0.70588571428571423</v>
      </c>
      <c r="S3" s="77">
        <v>0.84524588235294096</v>
      </c>
      <c r="T3" s="80">
        <f>SUM(R3:S3)</f>
        <v>0.13936016806722673</v>
      </c>
      <c r="U3" s="78">
        <v>-0.27893870967741935</v>
      </c>
      <c r="V3" s="79">
        <v>0.33400845351043645</v>
      </c>
      <c r="W3" s="80">
        <f>SUM(U3:V3)</f>
        <v>5.5069743833017104E-2</v>
      </c>
      <c r="X3" s="113">
        <f>W3*N3</f>
        <v>4.8784332462507374</v>
      </c>
      <c r="Y3" s="113">
        <f>W3*P3</f>
        <v>55.069743833017107</v>
      </c>
      <c r="Z3" s="112">
        <f>N3*Y3</f>
        <v>4878.4332462507373</v>
      </c>
      <c r="AA3" s="142">
        <f>W3*Q3</f>
        <v>55069.743833017106</v>
      </c>
      <c r="AB3" s="112">
        <f>N3*AA3</f>
        <v>4878433.2462507375</v>
      </c>
      <c r="AC3" s="112"/>
      <c r="AD3" s="80">
        <v>5.50697438330171</v>
      </c>
      <c r="AE3" s="80">
        <f>AD3*1000</f>
        <v>5506.9743833017101</v>
      </c>
      <c r="AF3" s="114">
        <v>0.7</v>
      </c>
      <c r="AG3" s="112">
        <f>AF3*N3</f>
        <v>62.010516749999994</v>
      </c>
      <c r="AH3" s="112">
        <f>AG3*1000</f>
        <v>62010.516749999995</v>
      </c>
      <c r="AI3" s="77">
        <v>2204.62</v>
      </c>
      <c r="AJ3" s="112">
        <f>AI3*AG3</f>
        <v>136709.62543738497</v>
      </c>
      <c r="AK3" s="112">
        <f>AG3*Y3</f>
        <v>3414.9032723755163</v>
      </c>
      <c r="AL3" s="115"/>
      <c r="AM3" s="115"/>
      <c r="AN3" s="116">
        <v>0.27</v>
      </c>
      <c r="AO3" s="102">
        <f t="shared" ref="AO3:AO5" si="0">AN3*AJ3</f>
        <v>36911.598868093941</v>
      </c>
    </row>
    <row r="4" spans="1:41">
      <c r="A4" s="110" t="s">
        <v>80</v>
      </c>
      <c r="B4" s="110">
        <v>11013000</v>
      </c>
      <c r="C4" s="110">
        <v>2023001</v>
      </c>
      <c r="D4" s="111" t="s">
        <v>27</v>
      </c>
      <c r="E4" s="72" t="s">
        <v>29</v>
      </c>
      <c r="F4" s="73">
        <v>1</v>
      </c>
      <c r="G4" s="73">
        <v>1</v>
      </c>
      <c r="H4" s="74">
        <v>76.5</v>
      </c>
      <c r="I4" s="73">
        <v>80</v>
      </c>
      <c r="J4" s="73">
        <f>I4*H4</f>
        <v>6120</v>
      </c>
      <c r="K4" s="75">
        <f>L4/H4</f>
        <v>98.718954248366018</v>
      </c>
      <c r="L4" s="76">
        <v>7552</v>
      </c>
      <c r="M4" s="76">
        <f>O4*L4</f>
        <v>205531.45599999998</v>
      </c>
      <c r="N4" s="103">
        <f>M4/P4</f>
        <v>205.53145599999996</v>
      </c>
      <c r="O4" s="103">
        <v>27.215499999999999</v>
      </c>
      <c r="P4" s="76">
        <v>1000</v>
      </c>
      <c r="Q4" s="76">
        <v>1000000</v>
      </c>
      <c r="R4" s="73">
        <v>-0.69094117647058828</v>
      </c>
      <c r="S4" s="77">
        <v>0.89153178198861238</v>
      </c>
      <c r="T4" s="80">
        <f>SUM(R4:S4)</f>
        <v>0.2005906055180241</v>
      </c>
      <c r="U4" s="78">
        <v>-0.25721593617584748</v>
      </c>
      <c r="V4" s="79">
        <v>0.33188958733954388</v>
      </c>
      <c r="W4" s="80">
        <f>SUM(U4:V4)</f>
        <v>7.4673651163696397E-2</v>
      </c>
      <c r="X4" s="113">
        <f>W4*N4</f>
        <v>15.347784248510612</v>
      </c>
      <c r="Y4" s="113">
        <f>W4*P4</f>
        <v>74.673651163696391</v>
      </c>
      <c r="Z4" s="112">
        <f>N4*Y4</f>
        <v>15347.78424851061</v>
      </c>
      <c r="AA4" s="112">
        <f>W4*Q4</f>
        <v>74673.651163696399</v>
      </c>
      <c r="AB4" s="112">
        <f>N4*AA4</f>
        <v>15347784.248510612</v>
      </c>
      <c r="AC4" s="112"/>
      <c r="AD4" s="80">
        <v>7.4673651163696393</v>
      </c>
      <c r="AE4" s="80">
        <f t="shared" ref="AE4:AE18" si="1">AD4*1000</f>
        <v>7467.3651163696395</v>
      </c>
      <c r="AF4" s="114">
        <v>0.7</v>
      </c>
      <c r="AG4" s="112">
        <f>AF4*N4</f>
        <v>143.87201919999995</v>
      </c>
      <c r="AH4" s="112">
        <f t="shared" ref="AH4:AH18" si="2">AG4*1000</f>
        <v>143872.01919999995</v>
      </c>
      <c r="AI4" s="77">
        <v>2204.62</v>
      </c>
      <c r="AJ4" s="112">
        <f t="shared" ref="AJ4:AJ18" si="3">AI4*AG4</f>
        <v>317183.13096870389</v>
      </c>
      <c r="AK4" s="112">
        <f>AG4*Y4</f>
        <v>10743.448973957426</v>
      </c>
      <c r="AL4" s="115"/>
      <c r="AM4" s="115"/>
      <c r="AN4" s="116">
        <v>0.27</v>
      </c>
      <c r="AO4" s="102">
        <f t="shared" si="0"/>
        <v>85639.445361550053</v>
      </c>
    </row>
    <row r="5" spans="1:41">
      <c r="A5" s="110" t="s">
        <v>80</v>
      </c>
      <c r="B5" s="110">
        <v>11013000</v>
      </c>
      <c r="C5" s="110">
        <v>2023001</v>
      </c>
      <c r="D5" s="111" t="s">
        <v>27</v>
      </c>
      <c r="E5" s="72" t="s">
        <v>30</v>
      </c>
      <c r="F5" s="73">
        <v>1</v>
      </c>
      <c r="G5" s="73">
        <v>1</v>
      </c>
      <c r="H5" s="73">
        <v>40</v>
      </c>
      <c r="I5" s="73">
        <v>80</v>
      </c>
      <c r="J5" s="73">
        <f>I5*H5</f>
        <v>3200</v>
      </c>
      <c r="K5" s="75">
        <f>L5/H5</f>
        <v>117.875</v>
      </c>
      <c r="L5" s="76">
        <v>4715</v>
      </c>
      <c r="M5" s="76">
        <f>O5*L5</f>
        <v>128321.08249999999</v>
      </c>
      <c r="N5" s="103">
        <f>M5/P5</f>
        <v>128.32108249999999</v>
      </c>
      <c r="O5" s="103">
        <v>27.215499999999999</v>
      </c>
      <c r="P5" s="76">
        <v>1000</v>
      </c>
      <c r="Q5" s="76">
        <v>1000000</v>
      </c>
      <c r="R5" s="73">
        <v>-0.41224999999999995</v>
      </c>
      <c r="S5" s="77">
        <v>0.78158549719887971</v>
      </c>
      <c r="T5" s="80">
        <f>SUM(R5:S5)</f>
        <v>0.36933549719887976</v>
      </c>
      <c r="U5" s="78">
        <v>-0.12852757158006362</v>
      </c>
      <c r="V5" s="79">
        <v>0.24367564811926898</v>
      </c>
      <c r="W5" s="80">
        <f>SUM(U5:V5)</f>
        <v>0.11514807653920536</v>
      </c>
      <c r="X5" s="113">
        <f>W5*N5</f>
        <v>14.775925829303684</v>
      </c>
      <c r="Y5" s="113">
        <f>W5*P5</f>
        <v>115.14807653920536</v>
      </c>
      <c r="Z5" s="112">
        <f>N5*Y5</f>
        <v>14775.925829303684</v>
      </c>
      <c r="AA5" s="112">
        <f>W5*Q5</f>
        <v>115148.07653920536</v>
      </c>
      <c r="AB5" s="112">
        <f>N5*AA5</f>
        <v>14775925.829303684</v>
      </c>
      <c r="AC5" s="112"/>
      <c r="AD5" s="80">
        <v>11.514807653920538</v>
      </c>
      <c r="AE5" s="80">
        <f t="shared" si="1"/>
        <v>11514.807653920538</v>
      </c>
      <c r="AF5" s="114">
        <v>0.7</v>
      </c>
      <c r="AG5" s="112">
        <f>AF5*N5</f>
        <v>89.824757749999989</v>
      </c>
      <c r="AH5" s="112">
        <f t="shared" si="2"/>
        <v>89824.75774999999</v>
      </c>
      <c r="AI5" s="77">
        <v>2204.62</v>
      </c>
      <c r="AJ5" s="112">
        <f t="shared" si="3"/>
        <v>198029.45743080496</v>
      </c>
      <c r="AK5" s="112">
        <f>AG5*Y5</f>
        <v>10343.148080512579</v>
      </c>
      <c r="AL5" s="115"/>
      <c r="AM5" s="115"/>
      <c r="AN5" s="116">
        <v>0.27</v>
      </c>
      <c r="AO5" s="102">
        <f t="shared" si="0"/>
        <v>53467.953506317346</v>
      </c>
    </row>
    <row r="6" spans="1:41">
      <c r="A6" s="110" t="s">
        <v>80</v>
      </c>
      <c r="B6" s="110">
        <v>11013000</v>
      </c>
      <c r="C6" s="110">
        <v>2023001</v>
      </c>
      <c r="D6" s="111" t="s">
        <v>27</v>
      </c>
      <c r="E6" s="72" t="s">
        <v>31</v>
      </c>
      <c r="F6" s="73">
        <v>1</v>
      </c>
      <c r="G6" s="73">
        <v>1</v>
      </c>
      <c r="H6" s="73">
        <v>84</v>
      </c>
      <c r="I6" s="73">
        <v>80</v>
      </c>
      <c r="J6" s="73">
        <f t="shared" ref="J4:J18" si="4">I6*H6</f>
        <v>6720</v>
      </c>
      <c r="K6" s="75">
        <f>L6/H6</f>
        <v>104.73809523809524</v>
      </c>
      <c r="L6" s="76">
        <v>8798</v>
      </c>
      <c r="M6" s="76">
        <f>O6*L6</f>
        <v>239441.96899999998</v>
      </c>
      <c r="N6" s="103">
        <f>M6/P6</f>
        <v>239.44196899999997</v>
      </c>
      <c r="O6" s="103">
        <v>27.215499999999999</v>
      </c>
      <c r="P6" s="76">
        <v>1000</v>
      </c>
      <c r="Q6" s="76">
        <v>1000000</v>
      </c>
      <c r="R6" s="73">
        <v>-0.61732142857142858</v>
      </c>
      <c r="S6" s="77">
        <v>0.65647901387221552</v>
      </c>
      <c r="T6" s="80">
        <f>SUM(R6:S6)</f>
        <v>3.9157585300786946E-2</v>
      </c>
      <c r="U6" s="78">
        <v>-0.21660277904069108</v>
      </c>
      <c r="V6" s="79">
        <v>0.23034220457189469</v>
      </c>
      <c r="W6" s="80">
        <f>SUM(U6:V6)</f>
        <v>1.3739425531203608E-2</v>
      </c>
      <c r="X6" s="113">
        <f>W6*N6</f>
        <v>3.2897951021202627</v>
      </c>
      <c r="Y6" s="113">
        <f>W6*P6</f>
        <v>13.739425531203608</v>
      </c>
      <c r="Z6" s="112">
        <f>N6*Y6</f>
        <v>3289.7951021202625</v>
      </c>
      <c r="AA6" s="112">
        <f>W6*Q6</f>
        <v>13739.425531203608</v>
      </c>
      <c r="AB6" s="112">
        <f>N6*AA6</f>
        <v>3289795.1021202626</v>
      </c>
      <c r="AC6" s="112"/>
      <c r="AD6" s="80">
        <v>1.3739425531203608</v>
      </c>
      <c r="AE6" s="80">
        <f t="shared" si="1"/>
        <v>1373.9425531203608</v>
      </c>
      <c r="AF6" s="114">
        <v>0.7</v>
      </c>
      <c r="AG6" s="112">
        <f>AF6*N6</f>
        <v>167.60937829999997</v>
      </c>
      <c r="AH6" s="112">
        <f t="shared" si="2"/>
        <v>167609.37829999998</v>
      </c>
      <c r="AI6" s="77">
        <v>2204.62</v>
      </c>
      <c r="AJ6" s="112">
        <f t="shared" si="3"/>
        <v>369514.98758774594</v>
      </c>
      <c r="AK6" s="112">
        <f>AG6*Y6</f>
        <v>2302.8565714841839</v>
      </c>
      <c r="AL6" s="115"/>
      <c r="AM6" s="115"/>
      <c r="AN6" s="116">
        <v>0.27</v>
      </c>
      <c r="AO6" s="102">
        <f>AN6*AJ6</f>
        <v>99769.046648691408</v>
      </c>
    </row>
    <row r="7" spans="1:41">
      <c r="A7" s="117" t="s">
        <v>80</v>
      </c>
      <c r="B7" s="117">
        <v>11013000</v>
      </c>
      <c r="C7" s="117">
        <v>2023003</v>
      </c>
      <c r="D7" s="118" t="s">
        <v>27</v>
      </c>
      <c r="E7" s="89" t="s">
        <v>32</v>
      </c>
      <c r="F7" s="90">
        <v>1</v>
      </c>
      <c r="G7" s="90">
        <v>1</v>
      </c>
      <c r="H7" s="90">
        <v>25</v>
      </c>
      <c r="I7" s="90">
        <v>80</v>
      </c>
      <c r="J7" s="73">
        <f t="shared" si="4"/>
        <v>2000</v>
      </c>
      <c r="K7" s="91">
        <f>L7/H7</f>
        <v>93.12</v>
      </c>
      <c r="L7" s="92">
        <v>2328</v>
      </c>
      <c r="M7" s="92">
        <f>O7*L7</f>
        <v>63357.683999999994</v>
      </c>
      <c r="N7" s="104">
        <f>M7/P7</f>
        <v>63.357683999999992</v>
      </c>
      <c r="O7" s="104">
        <v>27.215499999999999</v>
      </c>
      <c r="P7" s="92">
        <v>1000</v>
      </c>
      <c r="Q7" s="92">
        <v>1000000</v>
      </c>
      <c r="R7" s="90">
        <v>-0.95596000000000003</v>
      </c>
      <c r="S7" s="93">
        <v>0.72412771630252104</v>
      </c>
      <c r="T7" s="96">
        <f>SUM(R7:S7)</f>
        <v>-0.23183228369747899</v>
      </c>
      <c r="U7" s="94">
        <v>-0.37727158505154645</v>
      </c>
      <c r="V7" s="95">
        <v>0.28577849628562774</v>
      </c>
      <c r="W7" s="96">
        <f>SUM(U7:V7)</f>
        <v>-9.1493088765918718E-2</v>
      </c>
      <c r="X7" s="120">
        <f>W7*N7</f>
        <v>-5.7967902062150269</v>
      </c>
      <c r="Y7" s="120">
        <f>W7*P7</f>
        <v>-91.493088765918714</v>
      </c>
      <c r="Z7" s="119">
        <f>N7*Y7</f>
        <v>-5796.790206215027</v>
      </c>
      <c r="AA7" s="119">
        <f>W7*Q7</f>
        <v>-91493.088765918714</v>
      </c>
      <c r="AB7" s="119">
        <f>N7*AA7</f>
        <v>-5796790.2062150268</v>
      </c>
      <c r="AC7" s="119"/>
      <c r="AD7" s="96">
        <v>-9.1493088765918706</v>
      </c>
      <c r="AE7" s="96">
        <f t="shared" si="1"/>
        <v>-9149.308876591871</v>
      </c>
      <c r="AF7" s="121">
        <v>0.7</v>
      </c>
      <c r="AG7" s="119">
        <f>AF7*N7</f>
        <v>44.350378799999994</v>
      </c>
      <c r="AH7" s="119">
        <f t="shared" si="2"/>
        <v>44350.378799999991</v>
      </c>
      <c r="AI7" s="93">
        <v>2204.62</v>
      </c>
      <c r="AJ7" s="119">
        <f t="shared" si="3"/>
        <v>97775.732110055978</v>
      </c>
      <c r="AK7" s="119">
        <f>AG7*Y7</f>
        <v>-4057.7531443505191</v>
      </c>
      <c r="AL7" s="115"/>
      <c r="AM7" s="115"/>
      <c r="AN7" s="116">
        <v>0.35</v>
      </c>
      <c r="AO7" s="102">
        <f t="shared" ref="AO7:AO18" si="5">AN7*AJ7</f>
        <v>34221.506238519592</v>
      </c>
    </row>
    <row r="8" spans="1:41">
      <c r="A8" s="117" t="s">
        <v>80</v>
      </c>
      <c r="B8" s="117">
        <v>11013000</v>
      </c>
      <c r="C8" s="117">
        <v>2023003</v>
      </c>
      <c r="D8" s="118" t="s">
        <v>27</v>
      </c>
      <c r="E8" s="97" t="s">
        <v>33</v>
      </c>
      <c r="F8" s="90">
        <v>1</v>
      </c>
      <c r="G8" s="90">
        <v>1</v>
      </c>
      <c r="H8" s="98">
        <v>65</v>
      </c>
      <c r="I8" s="90">
        <v>80</v>
      </c>
      <c r="J8" s="73">
        <f t="shared" si="4"/>
        <v>5200</v>
      </c>
      <c r="K8" s="91">
        <f>L8/H8</f>
        <v>90.615384615384613</v>
      </c>
      <c r="L8" s="92">
        <v>5890</v>
      </c>
      <c r="M8" s="92">
        <f>O8*L8</f>
        <v>160299.29499999998</v>
      </c>
      <c r="N8" s="104">
        <f>M8/P8</f>
        <v>160.29929499999997</v>
      </c>
      <c r="O8" s="104">
        <v>27.215499999999999</v>
      </c>
      <c r="P8" s="92">
        <v>1000</v>
      </c>
      <c r="Q8" s="92">
        <v>1000000</v>
      </c>
      <c r="R8" s="90">
        <v>-0.88472307692307695</v>
      </c>
      <c r="S8" s="93">
        <v>0.72072192932557633</v>
      </c>
      <c r="T8" s="96">
        <f>SUM(R8:S8)</f>
        <v>-0.16400114759750062</v>
      </c>
      <c r="U8" s="94">
        <v>-0.35880853140916813</v>
      </c>
      <c r="V8" s="95">
        <v>0.29229618143912911</v>
      </c>
      <c r="W8" s="96">
        <f>SUM(U8:V8)</f>
        <v>-6.651234997003902E-2</v>
      </c>
      <c r="X8" s="120">
        <f>W8*N8</f>
        <v>-10.661882808990525</v>
      </c>
      <c r="Y8" s="120">
        <f>W8*P8</f>
        <v>-66.512349970039025</v>
      </c>
      <c r="Z8" s="119">
        <f>N8*Y8</f>
        <v>-10661.882808990526</v>
      </c>
      <c r="AA8" s="119">
        <f>W8*Q8</f>
        <v>-66512.349970039024</v>
      </c>
      <c r="AB8" s="119">
        <f>N8*AA8</f>
        <v>-10661882.808990525</v>
      </c>
      <c r="AC8" s="119"/>
      <c r="AD8" s="96">
        <v>-6.6512349970039022</v>
      </c>
      <c r="AE8" s="96">
        <f t="shared" si="1"/>
        <v>-6651.2349970039022</v>
      </c>
      <c r="AF8" s="121">
        <v>0.7</v>
      </c>
      <c r="AG8" s="119">
        <f>AF8*N8</f>
        <v>112.20950649999997</v>
      </c>
      <c r="AH8" s="119">
        <f t="shared" si="2"/>
        <v>112209.50649999997</v>
      </c>
      <c r="AI8" s="93">
        <v>2204.62</v>
      </c>
      <c r="AJ8" s="119">
        <f t="shared" si="3"/>
        <v>247379.32222002992</v>
      </c>
      <c r="AK8" s="119">
        <f>AG8*Y8</f>
        <v>-7463.3179662933671</v>
      </c>
      <c r="AL8" s="115"/>
      <c r="AM8" s="115"/>
      <c r="AN8" s="116">
        <v>0.35</v>
      </c>
      <c r="AO8" s="102">
        <f t="shared" si="5"/>
        <v>86582.762777010474</v>
      </c>
    </row>
    <row r="9" spans="1:41">
      <c r="A9" s="117" t="s">
        <v>80</v>
      </c>
      <c r="B9" s="117">
        <v>11013000</v>
      </c>
      <c r="C9" s="117">
        <v>2023003</v>
      </c>
      <c r="D9" s="118" t="s">
        <v>27</v>
      </c>
      <c r="E9" s="97" t="s">
        <v>34</v>
      </c>
      <c r="F9" s="90">
        <v>1</v>
      </c>
      <c r="G9" s="90">
        <v>1</v>
      </c>
      <c r="H9" s="98">
        <v>76</v>
      </c>
      <c r="I9" s="90">
        <v>80</v>
      </c>
      <c r="J9" s="73">
        <f t="shared" si="4"/>
        <v>6080</v>
      </c>
      <c r="K9" s="91">
        <f>L9/H9</f>
        <v>93</v>
      </c>
      <c r="L9" s="92">
        <v>7068</v>
      </c>
      <c r="M9" s="92">
        <f>O9*L9</f>
        <v>192359.15399999998</v>
      </c>
      <c r="N9" s="104">
        <f>M9/P9</f>
        <v>192.35915399999999</v>
      </c>
      <c r="O9" s="104">
        <v>27.215499999999999</v>
      </c>
      <c r="P9" s="92">
        <v>1000</v>
      </c>
      <c r="Q9" s="92">
        <v>1000000</v>
      </c>
      <c r="R9" s="90">
        <v>-1.0504868421052631</v>
      </c>
      <c r="S9" s="93">
        <v>0.83805555904467044</v>
      </c>
      <c r="T9" s="96">
        <f>SUM(R9:S9)</f>
        <v>-0.21243128306059267</v>
      </c>
      <c r="U9" s="94">
        <v>-0.41511173599320883</v>
      </c>
      <c r="V9" s="95">
        <v>0.33116711607410365</v>
      </c>
      <c r="W9" s="96">
        <f>SUM(U9:V9)</f>
        <v>-8.3944619919105179E-2</v>
      </c>
      <c r="X9" s="120">
        <f>W9*N9</f>
        <v>-16.147516070490621</v>
      </c>
      <c r="Y9" s="120">
        <f>W9*P9</f>
        <v>-83.944619919105179</v>
      </c>
      <c r="Z9" s="119">
        <f>N9*Y9</f>
        <v>-16147.516070490619</v>
      </c>
      <c r="AA9" s="119">
        <f>W9*Q9</f>
        <v>-83944.619919105186</v>
      </c>
      <c r="AB9" s="119">
        <f>N9*AA9</f>
        <v>-16147516.070490621</v>
      </c>
      <c r="AC9" s="119"/>
      <c r="AD9" s="96">
        <v>-8.3944619919105161</v>
      </c>
      <c r="AE9" s="96">
        <f t="shared" si="1"/>
        <v>-8394.4619919105153</v>
      </c>
      <c r="AF9" s="121">
        <v>0.7</v>
      </c>
      <c r="AG9" s="119">
        <f>AF9*N9</f>
        <v>134.65140779999999</v>
      </c>
      <c r="AH9" s="119">
        <f t="shared" si="2"/>
        <v>134651.40779999999</v>
      </c>
      <c r="AI9" s="93">
        <v>2204.62</v>
      </c>
      <c r="AJ9" s="119">
        <f t="shared" si="3"/>
        <v>296855.18666403595</v>
      </c>
      <c r="AK9" s="119">
        <f>AG9*Y9</f>
        <v>-11303.261249343434</v>
      </c>
      <c r="AL9" s="115"/>
      <c r="AM9" s="115"/>
      <c r="AN9" s="116">
        <v>0.35</v>
      </c>
      <c r="AO9" s="102">
        <f t="shared" si="5"/>
        <v>103899.31533241257</v>
      </c>
    </row>
    <row r="10" spans="1:41">
      <c r="A10" s="117" t="s">
        <v>80</v>
      </c>
      <c r="B10" s="117">
        <v>11013000</v>
      </c>
      <c r="C10" s="117">
        <v>2023003</v>
      </c>
      <c r="D10" s="118" t="s">
        <v>27</v>
      </c>
      <c r="E10" s="99" t="s">
        <v>35</v>
      </c>
      <c r="F10" s="90">
        <v>1</v>
      </c>
      <c r="G10" s="90">
        <v>1</v>
      </c>
      <c r="H10" s="98">
        <v>65</v>
      </c>
      <c r="I10" s="90">
        <v>80</v>
      </c>
      <c r="J10" s="73">
        <f t="shared" si="4"/>
        <v>5200</v>
      </c>
      <c r="K10" s="91">
        <f>L10/H10</f>
        <v>107</v>
      </c>
      <c r="L10" s="92">
        <v>6955</v>
      </c>
      <c r="M10" s="92">
        <f>O10*L10</f>
        <v>189283.80249999999</v>
      </c>
      <c r="N10" s="104">
        <f>M10/P10</f>
        <v>189.28380249999998</v>
      </c>
      <c r="O10" s="104">
        <v>27.215499999999999</v>
      </c>
      <c r="P10" s="92">
        <v>1000</v>
      </c>
      <c r="Q10" s="92">
        <v>1000000</v>
      </c>
      <c r="R10" s="90">
        <v>-0.92155384615384617</v>
      </c>
      <c r="S10" s="93">
        <v>0.76672015815556982</v>
      </c>
      <c r="T10" s="96">
        <f>SUM(R10:S10)</f>
        <v>-0.15483368799827635</v>
      </c>
      <c r="U10" s="94">
        <v>-0.3165149892163911</v>
      </c>
      <c r="V10" s="95">
        <v>0.26333612908614196</v>
      </c>
      <c r="W10" s="96">
        <f>SUM(U10:V10)</f>
        <v>-5.3178860130249139E-2</v>
      </c>
      <c r="X10" s="120">
        <f>W10*N10</f>
        <v>-10.065896858069202</v>
      </c>
      <c r="Y10" s="120">
        <f>W10*P10</f>
        <v>-53.178860130249141</v>
      </c>
      <c r="Z10" s="119">
        <f>N10*Y10</f>
        <v>-10065.896858069202</v>
      </c>
      <c r="AA10" s="119">
        <f>W10*Q10</f>
        <v>-53178.860130249137</v>
      </c>
      <c r="AB10" s="119">
        <f>N10*AA10</f>
        <v>-10065896.8580692</v>
      </c>
      <c r="AC10" s="119"/>
      <c r="AD10" s="96">
        <v>-5.317886013024915</v>
      </c>
      <c r="AE10" s="96">
        <f t="shared" si="1"/>
        <v>-5317.886013024915</v>
      </c>
      <c r="AF10" s="121">
        <v>0.7</v>
      </c>
      <c r="AG10" s="119">
        <f>AF10*N10</f>
        <v>132.49866174999997</v>
      </c>
      <c r="AH10" s="119">
        <f t="shared" si="2"/>
        <v>132498.66174999997</v>
      </c>
      <c r="AI10" s="93">
        <v>2204.62</v>
      </c>
      <c r="AJ10" s="119">
        <f t="shared" si="3"/>
        <v>292109.19966728491</v>
      </c>
      <c r="AK10" s="119">
        <f>AG10*Y10</f>
        <v>-7046.1278006484399</v>
      </c>
      <c r="AL10" s="115"/>
      <c r="AM10" s="115"/>
      <c r="AN10" s="116">
        <v>0.35</v>
      </c>
      <c r="AO10" s="102">
        <f t="shared" si="5"/>
        <v>102238.21988354971</v>
      </c>
    </row>
    <row r="11" spans="1:41">
      <c r="A11" s="117" t="s">
        <v>80</v>
      </c>
      <c r="B11" s="117">
        <v>11013000</v>
      </c>
      <c r="C11" s="117">
        <v>2023003</v>
      </c>
      <c r="D11" s="118" t="s">
        <v>27</v>
      </c>
      <c r="E11" s="99" t="s">
        <v>36</v>
      </c>
      <c r="F11" s="90">
        <v>1</v>
      </c>
      <c r="G11" s="90">
        <v>1</v>
      </c>
      <c r="H11" s="98">
        <v>38</v>
      </c>
      <c r="I11" s="90">
        <v>80</v>
      </c>
      <c r="J11" s="73">
        <f t="shared" si="4"/>
        <v>3040</v>
      </c>
      <c r="K11" s="91">
        <f>L11/H11</f>
        <v>108</v>
      </c>
      <c r="L11" s="92">
        <v>4104</v>
      </c>
      <c r="M11" s="92">
        <f>O11*L11</f>
        <v>111692.412</v>
      </c>
      <c r="N11" s="104">
        <f>M11/P11</f>
        <v>111.69241199999999</v>
      </c>
      <c r="O11" s="104">
        <v>27.215499999999999</v>
      </c>
      <c r="P11" s="92">
        <v>1000</v>
      </c>
      <c r="Q11" s="92">
        <v>1000000</v>
      </c>
      <c r="R11" s="90">
        <v>-0.9221315789473683</v>
      </c>
      <c r="S11" s="93">
        <v>0.7810278478549314</v>
      </c>
      <c r="T11" s="96">
        <f>SUM(R11:S11)</f>
        <v>-0.1411037310924369</v>
      </c>
      <c r="U11" s="94">
        <v>-0.31378088450292396</v>
      </c>
      <c r="V11" s="95">
        <v>0.26576642045063636</v>
      </c>
      <c r="W11" s="96">
        <f>SUM(U11:V11)</f>
        <v>-4.8014464052287598E-2</v>
      </c>
      <c r="X11" s="120">
        <f>W11*N11</f>
        <v>-5.3628513008872956</v>
      </c>
      <c r="Y11" s="120">
        <f>W11*P11</f>
        <v>-48.0144640522876</v>
      </c>
      <c r="Z11" s="119">
        <f>N11*Y11</f>
        <v>-5362.851300887296</v>
      </c>
      <c r="AA11" s="119">
        <f>W11*Q11</f>
        <v>-48014.4640522876</v>
      </c>
      <c r="AB11" s="119">
        <f>N11*AA11</f>
        <v>-5362851.300887296</v>
      </c>
      <c r="AC11" s="119"/>
      <c r="AD11" s="96">
        <v>-4.8014464052287602</v>
      </c>
      <c r="AE11" s="96">
        <f t="shared" si="1"/>
        <v>-4801.4464052287603</v>
      </c>
      <c r="AF11" s="121">
        <v>0.7</v>
      </c>
      <c r="AG11" s="119">
        <f>AF11*N11</f>
        <v>78.184688399999985</v>
      </c>
      <c r="AH11" s="119">
        <f t="shared" si="2"/>
        <v>78184.688399999985</v>
      </c>
      <c r="AI11" s="93">
        <v>2204.62</v>
      </c>
      <c r="AJ11" s="119">
        <f t="shared" si="3"/>
        <v>172367.52774040797</v>
      </c>
      <c r="AK11" s="119">
        <f>AG11*Y11</f>
        <v>-3753.9959106211068</v>
      </c>
      <c r="AL11" s="115"/>
      <c r="AM11" s="115"/>
      <c r="AN11" s="116">
        <v>0.35</v>
      </c>
      <c r="AO11" s="102">
        <f t="shared" si="5"/>
        <v>60328.634709142782</v>
      </c>
    </row>
    <row r="12" spans="1:41" ht="30.75">
      <c r="A12" s="122" t="s">
        <v>80</v>
      </c>
      <c r="B12" s="122">
        <v>11013000</v>
      </c>
      <c r="C12" s="122">
        <v>2023002</v>
      </c>
      <c r="D12" s="123" t="s">
        <v>37</v>
      </c>
      <c r="E12" s="81" t="s">
        <v>38</v>
      </c>
      <c r="F12" s="82">
        <v>1</v>
      </c>
      <c r="G12" s="82">
        <v>1</v>
      </c>
      <c r="H12" s="82">
        <v>152</v>
      </c>
      <c r="I12" s="82">
        <v>94</v>
      </c>
      <c r="J12" s="73">
        <f t="shared" si="4"/>
        <v>14288</v>
      </c>
      <c r="K12" s="83">
        <f>L12/H12</f>
        <v>105.06796052631577</v>
      </c>
      <c r="L12" s="84">
        <f>SUM(10763.14,5207.19)</f>
        <v>15970.329999999998</v>
      </c>
      <c r="M12" s="84">
        <f>O12*L12</f>
        <v>434640.51611499995</v>
      </c>
      <c r="N12" s="105">
        <f>M12/P12</f>
        <v>434.64051611499997</v>
      </c>
      <c r="O12" s="105">
        <v>27.215499999999999</v>
      </c>
      <c r="P12" s="84">
        <v>1000</v>
      </c>
      <c r="Q12" s="84">
        <v>1000000</v>
      </c>
      <c r="R12" s="82">
        <v>-0.93891447368421055</v>
      </c>
      <c r="S12" s="85">
        <v>0.73183842105263164</v>
      </c>
      <c r="T12" s="88">
        <f>SUM(R12:S12)</f>
        <v>-0.20707605263157891</v>
      </c>
      <c r="U12" s="86">
        <v>-0.3284075062944849</v>
      </c>
      <c r="V12" s="87">
        <v>0.25597776752264984</v>
      </c>
      <c r="W12" s="88">
        <f>SUM(U12:V12)</f>
        <v>-7.2429738771835062E-2</v>
      </c>
      <c r="X12" s="125">
        <f>W12*N12</f>
        <v>-31.480899041865015</v>
      </c>
      <c r="Y12" s="125">
        <f>W12*P12</f>
        <v>-72.429738771835062</v>
      </c>
      <c r="Z12" s="124">
        <f>N12*Y12</f>
        <v>-31480.899041865014</v>
      </c>
      <c r="AA12" s="124">
        <f>W12*Q12</f>
        <v>-72429.738771835066</v>
      </c>
      <c r="AB12" s="124">
        <f>N12*AA12</f>
        <v>-31480899.041865017</v>
      </c>
      <c r="AC12" s="124"/>
      <c r="AD12" s="88">
        <v>-7.2429738771835055</v>
      </c>
      <c r="AE12" s="88">
        <f t="shared" si="1"/>
        <v>-7242.9738771835055</v>
      </c>
      <c r="AF12" s="126">
        <v>0.7</v>
      </c>
      <c r="AG12" s="124">
        <f>AF12*N12</f>
        <v>304.24836128049998</v>
      </c>
      <c r="AH12" s="124">
        <f t="shared" si="2"/>
        <v>304248.36128049996</v>
      </c>
      <c r="AI12" s="85">
        <v>2204.62</v>
      </c>
      <c r="AJ12" s="124">
        <f t="shared" si="3"/>
        <v>670752.02224621584</v>
      </c>
      <c r="AK12" s="124">
        <f>AG12*Y12</f>
        <v>-22036.62932930551</v>
      </c>
      <c r="AL12" s="115"/>
      <c r="AM12" s="115"/>
      <c r="AN12" s="116">
        <v>0.35</v>
      </c>
      <c r="AO12" s="102">
        <f t="shared" si="5"/>
        <v>234763.20778617554</v>
      </c>
    </row>
    <row r="13" spans="1:41">
      <c r="A13" s="122" t="s">
        <v>80</v>
      </c>
      <c r="B13" s="122">
        <v>11013000</v>
      </c>
      <c r="C13" s="122">
        <v>2023002</v>
      </c>
      <c r="D13" s="123" t="s">
        <v>37</v>
      </c>
      <c r="E13" s="81" t="s">
        <v>39</v>
      </c>
      <c r="F13" s="82">
        <v>1</v>
      </c>
      <c r="G13" s="82">
        <v>1</v>
      </c>
      <c r="H13" s="82">
        <v>27</v>
      </c>
      <c r="I13" s="82">
        <v>94</v>
      </c>
      <c r="J13" s="73">
        <f t="shared" si="4"/>
        <v>2538</v>
      </c>
      <c r="K13" s="83">
        <f>L13/H13</f>
        <v>69.850370370370371</v>
      </c>
      <c r="L13" s="84">
        <v>1885.96</v>
      </c>
      <c r="M13" s="84">
        <f>O13*L13</f>
        <v>51327.344379999995</v>
      </c>
      <c r="N13" s="105">
        <f>M13/P13</f>
        <v>51.327344379999992</v>
      </c>
      <c r="O13" s="105">
        <v>27.215499999999999</v>
      </c>
      <c r="P13" s="84">
        <v>1000</v>
      </c>
      <c r="Q13" s="84">
        <v>1000000</v>
      </c>
      <c r="R13" s="82">
        <v>-0.68480544747081706</v>
      </c>
      <c r="S13" s="85">
        <v>0.85134250972762648</v>
      </c>
      <c r="T13" s="88">
        <f>SUM(R13:S13)</f>
        <v>0.16653706225680942</v>
      </c>
      <c r="U13" s="86">
        <v>-0.36029301006008513</v>
      </c>
      <c r="V13" s="87">
        <v>0.4479122596859092</v>
      </c>
      <c r="W13" s="88">
        <f>SUM(U13:V13)</f>
        <v>8.7619249625824069E-2</v>
      </c>
      <c r="X13" s="125">
        <f>W13*N13</f>
        <v>4.4972633998618576</v>
      </c>
      <c r="Y13" s="125">
        <f>W13*P13</f>
        <v>87.619249625824068</v>
      </c>
      <c r="Z13" s="124">
        <f>N13*Y13</f>
        <v>4497.2633998618576</v>
      </c>
      <c r="AA13" s="124">
        <f>W13*Q13</f>
        <v>87619.249625824072</v>
      </c>
      <c r="AB13" s="124">
        <f>N13*AA13</f>
        <v>4497263.3998618573</v>
      </c>
      <c r="AC13" s="124"/>
      <c r="AD13" s="88">
        <v>8.7619249625824072</v>
      </c>
      <c r="AE13" s="88">
        <f t="shared" si="1"/>
        <v>8761.9249625824068</v>
      </c>
      <c r="AF13" s="126">
        <v>0.7</v>
      </c>
      <c r="AG13" s="124">
        <f>AF13*N13</f>
        <v>35.929141065999993</v>
      </c>
      <c r="AH13" s="124">
        <f t="shared" si="2"/>
        <v>35929.141065999989</v>
      </c>
      <c r="AI13" s="85">
        <v>2204.62</v>
      </c>
      <c r="AJ13" s="124">
        <f t="shared" si="3"/>
        <v>79210.1029769249</v>
      </c>
      <c r="AK13" s="124">
        <f>AG13*Y13</f>
        <v>3148.0843799033</v>
      </c>
      <c r="AL13" s="115"/>
      <c r="AM13" s="115"/>
      <c r="AN13" s="116">
        <v>0.27</v>
      </c>
      <c r="AO13" s="102">
        <f t="shared" si="5"/>
        <v>21386.727803769725</v>
      </c>
    </row>
    <row r="14" spans="1:41">
      <c r="A14" s="122" t="s">
        <v>80</v>
      </c>
      <c r="B14" s="122">
        <v>11013000</v>
      </c>
      <c r="C14" s="122">
        <v>2023002</v>
      </c>
      <c r="D14" s="123" t="s">
        <v>37</v>
      </c>
      <c r="E14" s="81" t="s">
        <v>40</v>
      </c>
      <c r="F14" s="82">
        <v>1</v>
      </c>
      <c r="G14" s="82">
        <v>1</v>
      </c>
      <c r="H14" s="82">
        <v>77.400000000000006</v>
      </c>
      <c r="I14" s="82">
        <v>94</v>
      </c>
      <c r="J14" s="73">
        <f t="shared" si="4"/>
        <v>7275.6</v>
      </c>
      <c r="K14" s="83">
        <f>L14/H14</f>
        <v>88.669250645994822</v>
      </c>
      <c r="L14" s="84">
        <v>6863</v>
      </c>
      <c r="M14" s="84">
        <f>O14*L14</f>
        <v>186779.97649999999</v>
      </c>
      <c r="N14" s="105">
        <f>M14/P14</f>
        <v>186.7799765</v>
      </c>
      <c r="O14" s="105">
        <v>27.215499999999999</v>
      </c>
      <c r="P14" s="84">
        <v>1000</v>
      </c>
      <c r="Q14" s="84">
        <v>1000000</v>
      </c>
      <c r="R14" s="82">
        <v>-0.74954780361757101</v>
      </c>
      <c r="S14" s="85">
        <v>0.96507894056847532</v>
      </c>
      <c r="T14" s="88">
        <f>SUM(R14:S14)</f>
        <v>0.21553113695090431</v>
      </c>
      <c r="U14" s="86">
        <v>-0.31065878624508231</v>
      </c>
      <c r="V14" s="87">
        <v>0.39998816734664139</v>
      </c>
      <c r="W14" s="88">
        <f>SUM(U14:V14)</f>
        <v>8.932938110155908E-2</v>
      </c>
      <c r="X14" s="125">
        <f>W14*N14</f>
        <v>16.68493970290875</v>
      </c>
      <c r="Y14" s="125">
        <f>W14*P14</f>
        <v>89.329381101559079</v>
      </c>
      <c r="Z14" s="124">
        <f>N14*Y14</f>
        <v>16684.939702908749</v>
      </c>
      <c r="AA14" s="124">
        <f>W14*Q14</f>
        <v>89329.381101559076</v>
      </c>
      <c r="AB14" s="124">
        <f>N14*AA14</f>
        <v>16684939.702908749</v>
      </c>
      <c r="AC14" s="124"/>
      <c r="AD14" s="88">
        <v>8.9329381101559076</v>
      </c>
      <c r="AE14" s="88">
        <f t="shared" si="1"/>
        <v>8932.9381101559084</v>
      </c>
      <c r="AF14" s="126">
        <v>0.7</v>
      </c>
      <c r="AG14" s="124">
        <f>AF14*N14</f>
        <v>130.74598355000001</v>
      </c>
      <c r="AH14" s="124">
        <f t="shared" si="2"/>
        <v>130745.98355</v>
      </c>
      <c r="AI14" s="85">
        <v>2204.62</v>
      </c>
      <c r="AJ14" s="124">
        <f t="shared" si="3"/>
        <v>288245.21025400102</v>
      </c>
      <c r="AK14" s="124">
        <f>AG14*Y14</f>
        <v>11679.457792036124</v>
      </c>
      <c r="AL14" s="115"/>
      <c r="AM14" s="115"/>
      <c r="AN14" s="116">
        <v>0.27</v>
      </c>
      <c r="AO14" s="102">
        <f t="shared" si="5"/>
        <v>77826.206768580276</v>
      </c>
    </row>
    <row r="15" spans="1:41">
      <c r="A15" s="122" t="s">
        <v>80</v>
      </c>
      <c r="B15" s="122">
        <v>11013000</v>
      </c>
      <c r="C15" s="122">
        <v>2023002</v>
      </c>
      <c r="D15" s="123" t="s">
        <v>37</v>
      </c>
      <c r="E15" s="81" t="s">
        <v>41</v>
      </c>
      <c r="F15" s="82">
        <v>1</v>
      </c>
      <c r="G15" s="82">
        <v>1</v>
      </c>
      <c r="H15" s="82">
        <v>75</v>
      </c>
      <c r="I15" s="82">
        <v>94</v>
      </c>
      <c r="J15" s="73">
        <f t="shared" si="4"/>
        <v>7050</v>
      </c>
      <c r="K15" s="83">
        <f>L15/H15</f>
        <v>97.907733333333326</v>
      </c>
      <c r="L15" s="84">
        <v>7343.08</v>
      </c>
      <c r="M15" s="84">
        <f>O15*L15</f>
        <v>199845.59373999998</v>
      </c>
      <c r="N15" s="105">
        <f>M15/P15</f>
        <v>199.84559373999997</v>
      </c>
      <c r="O15" s="105">
        <v>27.215499999999999</v>
      </c>
      <c r="P15" s="84">
        <v>1000</v>
      </c>
      <c r="Q15" s="84">
        <v>1000000</v>
      </c>
      <c r="R15" s="82">
        <v>-0.78558666666666666</v>
      </c>
      <c r="S15" s="85">
        <v>0.75521946666666673</v>
      </c>
      <c r="T15" s="88">
        <f>SUM(R15:S15)</f>
        <v>-3.0367199999999928E-2</v>
      </c>
      <c r="U15" s="86">
        <v>-0.29487262157024025</v>
      </c>
      <c r="V15" s="87">
        <v>0.28347418998567359</v>
      </c>
      <c r="W15" s="88">
        <f>SUM(U15:V15)</f>
        <v>-1.139843158456666E-2</v>
      </c>
      <c r="X15" s="125">
        <f>W15*N15</f>
        <v>-2.2779263277224926</v>
      </c>
      <c r="Y15" s="125">
        <f>W15*P15</f>
        <v>-11.398431584566659</v>
      </c>
      <c r="Z15" s="124">
        <f>N15*Y15</f>
        <v>-2277.9263277224927</v>
      </c>
      <c r="AA15" s="124">
        <f>W15*Q15</f>
        <v>-11398.431584566659</v>
      </c>
      <c r="AB15" s="124">
        <f>N15*AA15</f>
        <v>-2277926.3277224926</v>
      </c>
      <c r="AC15" s="124"/>
      <c r="AD15" s="88">
        <v>-1.139843158456666</v>
      </c>
      <c r="AE15" s="88">
        <f t="shared" si="1"/>
        <v>-1139.8431584566661</v>
      </c>
      <c r="AF15" s="126">
        <v>0.7</v>
      </c>
      <c r="AG15" s="124">
        <f>AF15*N15</f>
        <v>139.89191561799996</v>
      </c>
      <c r="AH15" s="124">
        <f t="shared" si="2"/>
        <v>139891.91561799997</v>
      </c>
      <c r="AI15" s="85">
        <v>2204.62</v>
      </c>
      <c r="AJ15" s="124">
        <f t="shared" si="3"/>
        <v>308408.51500975504</v>
      </c>
      <c r="AK15" s="124">
        <f>AG15*Y15</f>
        <v>-1594.5484294057446</v>
      </c>
      <c r="AL15" s="115"/>
      <c r="AM15" s="115"/>
      <c r="AN15" s="116">
        <v>0.35</v>
      </c>
      <c r="AO15" s="102">
        <f t="shared" si="5"/>
        <v>107942.98025341425</v>
      </c>
    </row>
    <row r="16" spans="1:41">
      <c r="A16" s="122" t="s">
        <v>80</v>
      </c>
      <c r="B16" s="122">
        <v>11013000</v>
      </c>
      <c r="C16" s="122">
        <v>2023002</v>
      </c>
      <c r="D16" s="123" t="s">
        <v>42</v>
      </c>
      <c r="E16" s="81" t="s">
        <v>43</v>
      </c>
      <c r="F16" s="82">
        <v>1</v>
      </c>
      <c r="G16" s="82">
        <v>1</v>
      </c>
      <c r="H16" s="82">
        <v>37</v>
      </c>
      <c r="I16" s="82">
        <v>90</v>
      </c>
      <c r="J16" s="73">
        <f t="shared" si="4"/>
        <v>3330</v>
      </c>
      <c r="K16" s="83">
        <f>L16/H16</f>
        <v>93.322027027027019</v>
      </c>
      <c r="L16" s="84">
        <f>6905.83 /2</f>
        <v>3452.915</v>
      </c>
      <c r="M16" s="84">
        <f>O16*L16</f>
        <v>93972.808182499997</v>
      </c>
      <c r="N16" s="105">
        <f>M16/P16</f>
        <v>93.972808182500003</v>
      </c>
      <c r="O16" s="105">
        <v>27.215499999999999</v>
      </c>
      <c r="P16" s="84">
        <v>1000</v>
      </c>
      <c r="Q16" s="84">
        <v>1000000</v>
      </c>
      <c r="R16" s="82">
        <v>-0.93043243243243245</v>
      </c>
      <c r="S16" s="85">
        <v>0.89001567567567585</v>
      </c>
      <c r="T16" s="88">
        <f>SUM(R16:S16)</f>
        <v>-4.04167567567566E-2</v>
      </c>
      <c r="U16" s="86">
        <v>-0.36640215585961428</v>
      </c>
      <c r="V16" s="87">
        <v>0.35048612983522626</v>
      </c>
      <c r="W16" s="88">
        <f>SUM(U16:V16)</f>
        <v>-1.5916026024388019E-2</v>
      </c>
      <c r="X16" s="125">
        <f>W16*N16</f>
        <v>-1.4956736606174934</v>
      </c>
      <c r="Y16" s="125">
        <f>W16*P16</f>
        <v>-15.916026024388019</v>
      </c>
      <c r="Z16" s="124">
        <f>N16*Y16</f>
        <v>-1495.6736606174934</v>
      </c>
      <c r="AA16" s="124">
        <f>W16*Q16</f>
        <v>-15916.026024388018</v>
      </c>
      <c r="AB16" s="124">
        <f>N16*AA16</f>
        <v>-1495673.6606174933</v>
      </c>
      <c r="AC16" s="124"/>
      <c r="AD16" s="88">
        <v>-1.5916026024388021</v>
      </c>
      <c r="AE16" s="88">
        <f t="shared" si="1"/>
        <v>-1591.6026024388023</v>
      </c>
      <c r="AF16" s="126">
        <v>0.7</v>
      </c>
      <c r="AG16" s="124">
        <f>AF16*N16</f>
        <v>65.780965727750001</v>
      </c>
      <c r="AH16" s="124">
        <f t="shared" si="2"/>
        <v>65780.965727749994</v>
      </c>
      <c r="AI16" s="85">
        <v>2204.62</v>
      </c>
      <c r="AJ16" s="124">
        <f t="shared" si="3"/>
        <v>145022.03266271221</v>
      </c>
      <c r="AK16" s="124">
        <f>AG16*Y16</f>
        <v>-1046.9715624322455</v>
      </c>
      <c r="AL16" s="115"/>
      <c r="AM16" s="115"/>
      <c r="AN16" s="116">
        <v>0.35</v>
      </c>
      <c r="AO16" s="102">
        <f t="shared" si="5"/>
        <v>50757.711431949268</v>
      </c>
    </row>
    <row r="17" spans="1:41" ht="30.75">
      <c r="A17" s="122" t="s">
        <v>80</v>
      </c>
      <c r="B17" s="122">
        <v>11013000</v>
      </c>
      <c r="C17" s="122">
        <v>2023002</v>
      </c>
      <c r="D17" s="123" t="s">
        <v>42</v>
      </c>
      <c r="E17" s="81" t="s">
        <v>44</v>
      </c>
      <c r="F17" s="82">
        <v>1</v>
      </c>
      <c r="G17" s="82">
        <v>1</v>
      </c>
      <c r="H17" s="82">
        <v>42</v>
      </c>
      <c r="I17" s="82">
        <v>90</v>
      </c>
      <c r="J17" s="73">
        <f t="shared" si="4"/>
        <v>3780</v>
      </c>
      <c r="K17" s="83">
        <f>L17/H17</f>
        <v>82.212261904761903</v>
      </c>
      <c r="L17" s="84">
        <f>6905.83 /2</f>
        <v>3452.915</v>
      </c>
      <c r="M17" s="84">
        <f>O17*L17</f>
        <v>93972.808182499997</v>
      </c>
      <c r="N17" s="105">
        <f>M17/P17</f>
        <v>93.972808182500003</v>
      </c>
      <c r="O17" s="105">
        <v>27.215499999999999</v>
      </c>
      <c r="P17" s="84">
        <v>1000</v>
      </c>
      <c r="Q17" s="84">
        <v>1000000</v>
      </c>
      <c r="R17" s="82">
        <v>-0.61792857142857138</v>
      </c>
      <c r="S17" s="85">
        <v>0.67331071428571421</v>
      </c>
      <c r="T17" s="88">
        <f>SUM(R17:S17)</f>
        <v>5.5382142857142824E-2</v>
      </c>
      <c r="U17" s="86">
        <v>-0.27622248158440044</v>
      </c>
      <c r="V17" s="87">
        <v>0.30097905320576956</v>
      </c>
      <c r="W17" s="88">
        <f>SUM(U17:V17)</f>
        <v>2.4756571621369128E-2</v>
      </c>
      <c r="X17" s="125">
        <f>W17*N17</f>
        <v>2.3264445562312441</v>
      </c>
      <c r="Y17" s="125">
        <f>W17*P17</f>
        <v>24.756571621369126</v>
      </c>
      <c r="Z17" s="124">
        <f>N17*Y17</f>
        <v>2326.444556231244</v>
      </c>
      <c r="AA17" s="124">
        <f>W17*Q17</f>
        <v>24756.571621369127</v>
      </c>
      <c r="AB17" s="124">
        <f>N17*AA17</f>
        <v>2326444.556231244</v>
      </c>
      <c r="AC17" s="124"/>
      <c r="AD17" s="88">
        <v>2.4756571621369128</v>
      </c>
      <c r="AE17" s="88">
        <f t="shared" si="1"/>
        <v>2475.6571621369126</v>
      </c>
      <c r="AF17" s="126">
        <v>0.7</v>
      </c>
      <c r="AG17" s="124">
        <f>AF17*N17</f>
        <v>65.780965727750001</v>
      </c>
      <c r="AH17" s="124">
        <f t="shared" si="2"/>
        <v>65780.965727749994</v>
      </c>
      <c r="AI17" s="85">
        <v>2204.62</v>
      </c>
      <c r="AJ17" s="124">
        <f t="shared" si="3"/>
        <v>145022.03266271221</v>
      </c>
      <c r="AK17" s="124">
        <f>AG17*Y17</f>
        <v>1628.5111893618707</v>
      </c>
      <c r="AL17" s="115"/>
      <c r="AM17" s="115"/>
      <c r="AN17" s="116">
        <v>0.27</v>
      </c>
      <c r="AO17" s="102">
        <f t="shared" si="5"/>
        <v>39155.948818932302</v>
      </c>
    </row>
    <row r="18" spans="1:41" ht="30.75">
      <c r="A18" s="122" t="s">
        <v>80</v>
      </c>
      <c r="B18" s="122">
        <v>11013000</v>
      </c>
      <c r="C18" s="122">
        <v>2023002</v>
      </c>
      <c r="D18" s="123" t="s">
        <v>45</v>
      </c>
      <c r="E18" s="127" t="s">
        <v>46</v>
      </c>
      <c r="F18" s="82">
        <v>1</v>
      </c>
      <c r="G18" s="82">
        <v>1</v>
      </c>
      <c r="H18" s="82">
        <v>40</v>
      </c>
      <c r="I18" s="82">
        <v>90</v>
      </c>
      <c r="J18" s="73">
        <f t="shared" si="4"/>
        <v>3600</v>
      </c>
      <c r="K18" s="83">
        <f>L18/H18</f>
        <v>109.16749999999999</v>
      </c>
      <c r="L18" s="84">
        <v>4366.7</v>
      </c>
      <c r="M18" s="84">
        <f>O18*L18</f>
        <v>118841.92384999999</v>
      </c>
      <c r="N18" s="105">
        <f>M18/P18</f>
        <v>118.84192384999999</v>
      </c>
      <c r="O18" s="105">
        <v>27.215499999999999</v>
      </c>
      <c r="P18" s="84">
        <v>1000</v>
      </c>
      <c r="Q18" s="84">
        <v>1000000</v>
      </c>
      <c r="R18" s="82">
        <v>-0.64017499999999994</v>
      </c>
      <c r="S18" s="85">
        <v>0.56574050000000009</v>
      </c>
      <c r="T18" s="88">
        <f>SUM(R18:S18)</f>
        <v>-7.4434499999999848E-2</v>
      </c>
      <c r="U18" s="86">
        <v>-0.21550764879657408</v>
      </c>
      <c r="V18" s="87">
        <v>0.19045011908306048</v>
      </c>
      <c r="W18" s="88">
        <f>SUM(U18:V18)</f>
        <v>-2.5057529713513604E-2</v>
      </c>
      <c r="X18" s="125">
        <f>W18*N18</f>
        <v>-2.9778850380824959</v>
      </c>
      <c r="Y18" s="125">
        <f>W18*P18</f>
        <v>-25.057529713513603</v>
      </c>
      <c r="Z18" s="124">
        <f>N18*Y18</f>
        <v>-2977.8850380824956</v>
      </c>
      <c r="AA18" s="124">
        <f>W18*Q18</f>
        <v>-25057.529713513606</v>
      </c>
      <c r="AB18" s="124">
        <f>N18*AA18</f>
        <v>-2977885.0380824958</v>
      </c>
      <c r="AC18" s="124"/>
      <c r="AD18" s="88">
        <v>-2.5057529713513604</v>
      </c>
      <c r="AE18" s="88">
        <f t="shared" si="1"/>
        <v>-2505.7529713513604</v>
      </c>
      <c r="AF18" s="126">
        <v>0.7</v>
      </c>
      <c r="AG18" s="124">
        <f>AF18*N18</f>
        <v>83.189346694999983</v>
      </c>
      <c r="AH18" s="124">
        <f t="shared" si="2"/>
        <v>83189.346694999986</v>
      </c>
      <c r="AI18" s="85">
        <v>2204.62</v>
      </c>
      <c r="AJ18" s="124">
        <f t="shared" si="3"/>
        <v>183400.89751073087</v>
      </c>
      <c r="AK18" s="124">
        <f>AG18*Y18</f>
        <v>-2084.5195266577466</v>
      </c>
      <c r="AL18" s="115"/>
      <c r="AM18" s="115"/>
      <c r="AN18" s="116">
        <v>0.35</v>
      </c>
      <c r="AO18" s="102">
        <f t="shared" si="5"/>
        <v>64190.314128755796</v>
      </c>
    </row>
    <row r="19" spans="1:41">
      <c r="K19" s="9"/>
      <c r="L19" s="11"/>
      <c r="M19" s="11"/>
      <c r="N19" s="11"/>
      <c r="O19" s="11"/>
      <c r="P19" s="11"/>
      <c r="Q19" s="11"/>
      <c r="R19" s="9"/>
      <c r="S19" s="9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H19" s="62"/>
      <c r="AI19" s="31"/>
      <c r="AJ19" s="62"/>
    </row>
    <row r="20" spans="1:41">
      <c r="AF20"/>
      <c r="AG20"/>
      <c r="AH20"/>
      <c r="AI20"/>
      <c r="AJ20"/>
    </row>
    <row r="21" spans="1:41">
      <c r="Y21" s="13"/>
      <c r="Z21" s="13"/>
      <c r="AA21" s="13"/>
      <c r="AB21" s="13"/>
      <c r="AC21" s="13"/>
      <c r="AD21" s="13"/>
      <c r="AE21" s="13"/>
    </row>
    <row r="22" spans="1:41" ht="15.75">
      <c r="Y22" s="8"/>
      <c r="Z22" s="8"/>
      <c r="AA22" s="8"/>
      <c r="AB22" s="8"/>
      <c r="AC22" s="8"/>
      <c r="AD22" s="8"/>
      <c r="AE22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D9FE-FD47-4050-9B1B-312D5B74F2E4}">
  <dimension ref="A1:AK4"/>
  <sheetViews>
    <sheetView workbookViewId="0">
      <selection activeCell="AA5" sqref="AA5"/>
    </sheetView>
  </sheetViews>
  <sheetFormatPr defaultRowHeight="15"/>
  <cols>
    <col min="1" max="1" width="22.42578125" bestFit="1" customWidth="1"/>
    <col min="2" max="2" width="9.28515625" bestFit="1" customWidth="1"/>
    <col min="3" max="3" width="8.28515625" customWidth="1"/>
    <col min="4" max="4" width="7.7109375" hidden="1" customWidth="1"/>
    <col min="5" max="5" width="6.28515625" hidden="1" customWidth="1"/>
    <col min="6" max="6" width="8.42578125" hidden="1" customWidth="1"/>
    <col min="7" max="7" width="8.5703125" hidden="1" customWidth="1"/>
    <col min="8" max="8" width="5.85546875" hidden="1" customWidth="1"/>
    <col min="9" max="9" width="7.28515625" hidden="1" customWidth="1"/>
    <col min="10" max="10" width="8.42578125" hidden="1" customWidth="1"/>
    <col min="11" max="12" width="14.28515625" hidden="1" customWidth="1"/>
    <col min="13" max="13" width="14.28515625" customWidth="1"/>
    <col min="14" max="22" width="14.28515625" hidden="1" customWidth="1"/>
    <col min="23" max="23" width="5.5703125" hidden="1" customWidth="1"/>
    <col min="24" max="24" width="8.85546875" bestFit="1" customWidth="1"/>
    <col min="25" max="25" width="8" hidden="1" customWidth="1"/>
    <col min="26" max="26" width="8.140625" hidden="1" customWidth="1"/>
    <col min="27" max="27" width="8.85546875" bestFit="1" customWidth="1"/>
    <col min="28" max="28" width="8.85546875" hidden="1" customWidth="1"/>
    <col min="29" max="29" width="12.5703125" customWidth="1"/>
    <col min="31" max="31" width="9.7109375" bestFit="1" customWidth="1"/>
  </cols>
  <sheetData>
    <row r="1" spans="1:37" ht="90">
      <c r="A1" s="69" t="s">
        <v>64</v>
      </c>
      <c r="B1" s="69" t="s">
        <v>65</v>
      </c>
      <c r="C1" s="70" t="s">
        <v>66</v>
      </c>
      <c r="D1" s="70" t="s">
        <v>0</v>
      </c>
      <c r="E1" s="70" t="s">
        <v>1</v>
      </c>
      <c r="F1" s="70" t="s">
        <v>2</v>
      </c>
      <c r="G1" s="70" t="s">
        <v>3</v>
      </c>
      <c r="H1" s="70" t="s">
        <v>67</v>
      </c>
      <c r="I1" s="70" t="s">
        <v>5</v>
      </c>
      <c r="J1" s="70" t="s">
        <v>6</v>
      </c>
      <c r="K1" s="65" t="s">
        <v>7</v>
      </c>
      <c r="L1" s="65" t="s">
        <v>8</v>
      </c>
      <c r="M1" s="66" t="s">
        <v>9</v>
      </c>
      <c r="N1" s="65" t="s">
        <v>72</v>
      </c>
      <c r="O1" s="65" t="s">
        <v>11</v>
      </c>
      <c r="P1" s="65" t="s">
        <v>12</v>
      </c>
      <c r="Q1" s="65" t="s">
        <v>13</v>
      </c>
      <c r="R1" s="65" t="s">
        <v>14</v>
      </c>
      <c r="S1" s="65" t="s">
        <v>15</v>
      </c>
      <c r="T1" s="65" t="s">
        <v>16</v>
      </c>
      <c r="U1" s="65" t="s">
        <v>17</v>
      </c>
      <c r="V1" s="65" t="s">
        <v>18</v>
      </c>
      <c r="W1" s="67" t="s">
        <v>19</v>
      </c>
      <c r="X1" s="67" t="s">
        <v>20</v>
      </c>
      <c r="Y1" s="68" t="s">
        <v>21</v>
      </c>
      <c r="Z1" s="67" t="s">
        <v>22</v>
      </c>
      <c r="AA1" s="67" t="s">
        <v>23</v>
      </c>
      <c r="AB1" s="68" t="s">
        <v>78</v>
      </c>
      <c r="AC1" s="68" t="s">
        <v>81</v>
      </c>
      <c r="AG1" s="100" t="s">
        <v>82</v>
      </c>
      <c r="AH1" s="101"/>
      <c r="AI1" s="101"/>
      <c r="AJ1" s="101"/>
      <c r="AK1" s="101"/>
    </row>
    <row r="2" spans="1:37">
      <c r="A2" t="s">
        <v>80</v>
      </c>
      <c r="B2">
        <v>11013000</v>
      </c>
      <c r="C2">
        <v>2023001</v>
      </c>
      <c r="M2" s="71" t="s">
        <v>83</v>
      </c>
      <c r="X2" s="71" t="s">
        <v>83</v>
      </c>
      <c r="AA2" s="71" t="s">
        <v>83</v>
      </c>
      <c r="AC2" s="71" t="s">
        <v>83</v>
      </c>
    </row>
    <row r="3" spans="1:37">
      <c r="A3" t="s">
        <v>80</v>
      </c>
      <c r="B3">
        <v>11013000</v>
      </c>
      <c r="C3">
        <v>2023002</v>
      </c>
      <c r="M3" s="71" t="s">
        <v>83</v>
      </c>
      <c r="X3" s="71" t="s">
        <v>83</v>
      </c>
      <c r="AA3" s="71" t="s">
        <v>83</v>
      </c>
      <c r="AC3" s="71" t="s">
        <v>83</v>
      </c>
    </row>
    <row r="4" spans="1:37">
      <c r="A4" t="s">
        <v>80</v>
      </c>
      <c r="B4">
        <v>11013000</v>
      </c>
      <c r="C4">
        <v>2023003</v>
      </c>
      <c r="M4" s="71" t="s">
        <v>83</v>
      </c>
      <c r="X4" s="71" t="s">
        <v>83</v>
      </c>
      <c r="AA4" s="71" t="s">
        <v>83</v>
      </c>
      <c r="AC4" s="7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D016-CC18-42A6-888F-C1826BE155EB}">
  <dimension ref="G3:R21"/>
  <sheetViews>
    <sheetView workbookViewId="0"/>
  </sheetViews>
  <sheetFormatPr defaultRowHeight="15"/>
  <sheetData>
    <row r="3" spans="7:18">
      <c r="H3">
        <v>134000</v>
      </c>
    </row>
    <row r="4" spans="7:18">
      <c r="H4">
        <v>6000</v>
      </c>
    </row>
    <row r="5" spans="7:18">
      <c r="H5">
        <f>H3/H4</f>
        <v>22.333333333333332</v>
      </c>
    </row>
    <row r="8" spans="7:18">
      <c r="G8">
        <v>55</v>
      </c>
      <c r="H8" t="s">
        <v>84</v>
      </c>
      <c r="I8">
        <v>1</v>
      </c>
      <c r="J8" t="s">
        <v>85</v>
      </c>
      <c r="K8">
        <f>I8*G8</f>
        <v>55</v>
      </c>
      <c r="L8" t="s">
        <v>84</v>
      </c>
      <c r="M8">
        <f>K8/(K10/M10)</f>
        <v>5.5E-2</v>
      </c>
      <c r="N8" t="s">
        <v>84</v>
      </c>
      <c r="O8">
        <v>1000</v>
      </c>
      <c r="P8" t="s">
        <v>86</v>
      </c>
      <c r="Q8">
        <f>O8*M8</f>
        <v>55</v>
      </c>
      <c r="R8" t="s">
        <v>86</v>
      </c>
    </row>
    <row r="10" spans="7:18">
      <c r="G10">
        <v>1</v>
      </c>
      <c r="H10" t="s">
        <v>85</v>
      </c>
      <c r="I10">
        <v>1000</v>
      </c>
      <c r="J10" t="s">
        <v>84</v>
      </c>
      <c r="K10">
        <f>I10*G10</f>
        <v>1000</v>
      </c>
      <c r="L10" t="s">
        <v>84</v>
      </c>
      <c r="M10">
        <v>1</v>
      </c>
      <c r="N10" t="s">
        <v>84</v>
      </c>
      <c r="O10">
        <v>1</v>
      </c>
      <c r="P10" t="s">
        <v>84</v>
      </c>
      <c r="Q10">
        <f>O10*M10</f>
        <v>1</v>
      </c>
      <c r="R10" t="s">
        <v>84</v>
      </c>
    </row>
    <row r="14" spans="7:18">
      <c r="G14">
        <v>55</v>
      </c>
      <c r="H14" t="s">
        <v>84</v>
      </c>
      <c r="I14">
        <v>1</v>
      </c>
      <c r="J14" t="s">
        <v>85</v>
      </c>
      <c r="K14">
        <f>I14*G14</f>
        <v>55</v>
      </c>
      <c r="L14" t="s">
        <v>84</v>
      </c>
      <c r="M14">
        <f>K14/(K16/M16)</f>
        <v>5.5E-2</v>
      </c>
      <c r="N14" t="s">
        <v>84</v>
      </c>
      <c r="O14">
        <v>1000</v>
      </c>
      <c r="P14" t="s">
        <v>86</v>
      </c>
      <c r="Q14">
        <f>O14*M14</f>
        <v>55</v>
      </c>
      <c r="R14" t="s">
        <v>86</v>
      </c>
    </row>
    <row r="16" spans="7:18">
      <c r="G16">
        <v>1</v>
      </c>
      <c r="H16" t="s">
        <v>85</v>
      </c>
      <c r="I16">
        <v>1000</v>
      </c>
      <c r="J16" t="s">
        <v>84</v>
      </c>
      <c r="K16">
        <f>I16*G16</f>
        <v>1000</v>
      </c>
      <c r="L16" t="s">
        <v>84</v>
      </c>
      <c r="M16">
        <v>1</v>
      </c>
      <c r="N16" t="s">
        <v>84</v>
      </c>
      <c r="O16">
        <v>1</v>
      </c>
      <c r="P16" t="s">
        <v>84</v>
      </c>
      <c r="Q16">
        <f>O16*M16</f>
        <v>1</v>
      </c>
      <c r="R16" t="s">
        <v>84</v>
      </c>
    </row>
    <row r="19" spans="7:18">
      <c r="G19">
        <v>5.5100000000000003E-2</v>
      </c>
      <c r="H19" t="s">
        <v>85</v>
      </c>
      <c r="I19">
        <v>1000</v>
      </c>
      <c r="J19" t="s">
        <v>84</v>
      </c>
      <c r="K19">
        <f>I19*G19</f>
        <v>55.1</v>
      </c>
      <c r="L19" t="s">
        <v>84</v>
      </c>
      <c r="M19">
        <f>K19/(K21/M21)</f>
        <v>55.1</v>
      </c>
      <c r="N19" t="s">
        <v>84</v>
      </c>
      <c r="O19">
        <v>1000</v>
      </c>
      <c r="P19" t="s">
        <v>86</v>
      </c>
      <c r="Q19">
        <f>O19*M19</f>
        <v>55100</v>
      </c>
      <c r="R19" t="s">
        <v>86</v>
      </c>
    </row>
    <row r="21" spans="7:18">
      <c r="G21">
        <v>1</v>
      </c>
      <c r="H21" t="s">
        <v>85</v>
      </c>
      <c r="I21">
        <v>1</v>
      </c>
      <c r="J21" t="s">
        <v>85</v>
      </c>
      <c r="K21">
        <f>I21*G21</f>
        <v>1</v>
      </c>
      <c r="L21" t="s">
        <v>85</v>
      </c>
      <c r="M21">
        <v>1</v>
      </c>
      <c r="N21" t="s">
        <v>84</v>
      </c>
      <c r="O21">
        <v>1</v>
      </c>
      <c r="P21" t="s">
        <v>84</v>
      </c>
      <c r="Q21">
        <f>O21*M21</f>
        <v>1</v>
      </c>
      <c r="R2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2023-10-04T13:28:06Z</dcterms:created>
  <dc:creator>Hallie Johnson</dc:creator>
  <dcterms:modified xsi:type="dcterms:W3CDTF">2023-12-07T22:50:41Z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7a7fde-2b38-44f3-8306-ad07fa54811f_Enabled">
    <vt:lpwstr>true</vt:lpwstr>
  </property>
  <property fmtid="{D5CDD505-2E9C-101B-9397-08002B2CF9AE}" pid="3" name="MSIP_Label_9f7a7fde-2b38-44f3-8306-ad07fa54811f_SetDate">
    <vt:lpwstr>2023-10-04T13:29:11Z</vt:lpwstr>
  </property>
  <property fmtid="{D5CDD505-2E9C-101B-9397-08002B2CF9AE}" pid="4" name="MSIP_Label_9f7a7fde-2b38-44f3-8306-ad07fa54811f_Method">
    <vt:lpwstr>Standard</vt:lpwstr>
  </property>
  <property fmtid="{D5CDD505-2E9C-101B-9397-08002B2CF9AE}" pid="5" name="MSIP_Label_9f7a7fde-2b38-44f3-8306-ad07fa54811f_Name">
    <vt:lpwstr>Internal</vt:lpwstr>
  </property>
  <property fmtid="{D5CDD505-2E9C-101B-9397-08002B2CF9AE}" pid="6" name="MSIP_Label_9f7a7fde-2b38-44f3-8306-ad07fa54811f_SiteId">
    <vt:lpwstr>834f82e2-aa2c-42b7-955b-8afc84e64d27</vt:lpwstr>
  </property>
  <property fmtid="{D5CDD505-2E9C-101B-9397-08002B2CF9AE}" pid="7" name="MSIP_Label_9f7a7fde-2b38-44f3-8306-ad07fa54811f_ActionId">
    <vt:lpwstr>96081bb2-b3a2-4b92-a078-2c6107a4efb1</vt:lpwstr>
  </property>
  <property fmtid="{D5CDD505-2E9C-101B-9397-08002B2CF9AE}" pid="8" name="MSIP_Label_9f7a7fde-2b38-44f3-8306-ad07fa54811f_ContentBits">
    <vt:lpwstr>0</vt:lpwstr>
  </property>
</Properties>
</file>