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eji/Desktop/raissa/coronavirus-data/other/"/>
    </mc:Choice>
  </mc:AlternateContent>
  <xr:revisionPtr revIDLastSave="0" documentId="13_ncr:1_{6AE09E5E-C589-4747-89C1-4BDFBF0B3F25}" xr6:coauthVersionLast="45" xr6:coauthVersionMax="45" xr10:uidLastSave="{00000000-0000-0000-0000-000000000000}"/>
  <bookViews>
    <workbookView xWindow="640" yWindow="460" windowWidth="27000" windowHeight="16500" xr2:uid="{50568A54-C490-204A-AE24-4B69BA545E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M242" i="1" l="1"/>
  <c r="DM239" i="1"/>
  <c r="DM240" i="1"/>
  <c r="DM241" i="1"/>
  <c r="DM238" i="1"/>
  <c r="DL239" i="1"/>
  <c r="DL240" i="1"/>
  <c r="DL241" i="1"/>
  <c r="DL242" i="1"/>
  <c r="DL243" i="1"/>
  <c r="DL238" i="1"/>
  <c r="DK239" i="1"/>
  <c r="DK240" i="1"/>
  <c r="DK241" i="1"/>
  <c r="DK238" i="1"/>
  <c r="DJ239" i="1"/>
  <c r="DJ240" i="1"/>
  <c r="DJ241" i="1"/>
  <c r="DJ242" i="1"/>
  <c r="DJ243" i="1"/>
  <c r="DJ238" i="1"/>
  <c r="DI240" i="1"/>
  <c r="DI241" i="1"/>
  <c r="DI242" i="1"/>
  <c r="DI243" i="1"/>
  <c r="DI239" i="1"/>
  <c r="DH239" i="1"/>
  <c r="DH240" i="1"/>
  <c r="DH241" i="1"/>
  <c r="DH242" i="1"/>
  <c r="DH243" i="1"/>
  <c r="DH238" i="1"/>
  <c r="DA239" i="1"/>
  <c r="DA240" i="1"/>
  <c r="DA241" i="1"/>
  <c r="DA242" i="1"/>
  <c r="DA238" i="1"/>
  <c r="CV240" i="1"/>
  <c r="CV241" i="1"/>
  <c r="CQ239" i="1"/>
  <c r="CQ240" i="1"/>
  <c r="CQ241" i="1"/>
  <c r="CQ242" i="1"/>
  <c r="CQ243" i="1"/>
  <c r="CL239" i="1"/>
  <c r="CL240" i="1"/>
  <c r="CL241" i="1"/>
  <c r="CL242" i="1"/>
  <c r="CL243" i="1"/>
  <c r="CL238" i="1"/>
  <c r="CG239" i="1"/>
  <c r="CG240" i="1"/>
  <c r="CG241" i="1"/>
  <c r="CG242" i="1"/>
  <c r="CG243" i="1"/>
  <c r="CG238" i="1"/>
  <c r="CZ239" i="1"/>
  <c r="CZ240" i="1"/>
  <c r="CZ241" i="1"/>
  <c r="CZ242" i="1"/>
  <c r="CZ243" i="1"/>
  <c r="CZ238" i="1"/>
  <c r="CU239" i="1"/>
  <c r="CU240" i="1"/>
  <c r="CU241" i="1"/>
  <c r="CU242" i="1"/>
  <c r="CU243" i="1"/>
  <c r="CU238" i="1"/>
  <c r="CP239" i="1"/>
  <c r="CP240" i="1"/>
  <c r="CP241" i="1"/>
  <c r="CP242" i="1"/>
  <c r="CP243" i="1"/>
  <c r="CP238" i="1"/>
  <c r="CK239" i="1"/>
  <c r="CK240" i="1"/>
  <c r="CK241" i="1"/>
  <c r="CK242" i="1"/>
  <c r="CK243" i="1"/>
  <c r="CK238" i="1"/>
  <c r="CF239" i="1"/>
  <c r="CF240" i="1"/>
  <c r="CF241" i="1"/>
  <c r="CF242" i="1"/>
  <c r="CF243" i="1"/>
  <c r="CF238" i="1"/>
  <c r="CB239" i="1"/>
  <c r="CB240" i="1"/>
  <c r="CB241" i="1"/>
  <c r="CB242" i="1"/>
  <c r="CB243" i="1"/>
  <c r="CB238" i="1"/>
  <c r="CA239" i="1" l="1"/>
  <c r="CA240" i="1"/>
  <c r="CA241" i="1"/>
  <c r="CA242" i="1"/>
  <c r="CA238" i="1"/>
  <c r="DA237" i="1" l="1"/>
  <c r="DA205" i="1"/>
  <c r="DA204" i="1"/>
  <c r="CG231" i="1"/>
  <c r="CG230" i="1"/>
  <c r="CG228" i="1"/>
  <c r="CB219" i="1"/>
  <c r="CB218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223" i="1"/>
  <c r="CZ224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203" i="1"/>
  <c r="CU204" i="1"/>
  <c r="CU205" i="1"/>
  <c r="CU206" i="1"/>
  <c r="CU207" i="1"/>
  <c r="CU208" i="1"/>
  <c r="CU209" i="1"/>
  <c r="CU210" i="1"/>
  <c r="CU211" i="1"/>
  <c r="CU214" i="1"/>
  <c r="CU215" i="1"/>
  <c r="CU216" i="1"/>
  <c r="CU217" i="1"/>
  <c r="CU218" i="1"/>
  <c r="CU219" i="1"/>
  <c r="CU220" i="1"/>
  <c r="CU221" i="1"/>
  <c r="CU222" i="1"/>
  <c r="CU223" i="1"/>
  <c r="CU224" i="1"/>
  <c r="CU225" i="1"/>
  <c r="CU226" i="1"/>
  <c r="CU227" i="1"/>
  <c r="CU228" i="1"/>
  <c r="CU229" i="1"/>
  <c r="CU230" i="1"/>
  <c r="CU231" i="1"/>
  <c r="CU232" i="1"/>
  <c r="CU233" i="1"/>
  <c r="CU234" i="1"/>
  <c r="CU235" i="1"/>
  <c r="CU236" i="1"/>
  <c r="CU237" i="1"/>
  <c r="CU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211" i="1"/>
  <c r="CP212" i="1"/>
  <c r="CP213" i="1"/>
  <c r="CP214" i="1"/>
  <c r="CP215" i="1"/>
  <c r="CP216" i="1"/>
  <c r="CP217" i="1"/>
  <c r="CP218" i="1"/>
  <c r="CP219" i="1"/>
  <c r="CP220" i="1"/>
  <c r="CP221" i="1"/>
  <c r="CP222" i="1"/>
  <c r="CP223" i="1"/>
  <c r="CP224" i="1"/>
  <c r="CP225" i="1"/>
  <c r="CP226" i="1"/>
  <c r="CP227" i="1"/>
  <c r="CP228" i="1"/>
  <c r="CP229" i="1"/>
  <c r="CP233" i="1"/>
  <c r="CP234" i="1"/>
  <c r="CP235" i="1"/>
  <c r="CP236" i="1"/>
  <c r="CP237" i="1"/>
  <c r="CP179" i="1"/>
  <c r="CK183" i="1"/>
  <c r="CK180" i="1"/>
  <c r="CK181" i="1"/>
  <c r="CK182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223" i="1"/>
  <c r="CK224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223" i="1"/>
  <c r="CA224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179" i="1"/>
  <c r="DM233" i="1" l="1"/>
  <c r="DM234" i="1"/>
  <c r="DM235" i="1"/>
  <c r="DM236" i="1"/>
  <c r="DL233" i="1"/>
  <c r="DL234" i="1"/>
  <c r="DL235" i="1"/>
  <c r="DL236" i="1"/>
  <c r="DL237" i="1"/>
  <c r="DK233" i="1"/>
  <c r="DK234" i="1"/>
  <c r="DK235" i="1"/>
  <c r="DK236" i="1"/>
  <c r="DK237" i="1"/>
  <c r="DJ233" i="1"/>
  <c r="DJ234" i="1"/>
  <c r="DJ235" i="1"/>
  <c r="DJ236" i="1"/>
  <c r="DJ237" i="1"/>
  <c r="DI233" i="1"/>
  <c r="DI234" i="1"/>
  <c r="DI235" i="1"/>
  <c r="DI236" i="1"/>
  <c r="DH233" i="1"/>
  <c r="DH234" i="1"/>
  <c r="DH235" i="1"/>
  <c r="DH236" i="1"/>
  <c r="DH237" i="1"/>
  <c r="DA199" i="1" l="1"/>
  <c r="DA200" i="1"/>
  <c r="DA201" i="1"/>
  <c r="DA202" i="1"/>
  <c r="DA203" i="1"/>
  <c r="DA206" i="1"/>
  <c r="DA207" i="1"/>
  <c r="DA208" i="1"/>
  <c r="DA209" i="1"/>
  <c r="DA210" i="1"/>
  <c r="DA211" i="1"/>
  <c r="DA214" i="1"/>
  <c r="DA215" i="1"/>
  <c r="DA216" i="1"/>
  <c r="DA217" i="1"/>
  <c r="DA218" i="1"/>
  <c r="DA219" i="1"/>
  <c r="DA220" i="1"/>
  <c r="DA221" i="1"/>
  <c r="DA222" i="1"/>
  <c r="DA223" i="1"/>
  <c r="DA224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1" i="1"/>
  <c r="CL202" i="1"/>
  <c r="CL203" i="1"/>
  <c r="CL204" i="1"/>
  <c r="CL205" i="1"/>
  <c r="CL206" i="1"/>
  <c r="CL207" i="1"/>
  <c r="CL208" i="1"/>
  <c r="CL209" i="1"/>
  <c r="CL210" i="1"/>
  <c r="CL211" i="1"/>
  <c r="CL212" i="1"/>
  <c r="CL215" i="1"/>
  <c r="CL216" i="1"/>
  <c r="CL217" i="1"/>
  <c r="CL218" i="1"/>
  <c r="CL219" i="1"/>
  <c r="CL220" i="1"/>
  <c r="CL221" i="1"/>
  <c r="CL222" i="1"/>
  <c r="CL223" i="1"/>
  <c r="CL224" i="1"/>
  <c r="CL225" i="1"/>
  <c r="CL226" i="1"/>
  <c r="CL227" i="1"/>
  <c r="CL228" i="1"/>
  <c r="CL229" i="1"/>
  <c r="CL230" i="1"/>
  <c r="CL231" i="1"/>
  <c r="CL232" i="1"/>
  <c r="CL233" i="1"/>
  <c r="CL234" i="1"/>
  <c r="CL235" i="1"/>
  <c r="CL236" i="1"/>
  <c r="CL237" i="1"/>
  <c r="CL179" i="1"/>
  <c r="CG229" i="1"/>
  <c r="CG232" i="1"/>
  <c r="CG233" i="1"/>
  <c r="CG234" i="1"/>
  <c r="CG235" i="1"/>
  <c r="CG236" i="1"/>
  <c r="CG23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5" i="1"/>
  <c r="CB216" i="1"/>
  <c r="CB217" i="1"/>
  <c r="CB220" i="1"/>
  <c r="CB221" i="1"/>
  <c r="CB222" i="1"/>
  <c r="CB223" i="1"/>
  <c r="CB224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BU237" i="1" l="1"/>
  <c r="BT237" i="1"/>
  <c r="BU236" i="1"/>
  <c r="BU235" i="1"/>
  <c r="CV235" i="1" s="1"/>
  <c r="BT235" i="1"/>
  <c r="BU234" i="1"/>
  <c r="BT234" i="1"/>
  <c r="CQ234" i="1" s="1"/>
  <c r="BU233" i="1"/>
  <c r="BU232" i="1"/>
  <c r="BT232" i="1"/>
  <c r="CQ233" i="1" s="1"/>
  <c r="BU231" i="1"/>
  <c r="BU230" i="1"/>
  <c r="BU229" i="1"/>
  <c r="BT229" i="1"/>
  <c r="BU228" i="1"/>
  <c r="CV228" i="1" s="1"/>
  <c r="BT228" i="1"/>
  <c r="CQ228" i="1" s="1"/>
  <c r="BU227" i="1"/>
  <c r="BT227" i="1"/>
  <c r="BU226" i="1"/>
  <c r="BT226" i="1"/>
  <c r="BR226" i="1"/>
  <c r="BU225" i="1"/>
  <c r="BT225" i="1"/>
  <c r="BR225" i="1"/>
  <c r="CG225" i="1" s="1"/>
  <c r="BU224" i="1"/>
  <c r="BT224" i="1"/>
  <c r="BU223" i="1"/>
  <c r="BT223" i="1"/>
  <c r="BR223" i="1"/>
  <c r="BU222" i="1"/>
  <c r="BT222" i="1"/>
  <c r="BR222" i="1"/>
  <c r="BU221" i="1"/>
  <c r="BT221" i="1"/>
  <c r="BR221" i="1"/>
  <c r="BU220" i="1"/>
  <c r="BT220" i="1"/>
  <c r="BR220" i="1"/>
  <c r="BU219" i="1"/>
  <c r="BT219" i="1"/>
  <c r="BR219" i="1"/>
  <c r="BU218" i="1"/>
  <c r="BT218" i="1"/>
  <c r="BR218" i="1"/>
  <c r="BU217" i="1"/>
  <c r="BT217" i="1"/>
  <c r="BR217" i="1"/>
  <c r="BU216" i="1"/>
  <c r="BT216" i="1"/>
  <c r="BR216" i="1"/>
  <c r="BU215" i="1"/>
  <c r="BT215" i="1"/>
  <c r="BR215" i="1"/>
  <c r="BU214" i="1"/>
  <c r="BT214" i="1"/>
  <c r="BR214" i="1"/>
  <c r="BU213" i="1"/>
  <c r="BT213" i="1"/>
  <c r="BS213" i="1"/>
  <c r="BR213" i="1"/>
  <c r="CG213" i="1" s="1"/>
  <c r="BQ213" i="1"/>
  <c r="BV212" i="1"/>
  <c r="BU212" i="1"/>
  <c r="BT212" i="1"/>
  <c r="BR212" i="1"/>
  <c r="BU211" i="1"/>
  <c r="CV211" i="1" s="1"/>
  <c r="BT211" i="1"/>
  <c r="BR211" i="1"/>
  <c r="BU210" i="1"/>
  <c r="BT210" i="1"/>
  <c r="BR210" i="1"/>
  <c r="BU209" i="1"/>
  <c r="BT209" i="1"/>
  <c r="BR209" i="1"/>
  <c r="BU208" i="1"/>
  <c r="CV208" i="1" s="1"/>
  <c r="BT208" i="1"/>
  <c r="BR208" i="1"/>
  <c r="BU207" i="1"/>
  <c r="BT207" i="1"/>
  <c r="CQ207" i="1" s="1"/>
  <c r="BR207" i="1"/>
  <c r="BU206" i="1"/>
  <c r="BT206" i="1"/>
  <c r="BR206" i="1"/>
  <c r="CG206" i="1" s="1"/>
  <c r="BU205" i="1"/>
  <c r="BT205" i="1"/>
  <c r="BR205" i="1"/>
  <c r="BU204" i="1"/>
  <c r="CV204" i="1" s="1"/>
  <c r="BT204" i="1"/>
  <c r="BR204" i="1"/>
  <c r="BU203" i="1"/>
  <c r="BT203" i="1"/>
  <c r="CQ203" i="1" s="1"/>
  <c r="BR203" i="1"/>
  <c r="BU202" i="1"/>
  <c r="BT202" i="1"/>
  <c r="BR202" i="1"/>
  <c r="CG202" i="1" s="1"/>
  <c r="BU201" i="1"/>
  <c r="BT201" i="1"/>
  <c r="BR201" i="1"/>
  <c r="BU200" i="1"/>
  <c r="CV200" i="1" s="1"/>
  <c r="BT200" i="1"/>
  <c r="BR200" i="1"/>
  <c r="BU199" i="1"/>
  <c r="CV199" i="1" s="1"/>
  <c r="BT199" i="1"/>
  <c r="CQ199" i="1" s="1"/>
  <c r="BR199" i="1"/>
  <c r="CG199" i="1" s="1"/>
  <c r="BT198" i="1"/>
  <c r="BR198" i="1"/>
  <c r="BV197" i="1"/>
  <c r="BU197" i="1"/>
  <c r="BT197" i="1"/>
  <c r="BR197" i="1"/>
  <c r="BV196" i="1"/>
  <c r="BU196" i="1"/>
  <c r="CV196" i="1" s="1"/>
  <c r="BT196" i="1"/>
  <c r="BR196" i="1"/>
  <c r="BQ196" i="1"/>
  <c r="BV195" i="1"/>
  <c r="DA195" i="1" s="1"/>
  <c r="BU195" i="1"/>
  <c r="BT195" i="1"/>
  <c r="BR195" i="1"/>
  <c r="BQ195" i="1"/>
  <c r="CB195" i="1" s="1"/>
  <c r="BV194" i="1"/>
  <c r="BU194" i="1"/>
  <c r="BT194" i="1"/>
  <c r="BR194" i="1"/>
  <c r="CG194" i="1" s="1"/>
  <c r="BQ194" i="1"/>
  <c r="BV193" i="1"/>
  <c r="BU193" i="1"/>
  <c r="BT193" i="1"/>
  <c r="CQ193" i="1" s="1"/>
  <c r="BR193" i="1"/>
  <c r="BQ193" i="1"/>
  <c r="BV192" i="1"/>
  <c r="BU192" i="1"/>
  <c r="CV192" i="1" s="1"/>
  <c r="BT192" i="1"/>
  <c r="BR192" i="1"/>
  <c r="BQ192" i="1"/>
  <c r="BV191" i="1"/>
  <c r="DA191" i="1" s="1"/>
  <c r="BU191" i="1"/>
  <c r="BT191" i="1"/>
  <c r="BR191" i="1"/>
  <c r="BQ191" i="1"/>
  <c r="CB191" i="1" s="1"/>
  <c r="BV190" i="1"/>
  <c r="BU190" i="1"/>
  <c r="BT190" i="1"/>
  <c r="BR190" i="1"/>
  <c r="CG190" i="1" s="1"/>
  <c r="BQ190" i="1"/>
  <c r="BV189" i="1"/>
  <c r="BU189" i="1"/>
  <c r="BT189" i="1"/>
  <c r="CQ189" i="1" s="1"/>
  <c r="BR189" i="1"/>
  <c r="BQ189" i="1"/>
  <c r="BV188" i="1"/>
  <c r="BU188" i="1"/>
  <c r="CV188" i="1" s="1"/>
  <c r="BT188" i="1"/>
  <c r="BR188" i="1"/>
  <c r="BQ188" i="1"/>
  <c r="BV187" i="1"/>
  <c r="DA187" i="1" s="1"/>
  <c r="BU187" i="1"/>
  <c r="BT187" i="1"/>
  <c r="BR187" i="1"/>
  <c r="BQ187" i="1"/>
  <c r="BV186" i="1"/>
  <c r="BU186" i="1"/>
  <c r="BT186" i="1"/>
  <c r="BR186" i="1"/>
  <c r="BQ186" i="1"/>
  <c r="BV185" i="1"/>
  <c r="BU185" i="1"/>
  <c r="BT185" i="1"/>
  <c r="BR185" i="1"/>
  <c r="BQ185" i="1"/>
  <c r="BV184" i="1"/>
  <c r="BU184" i="1"/>
  <c r="BT184" i="1"/>
  <c r="BR184" i="1"/>
  <c r="BQ184" i="1"/>
  <c r="BV183" i="1"/>
  <c r="BU183" i="1"/>
  <c r="BT183" i="1"/>
  <c r="BR183" i="1"/>
  <c r="BQ183" i="1"/>
  <c r="CB183" i="1" s="1"/>
  <c r="BV182" i="1"/>
  <c r="BU182" i="1"/>
  <c r="BT182" i="1"/>
  <c r="BR182" i="1"/>
  <c r="BQ182" i="1"/>
  <c r="BV181" i="1"/>
  <c r="BU181" i="1"/>
  <c r="BT181" i="1"/>
  <c r="BR181" i="1"/>
  <c r="BQ181" i="1"/>
  <c r="BV180" i="1"/>
  <c r="BU180" i="1"/>
  <c r="BT180" i="1"/>
  <c r="BR180" i="1"/>
  <c r="BQ180" i="1"/>
  <c r="BV179" i="1"/>
  <c r="DA179" i="1" s="1"/>
  <c r="BU179" i="1"/>
  <c r="CV179" i="1" s="1"/>
  <c r="BT179" i="1"/>
  <c r="CQ179" i="1" s="1"/>
  <c r="BR179" i="1"/>
  <c r="CG179" i="1" s="1"/>
  <c r="BQ179" i="1"/>
  <c r="CB179" i="1" s="1"/>
  <c r="CQ204" i="1" l="1"/>
  <c r="CQ212" i="1"/>
  <c r="CG222" i="1"/>
  <c r="CV230" i="1"/>
  <c r="CV233" i="1"/>
  <c r="CV214" i="1"/>
  <c r="CG216" i="1"/>
  <c r="CG210" i="1"/>
  <c r="CQ211" i="1"/>
  <c r="CQ214" i="1"/>
  <c r="CV215" i="1"/>
  <c r="CG217" i="1"/>
  <c r="CQ218" i="1"/>
  <c r="CV219" i="1"/>
  <c r="CG221" i="1"/>
  <c r="CQ222" i="1"/>
  <c r="CV223" i="1"/>
  <c r="CQ180" i="1"/>
  <c r="CG181" i="1"/>
  <c r="CB182" i="1"/>
  <c r="DA182" i="1"/>
  <c r="CV183" i="1"/>
  <c r="CQ184" i="1"/>
  <c r="CG185" i="1"/>
  <c r="CQ225" i="1"/>
  <c r="CV226" i="1"/>
  <c r="CB186" i="1"/>
  <c r="DA186" i="1"/>
  <c r="CV187" i="1"/>
  <c r="CV181" i="1"/>
  <c r="DA184" i="1"/>
  <c r="CG187" i="1"/>
  <c r="CV189" i="1"/>
  <c r="CB192" i="1"/>
  <c r="CQ194" i="1"/>
  <c r="CB197" i="1"/>
  <c r="CB196" i="1"/>
  <c r="CV231" i="1"/>
  <c r="CV236" i="1"/>
  <c r="CV197" i="1"/>
  <c r="CV198" i="1"/>
  <c r="DA180" i="1"/>
  <c r="CQ182" i="1"/>
  <c r="CB184" i="1"/>
  <c r="CQ186" i="1"/>
  <c r="CB188" i="1"/>
  <c r="DA188" i="1"/>
  <c r="CQ190" i="1"/>
  <c r="CG191" i="1"/>
  <c r="DA192" i="1"/>
  <c r="CV193" i="1"/>
  <c r="CG195" i="1"/>
  <c r="DA196" i="1"/>
  <c r="CQ237" i="1"/>
  <c r="CQ238" i="1"/>
  <c r="CB180" i="1"/>
  <c r="CG183" i="1"/>
  <c r="CV185" i="1"/>
  <c r="CQ188" i="1"/>
  <c r="CG189" i="1"/>
  <c r="CB190" i="1"/>
  <c r="DA190" i="1"/>
  <c r="CV191" i="1"/>
  <c r="CQ192" i="1"/>
  <c r="CG193" i="1"/>
  <c r="CB194" i="1"/>
  <c r="DA194" i="1"/>
  <c r="CV195" i="1"/>
  <c r="CQ196" i="1"/>
  <c r="CQ205" i="1"/>
  <c r="CB214" i="1"/>
  <c r="CB213" i="1"/>
  <c r="CG226" i="1"/>
  <c r="CG227" i="1"/>
  <c r="CV180" i="1"/>
  <c r="CQ181" i="1"/>
  <c r="CG182" i="1"/>
  <c r="DA183" i="1"/>
  <c r="CV184" i="1"/>
  <c r="CQ185" i="1"/>
  <c r="CG186" i="1"/>
  <c r="CB187" i="1"/>
  <c r="CQ200" i="1"/>
  <c r="CV201" i="1"/>
  <c r="CG203" i="1"/>
  <c r="CV205" i="1"/>
  <c r="CG207" i="1"/>
  <c r="CQ208" i="1"/>
  <c r="CV209" i="1"/>
  <c r="CG211" i="1"/>
  <c r="CG214" i="1"/>
  <c r="CQ215" i="1"/>
  <c r="CV216" i="1"/>
  <c r="CG218" i="1"/>
  <c r="CQ219" i="1"/>
  <c r="CV220" i="1"/>
  <c r="CQ223" i="1"/>
  <c r="CQ226" i="1"/>
  <c r="DA198" i="1"/>
  <c r="DA197" i="1"/>
  <c r="CL213" i="1"/>
  <c r="CL214" i="1"/>
  <c r="CG180" i="1"/>
  <c r="CB181" i="1"/>
  <c r="DA181" i="1"/>
  <c r="CV182" i="1"/>
  <c r="CQ183" i="1"/>
  <c r="CG184" i="1"/>
  <c r="CB185" i="1"/>
  <c r="DA185" i="1"/>
  <c r="CV186" i="1"/>
  <c r="CQ187" i="1"/>
  <c r="CG188" i="1"/>
  <c r="CB189" i="1"/>
  <c r="DA189" i="1"/>
  <c r="CV190" i="1"/>
  <c r="CQ191" i="1"/>
  <c r="CG192" i="1"/>
  <c r="CB193" i="1"/>
  <c r="DA193" i="1"/>
  <c r="CV194" i="1"/>
  <c r="CQ195" i="1"/>
  <c r="CG196" i="1"/>
  <c r="CG197" i="1"/>
  <c r="CG198" i="1"/>
  <c r="CG201" i="1"/>
  <c r="CQ202" i="1"/>
  <c r="CV203" i="1"/>
  <c r="CG205" i="1"/>
  <c r="CQ206" i="1"/>
  <c r="CV207" i="1"/>
  <c r="CG209" i="1"/>
  <c r="CQ210" i="1"/>
  <c r="DA212" i="1"/>
  <c r="DA213" i="1"/>
  <c r="CQ213" i="1"/>
  <c r="CQ217" i="1"/>
  <c r="CV218" i="1"/>
  <c r="CG220" i="1"/>
  <c r="CQ221" i="1"/>
  <c r="CV222" i="1"/>
  <c r="CQ224" i="1"/>
  <c r="CV225" i="1"/>
  <c r="CQ227" i="1"/>
  <c r="CQ229" i="1"/>
  <c r="CV234" i="1"/>
  <c r="CQ197" i="1"/>
  <c r="CQ198" i="1"/>
  <c r="CG200" i="1"/>
  <c r="CQ201" i="1"/>
  <c r="CV202" i="1"/>
  <c r="CG204" i="1"/>
  <c r="CV206" i="1"/>
  <c r="CG208" i="1"/>
  <c r="CQ209" i="1"/>
  <c r="CV210" i="1"/>
  <c r="CG212" i="1"/>
  <c r="CG215" i="1"/>
  <c r="CQ216" i="1"/>
  <c r="CV217" i="1"/>
  <c r="CG219" i="1"/>
  <c r="CQ220" i="1"/>
  <c r="CV221" i="1"/>
  <c r="CG223" i="1"/>
  <c r="CG224" i="1"/>
  <c r="CV224" i="1"/>
  <c r="CV227" i="1"/>
  <c r="CV229" i="1"/>
  <c r="CV232" i="1"/>
  <c r="CQ235" i="1"/>
  <c r="CQ236" i="1"/>
  <c r="CV237" i="1"/>
  <c r="T152" i="1" l="1"/>
  <c r="W56" i="1" l="1"/>
  <c r="X56" i="1"/>
  <c r="Y56" i="1"/>
  <c r="AA56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3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3" i="1"/>
  <c r="BA4" i="1"/>
  <c r="BA5" i="1"/>
  <c r="DM181" i="1" s="1"/>
  <c r="BA6" i="1"/>
  <c r="DM182" i="1" s="1"/>
  <c r="BA7" i="1"/>
  <c r="BA8" i="1"/>
  <c r="BA9" i="1"/>
  <c r="DM185" i="1" s="1"/>
  <c r="BA10" i="1"/>
  <c r="DM186" i="1" s="1"/>
  <c r="BA11" i="1"/>
  <c r="BA12" i="1"/>
  <c r="BA13" i="1"/>
  <c r="DM189" i="1" s="1"/>
  <c r="BA14" i="1"/>
  <c r="DM190" i="1" s="1"/>
  <c r="BA15" i="1"/>
  <c r="BA16" i="1"/>
  <c r="BA17" i="1"/>
  <c r="DM193" i="1" s="1"/>
  <c r="BA18" i="1"/>
  <c r="DM194" i="1" s="1"/>
  <c r="BA19" i="1"/>
  <c r="BA20" i="1"/>
  <c r="BA21" i="1"/>
  <c r="DM197" i="1" s="1"/>
  <c r="BA22" i="1"/>
  <c r="DM198" i="1" s="1"/>
  <c r="BA23" i="1"/>
  <c r="BA24" i="1"/>
  <c r="BA25" i="1"/>
  <c r="DM201" i="1" s="1"/>
  <c r="BA26" i="1"/>
  <c r="DM202" i="1" s="1"/>
  <c r="BA27" i="1"/>
  <c r="BA28" i="1"/>
  <c r="BA29" i="1"/>
  <c r="BA30" i="1"/>
  <c r="DM206" i="1" s="1"/>
  <c r="BA31" i="1"/>
  <c r="BA32" i="1"/>
  <c r="BA33" i="1"/>
  <c r="DM209" i="1" s="1"/>
  <c r="BA34" i="1"/>
  <c r="DM210" i="1" s="1"/>
  <c r="BA35" i="1"/>
  <c r="BA36" i="1"/>
  <c r="BA37" i="1"/>
  <c r="DM213" i="1" s="1"/>
  <c r="BA38" i="1"/>
  <c r="DM214" i="1" s="1"/>
  <c r="BA39" i="1"/>
  <c r="BA40" i="1"/>
  <c r="BA41" i="1"/>
  <c r="DM217" i="1" s="1"/>
  <c r="BA42" i="1"/>
  <c r="DM218" i="1" s="1"/>
  <c r="BA43" i="1"/>
  <c r="BA44" i="1"/>
  <c r="BA45" i="1"/>
  <c r="DM221" i="1" s="1"/>
  <c r="BA46" i="1"/>
  <c r="DM222" i="1" s="1"/>
  <c r="BA47" i="1"/>
  <c r="BA48" i="1"/>
  <c r="BA49" i="1"/>
  <c r="DM225" i="1" s="1"/>
  <c r="BA50" i="1"/>
  <c r="DM226" i="1" s="1"/>
  <c r="BA51" i="1"/>
  <c r="BA52" i="1"/>
  <c r="BA53" i="1"/>
  <c r="DM229" i="1" s="1"/>
  <c r="BA54" i="1"/>
  <c r="DM230" i="1" s="1"/>
  <c r="BA55" i="1"/>
  <c r="BA56" i="1"/>
  <c r="BA3" i="1"/>
  <c r="DM179" i="1" s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DL213" i="1" s="1"/>
  <c r="AR38" i="1"/>
  <c r="DL214" i="1" s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3" i="1"/>
  <c r="AQ4" i="1"/>
  <c r="DL180" i="1" s="1"/>
  <c r="AQ5" i="1"/>
  <c r="AQ6" i="1"/>
  <c r="AQ7" i="1"/>
  <c r="DL183" i="1" s="1"/>
  <c r="AQ8" i="1"/>
  <c r="DL184" i="1" s="1"/>
  <c r="AQ9" i="1"/>
  <c r="AQ10" i="1"/>
  <c r="AQ11" i="1"/>
  <c r="DL187" i="1" s="1"/>
  <c r="AQ12" i="1"/>
  <c r="DL188" i="1" s="1"/>
  <c r="AQ13" i="1"/>
  <c r="AQ14" i="1"/>
  <c r="AQ15" i="1"/>
  <c r="DL191" i="1" s="1"/>
  <c r="AQ16" i="1"/>
  <c r="DL192" i="1" s="1"/>
  <c r="AQ17" i="1"/>
  <c r="AQ18" i="1"/>
  <c r="AQ23" i="1"/>
  <c r="DL199" i="1" s="1"/>
  <c r="AQ24" i="1"/>
  <c r="DL200" i="1" s="1"/>
  <c r="AQ25" i="1"/>
  <c r="AQ26" i="1"/>
  <c r="AQ27" i="1"/>
  <c r="DL203" i="1" s="1"/>
  <c r="AQ28" i="1"/>
  <c r="DL204" i="1" s="1"/>
  <c r="AQ29" i="1"/>
  <c r="AQ30" i="1"/>
  <c r="AQ31" i="1"/>
  <c r="DL207" i="1" s="1"/>
  <c r="AQ32" i="1"/>
  <c r="DL208" i="1" s="1"/>
  <c r="AQ33" i="1"/>
  <c r="AQ34" i="1"/>
  <c r="AQ40" i="1"/>
  <c r="AQ41" i="1"/>
  <c r="DL217" i="1" s="1"/>
  <c r="AQ42" i="1"/>
  <c r="AQ43" i="1"/>
  <c r="AQ44" i="1"/>
  <c r="AQ45" i="1"/>
  <c r="AQ46" i="1"/>
  <c r="AQ47" i="1"/>
  <c r="AQ48" i="1"/>
  <c r="AQ49" i="1"/>
  <c r="DL225" i="1" s="1"/>
  <c r="AQ50" i="1"/>
  <c r="AQ51" i="1"/>
  <c r="AQ52" i="1"/>
  <c r="AQ53" i="1"/>
  <c r="DL229" i="1" s="1"/>
  <c r="AQ54" i="1"/>
  <c r="AQ55" i="1"/>
  <c r="AQ56" i="1"/>
  <c r="AQ3" i="1"/>
  <c r="DL179" i="1" s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3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DK200" i="1" s="1"/>
  <c r="AH25" i="1"/>
  <c r="DK201" i="1" s="1"/>
  <c r="AH26" i="1"/>
  <c r="AH27" i="1"/>
  <c r="AH30" i="1"/>
  <c r="AH31" i="1"/>
  <c r="AH32" i="1"/>
  <c r="AH33" i="1"/>
  <c r="AH34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3" i="1"/>
  <c r="AG4" i="1"/>
  <c r="DK180" i="1" s="1"/>
  <c r="AG5" i="1"/>
  <c r="AG6" i="1"/>
  <c r="AG7" i="1"/>
  <c r="AG10" i="1"/>
  <c r="DK186" i="1" s="1"/>
  <c r="AG11" i="1"/>
  <c r="AG12" i="1"/>
  <c r="DK188" i="1" s="1"/>
  <c r="AG13" i="1"/>
  <c r="DK189" i="1" s="1"/>
  <c r="AG14" i="1"/>
  <c r="DK190" i="1" s="1"/>
  <c r="AG15" i="1"/>
  <c r="AG16" i="1"/>
  <c r="DK192" i="1" s="1"/>
  <c r="AG17" i="1"/>
  <c r="DK193" i="1" s="1"/>
  <c r="AG18" i="1"/>
  <c r="DK194" i="1" s="1"/>
  <c r="AG19" i="1"/>
  <c r="AG20" i="1"/>
  <c r="DK196" i="1" s="1"/>
  <c r="AG21" i="1"/>
  <c r="DK197" i="1" s="1"/>
  <c r="AG22" i="1"/>
  <c r="DK198" i="1" s="1"/>
  <c r="AG26" i="1"/>
  <c r="AG27" i="1"/>
  <c r="AG28" i="1"/>
  <c r="AG29" i="1"/>
  <c r="AG30" i="1"/>
  <c r="AG31" i="1"/>
  <c r="AG32" i="1"/>
  <c r="AG33" i="1"/>
  <c r="DK209" i="1" s="1"/>
  <c r="AG34" i="1"/>
  <c r="AG35" i="1"/>
  <c r="AG36" i="1"/>
  <c r="AG37" i="1"/>
  <c r="DK213" i="1" s="1"/>
  <c r="AG38" i="1"/>
  <c r="AG39" i="1"/>
  <c r="AG40" i="1"/>
  <c r="AG41" i="1"/>
  <c r="DK217" i="1" s="1"/>
  <c r="AG42" i="1"/>
  <c r="AG43" i="1"/>
  <c r="AG44" i="1"/>
  <c r="AG45" i="1"/>
  <c r="DK221" i="1" s="1"/>
  <c r="AG46" i="1"/>
  <c r="AG49" i="1"/>
  <c r="AG50" i="1"/>
  <c r="AG51" i="1"/>
  <c r="DK227" i="1" s="1"/>
  <c r="AG52" i="1"/>
  <c r="AG53" i="1"/>
  <c r="AG54" i="1"/>
  <c r="AG55" i="1"/>
  <c r="DK231" i="1" s="1"/>
  <c r="AG56" i="1"/>
  <c r="AG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3" i="1"/>
  <c r="AA44" i="1"/>
  <c r="AA45" i="1"/>
  <c r="AA46" i="1"/>
  <c r="AA47" i="1"/>
  <c r="AA48" i="1"/>
  <c r="AA49" i="1"/>
  <c r="AA50" i="1"/>
  <c r="AA51" i="1"/>
  <c r="AA54" i="1"/>
  <c r="AA55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3" i="1"/>
  <c r="X54" i="1"/>
  <c r="X55" i="1"/>
  <c r="X3" i="1"/>
  <c r="W4" i="1"/>
  <c r="W5" i="1"/>
  <c r="DJ181" i="1" s="1"/>
  <c r="W6" i="1"/>
  <c r="W7" i="1"/>
  <c r="W8" i="1"/>
  <c r="W9" i="1"/>
  <c r="DJ185" i="1" s="1"/>
  <c r="W10" i="1"/>
  <c r="W11" i="1"/>
  <c r="W12" i="1"/>
  <c r="W13" i="1"/>
  <c r="DJ189" i="1" s="1"/>
  <c r="W14" i="1"/>
  <c r="W15" i="1"/>
  <c r="W16" i="1"/>
  <c r="W17" i="1"/>
  <c r="DJ193" i="1" s="1"/>
  <c r="W18" i="1"/>
  <c r="W19" i="1"/>
  <c r="W20" i="1"/>
  <c r="W21" i="1"/>
  <c r="DJ197" i="1" s="1"/>
  <c r="W22" i="1"/>
  <c r="W23" i="1"/>
  <c r="W24" i="1"/>
  <c r="W25" i="1"/>
  <c r="DJ201" i="1" s="1"/>
  <c r="W26" i="1"/>
  <c r="W27" i="1"/>
  <c r="W28" i="1"/>
  <c r="W29" i="1"/>
  <c r="DJ205" i="1" s="1"/>
  <c r="W30" i="1"/>
  <c r="W31" i="1"/>
  <c r="W32" i="1"/>
  <c r="W33" i="1"/>
  <c r="DJ209" i="1" s="1"/>
  <c r="W34" i="1"/>
  <c r="W35" i="1"/>
  <c r="W36" i="1"/>
  <c r="W37" i="1"/>
  <c r="DJ213" i="1" s="1"/>
  <c r="W38" i="1"/>
  <c r="W39" i="1"/>
  <c r="W40" i="1"/>
  <c r="W41" i="1"/>
  <c r="DJ217" i="1" s="1"/>
  <c r="W42" i="1"/>
  <c r="W43" i="1"/>
  <c r="W44" i="1"/>
  <c r="W45" i="1"/>
  <c r="DJ221" i="1" s="1"/>
  <c r="W46" i="1"/>
  <c r="W47" i="1"/>
  <c r="W48" i="1"/>
  <c r="W49" i="1"/>
  <c r="DJ225" i="1" s="1"/>
  <c r="W50" i="1"/>
  <c r="W51" i="1"/>
  <c r="W52" i="1"/>
  <c r="DJ228" i="1" s="1"/>
  <c r="W53" i="1"/>
  <c r="DJ229" i="1" s="1"/>
  <c r="W54" i="1"/>
  <c r="W55" i="1"/>
  <c r="W3" i="1"/>
  <c r="DJ179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2" i="1"/>
  <c r="P43" i="1"/>
  <c r="P44" i="1"/>
  <c r="P45" i="1"/>
  <c r="P46" i="1"/>
  <c r="P47" i="1"/>
  <c r="P48" i="1"/>
  <c r="P49" i="1"/>
  <c r="P50" i="1"/>
  <c r="P51" i="1"/>
  <c r="P52" i="1"/>
  <c r="P53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3" i="1"/>
  <c r="N51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52" i="1"/>
  <c r="N53" i="1"/>
  <c r="N54" i="1"/>
  <c r="N55" i="1"/>
  <c r="N56" i="1"/>
  <c r="N3" i="1"/>
  <c r="M4" i="1"/>
  <c r="DI180" i="1" s="1"/>
  <c r="M5" i="1"/>
  <c r="M6" i="1"/>
  <c r="M7" i="1"/>
  <c r="M8" i="1"/>
  <c r="DI184" i="1" s="1"/>
  <c r="M9" i="1"/>
  <c r="M10" i="1"/>
  <c r="M11" i="1"/>
  <c r="M12" i="1"/>
  <c r="DI188" i="1" s="1"/>
  <c r="M13" i="1"/>
  <c r="M14" i="1"/>
  <c r="M15" i="1"/>
  <c r="M16" i="1"/>
  <c r="DI192" i="1" s="1"/>
  <c r="M17" i="1"/>
  <c r="M18" i="1"/>
  <c r="M19" i="1"/>
  <c r="M20" i="1"/>
  <c r="DI196" i="1" s="1"/>
  <c r="M21" i="1"/>
  <c r="M22" i="1"/>
  <c r="M23" i="1"/>
  <c r="M24" i="1"/>
  <c r="DI200" i="1" s="1"/>
  <c r="M25" i="1"/>
  <c r="M26" i="1"/>
  <c r="M27" i="1"/>
  <c r="M28" i="1"/>
  <c r="DI204" i="1" s="1"/>
  <c r="M29" i="1"/>
  <c r="M30" i="1"/>
  <c r="M31" i="1"/>
  <c r="M32" i="1"/>
  <c r="DI208" i="1" s="1"/>
  <c r="M33" i="1"/>
  <c r="M34" i="1"/>
  <c r="M35" i="1"/>
  <c r="M36" i="1"/>
  <c r="DI212" i="1" s="1"/>
  <c r="M37" i="1"/>
  <c r="M38" i="1"/>
  <c r="M39" i="1"/>
  <c r="M40" i="1"/>
  <c r="M41" i="1"/>
  <c r="M42" i="1"/>
  <c r="M43" i="1"/>
  <c r="M44" i="1"/>
  <c r="DI220" i="1" s="1"/>
  <c r="M47" i="1"/>
  <c r="M48" i="1"/>
  <c r="M49" i="1"/>
  <c r="M50" i="1"/>
  <c r="M53" i="1"/>
  <c r="M54" i="1"/>
  <c r="M55" i="1"/>
  <c r="M56" i="1"/>
  <c r="DI232" i="1" s="1"/>
  <c r="M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3" i="1"/>
  <c r="E4" i="1"/>
  <c r="E5" i="1"/>
  <c r="E6" i="1"/>
  <c r="E8" i="1"/>
  <c r="E9" i="1"/>
  <c r="E10" i="1"/>
  <c r="E11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DH231" i="1" s="1"/>
  <c r="E5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C56" i="1"/>
  <c r="DH232" i="1" s="1"/>
  <c r="C4" i="1"/>
  <c r="C5" i="1"/>
  <c r="C6" i="1"/>
  <c r="C7" i="1"/>
  <c r="C8" i="1"/>
  <c r="C9" i="1"/>
  <c r="C10" i="1"/>
  <c r="C11" i="1"/>
  <c r="DH187" i="1" s="1"/>
  <c r="C12" i="1"/>
  <c r="C13" i="1"/>
  <c r="C14" i="1"/>
  <c r="C15" i="1"/>
  <c r="DH191" i="1" s="1"/>
  <c r="C16" i="1"/>
  <c r="C17" i="1"/>
  <c r="C18" i="1"/>
  <c r="C19" i="1"/>
  <c r="DH195" i="1" s="1"/>
  <c r="C22" i="1"/>
  <c r="C23" i="1"/>
  <c r="C24" i="1"/>
  <c r="C25" i="1"/>
  <c r="DH201" i="1" s="1"/>
  <c r="C26" i="1"/>
  <c r="C27" i="1"/>
  <c r="C28" i="1"/>
  <c r="C29" i="1"/>
  <c r="DH205" i="1" s="1"/>
  <c r="C30" i="1"/>
  <c r="C31" i="1"/>
  <c r="C32" i="1"/>
  <c r="C33" i="1"/>
  <c r="DH209" i="1" s="1"/>
  <c r="C34" i="1"/>
  <c r="C35" i="1"/>
  <c r="C36" i="1"/>
  <c r="C39" i="1"/>
  <c r="DH215" i="1" s="1"/>
  <c r="C40" i="1"/>
  <c r="C41" i="1"/>
  <c r="C42" i="1"/>
  <c r="C43" i="1"/>
  <c r="C44" i="1"/>
  <c r="C45" i="1"/>
  <c r="C46" i="1"/>
  <c r="C47" i="1"/>
  <c r="DH223" i="1" s="1"/>
  <c r="C48" i="1"/>
  <c r="C49" i="1"/>
  <c r="C50" i="1"/>
  <c r="C51" i="1"/>
  <c r="DH227" i="1" s="1"/>
  <c r="C52" i="1"/>
  <c r="C53" i="1"/>
  <c r="C54" i="1"/>
  <c r="C3" i="1"/>
  <c r="DH179" i="1" s="1"/>
  <c r="AG9" i="1"/>
  <c r="DK185" i="1" s="1"/>
  <c r="DJ231" i="1" l="1"/>
  <c r="DL231" i="1"/>
  <c r="DL227" i="1"/>
  <c r="DL223" i="1"/>
  <c r="DH226" i="1"/>
  <c r="DH204" i="1"/>
  <c r="DH190" i="1"/>
  <c r="DI219" i="1"/>
  <c r="DI203" i="1"/>
  <c r="DI191" i="1"/>
  <c r="DJ224" i="1"/>
  <c r="DJ220" i="1"/>
  <c r="DJ216" i="1"/>
  <c r="DJ212" i="1"/>
  <c r="DJ208" i="1"/>
  <c r="DJ204" i="1"/>
  <c r="DJ200" i="1"/>
  <c r="DJ196" i="1"/>
  <c r="DJ192" i="1"/>
  <c r="DJ188" i="1"/>
  <c r="DJ184" i="1"/>
  <c r="DJ180" i="1"/>
  <c r="DK230" i="1"/>
  <c r="DK226" i="1"/>
  <c r="DK220" i="1"/>
  <c r="DK216" i="1"/>
  <c r="DK208" i="1"/>
  <c r="DK183" i="1"/>
  <c r="DL232" i="1"/>
  <c r="DL228" i="1"/>
  <c r="DL224" i="1"/>
  <c r="DL220" i="1"/>
  <c r="DL216" i="1"/>
  <c r="DH212" i="1"/>
  <c r="DH200" i="1"/>
  <c r="DH186" i="1"/>
  <c r="DI215" i="1"/>
  <c r="DI199" i="1"/>
  <c r="DI187" i="1"/>
  <c r="DH221" i="1"/>
  <c r="DH211" i="1"/>
  <c r="DH199" i="1"/>
  <c r="DH185" i="1"/>
  <c r="DI224" i="1"/>
  <c r="DI210" i="1"/>
  <c r="DI198" i="1"/>
  <c r="DI182" i="1"/>
  <c r="DJ223" i="1"/>
  <c r="DJ211" i="1"/>
  <c r="DJ199" i="1"/>
  <c r="DJ187" i="1"/>
  <c r="DK229" i="1"/>
  <c r="DK219" i="1"/>
  <c r="DK182" i="1"/>
  <c r="DK224" i="1"/>
  <c r="DL210" i="1"/>
  <c r="DL206" i="1"/>
  <c r="DL202" i="1"/>
  <c r="DL194" i="1"/>
  <c r="DL190" i="1"/>
  <c r="DL186" i="1"/>
  <c r="DL182" i="1"/>
  <c r="DL212" i="1"/>
  <c r="DL196" i="1"/>
  <c r="DM232" i="1"/>
  <c r="DM228" i="1"/>
  <c r="DM224" i="1"/>
  <c r="DM220" i="1"/>
  <c r="DM216" i="1"/>
  <c r="DM212" i="1"/>
  <c r="DM208" i="1"/>
  <c r="DM200" i="1"/>
  <c r="DM192" i="1"/>
  <c r="DM188" i="1"/>
  <c r="DM184" i="1"/>
  <c r="DM180" i="1"/>
  <c r="DH230" i="1"/>
  <c r="DH222" i="1"/>
  <c r="DH208" i="1"/>
  <c r="DH194" i="1"/>
  <c r="DH182" i="1"/>
  <c r="DI211" i="1"/>
  <c r="DI207" i="1"/>
  <c r="DI195" i="1"/>
  <c r="DI183" i="1"/>
  <c r="DH229" i="1"/>
  <c r="DH225" i="1"/>
  <c r="DH217" i="1"/>
  <c r="DH207" i="1"/>
  <c r="DH203" i="1"/>
  <c r="DH193" i="1"/>
  <c r="DH189" i="1"/>
  <c r="DH181" i="1"/>
  <c r="DI218" i="1"/>
  <c r="DI214" i="1"/>
  <c r="DI206" i="1"/>
  <c r="DI202" i="1"/>
  <c r="DI194" i="1"/>
  <c r="DI190" i="1"/>
  <c r="DI186" i="1"/>
  <c r="DJ227" i="1"/>
  <c r="DJ219" i="1"/>
  <c r="DJ215" i="1"/>
  <c r="DJ207" i="1"/>
  <c r="DJ203" i="1"/>
  <c r="DJ195" i="1"/>
  <c r="DJ191" i="1"/>
  <c r="DJ183" i="1"/>
  <c r="DK179" i="1"/>
  <c r="DK225" i="1"/>
  <c r="DK215" i="1"/>
  <c r="DK207" i="1"/>
  <c r="DH228" i="1"/>
  <c r="DH224" i="1"/>
  <c r="DH220" i="1"/>
  <c r="DH216" i="1"/>
  <c r="DH210" i="1"/>
  <c r="DH206" i="1"/>
  <c r="DH202" i="1"/>
  <c r="DH198" i="1"/>
  <c r="DH192" i="1"/>
  <c r="DH184" i="1"/>
  <c r="DH180" i="1"/>
  <c r="DI179" i="1"/>
  <c r="DI229" i="1"/>
  <c r="DI223" i="1"/>
  <c r="DI213" i="1"/>
  <c r="DI209" i="1"/>
  <c r="DI205" i="1"/>
  <c r="DI201" i="1"/>
  <c r="DI197" i="1"/>
  <c r="DI193" i="1"/>
  <c r="DI189" i="1"/>
  <c r="DI185" i="1"/>
  <c r="DI181" i="1"/>
  <c r="DJ230" i="1"/>
  <c r="DJ226" i="1"/>
  <c r="DJ222" i="1"/>
  <c r="DJ218" i="1"/>
  <c r="DJ214" i="1"/>
  <c r="DJ210" i="1"/>
  <c r="DJ206" i="1"/>
  <c r="DJ202" i="1"/>
  <c r="DJ198" i="1"/>
  <c r="DJ194" i="1"/>
  <c r="DJ190" i="1"/>
  <c r="DJ186" i="1"/>
  <c r="DJ182" i="1"/>
  <c r="DK232" i="1"/>
  <c r="DK228" i="1"/>
  <c r="DK222" i="1"/>
  <c r="DK218" i="1"/>
  <c r="DK214" i="1"/>
  <c r="DK210" i="1"/>
  <c r="DK206" i="1"/>
  <c r="DK202" i="1"/>
  <c r="DK195" i="1"/>
  <c r="DK191" i="1"/>
  <c r="DK187" i="1"/>
  <c r="DK181" i="1"/>
  <c r="DK223" i="1"/>
  <c r="DK199" i="1"/>
  <c r="DL230" i="1"/>
  <c r="DL226" i="1"/>
  <c r="DL218" i="1"/>
  <c r="DL209" i="1"/>
  <c r="DL205" i="1"/>
  <c r="DL201" i="1"/>
  <c r="DL193" i="1"/>
  <c r="DL189" i="1"/>
  <c r="DL185" i="1"/>
  <c r="DL181" i="1"/>
  <c r="DL215" i="1"/>
  <c r="DL211" i="1"/>
  <c r="DM231" i="1"/>
  <c r="DM227" i="1"/>
  <c r="DM223" i="1"/>
  <c r="DM219" i="1"/>
  <c r="DM215" i="1"/>
  <c r="DM211" i="1"/>
  <c r="DM207" i="1"/>
  <c r="DM203" i="1"/>
  <c r="DM199" i="1"/>
  <c r="DM191" i="1"/>
  <c r="DM187" i="1"/>
  <c r="DM183" i="1"/>
  <c r="DJ232" i="1"/>
  <c r="AG8" i="1"/>
  <c r="DK184" i="1" s="1"/>
</calcChain>
</file>

<file path=xl/sharedStrings.xml><?xml version="1.0" encoding="utf-8"?>
<sst xmlns="http://schemas.openxmlformats.org/spreadsheetml/2006/main" count="74" uniqueCount="48">
  <si>
    <t>NEW YORK</t>
  </si>
  <si>
    <t>DATE</t>
  </si>
  <si>
    <t>QUEENS</t>
  </si>
  <si>
    <t>KINGS</t>
  </si>
  <si>
    <t>NASSAU</t>
  </si>
  <si>
    <t>BRONX</t>
  </si>
  <si>
    <t>SUFFOLK</t>
  </si>
  <si>
    <t>NEW JERSEY CASES BY COUNTY</t>
  </si>
  <si>
    <t>MASSACHUSETTS CASES BY COUNTY</t>
  </si>
  <si>
    <t>PENNSYLVANIA CASES BY COUNTY</t>
  </si>
  <si>
    <t>CALIFORNIA CASES BY COUNTY</t>
  </si>
  <si>
    <t>BERGEN</t>
  </si>
  <si>
    <t>HUDSON</t>
  </si>
  <si>
    <t>ESSEX</t>
  </si>
  <si>
    <t>UNION</t>
  </si>
  <si>
    <t>PASSAIC</t>
  </si>
  <si>
    <t>MIDDLESEX</t>
  </si>
  <si>
    <t>NORFOLK</t>
  </si>
  <si>
    <t>WORCESTER</t>
  </si>
  <si>
    <t>PHILADELPHIA</t>
  </si>
  <si>
    <t>MONTGOMERY</t>
  </si>
  <si>
    <t>DELEWARE</t>
  </si>
  <si>
    <t>LEHIGH</t>
  </si>
  <si>
    <t>BERKS</t>
  </si>
  <si>
    <t>LOS ANGELES</t>
  </si>
  <si>
    <t>SAN DIEGO</t>
  </si>
  <si>
    <t>RIVERSIDE</t>
  </si>
  <si>
    <t>SANTA CLARA</t>
  </si>
  <si>
    <t>ORANGE</t>
  </si>
  <si>
    <t>MICHIGAN</t>
  </si>
  <si>
    <t>WAYNE</t>
  </si>
  <si>
    <t>OAKLAND</t>
  </si>
  <si>
    <t>MACOMB</t>
  </si>
  <si>
    <t>GENESEE</t>
  </si>
  <si>
    <t>WASHTENAW</t>
  </si>
  <si>
    <t>NEW JERSEY</t>
  </si>
  <si>
    <t>MASSACHUSETTS</t>
  </si>
  <si>
    <t>PENNSYLVANIA</t>
  </si>
  <si>
    <t>CALIFORNIA</t>
  </si>
  <si>
    <t>POSITIVE TESTS</t>
  </si>
  <si>
    <t>TESTS CONDUCTED</t>
  </si>
  <si>
    <t>NY</t>
  </si>
  <si>
    <t>NJ</t>
  </si>
  <si>
    <t>MA</t>
  </si>
  <si>
    <t>MI</t>
  </si>
  <si>
    <t>PA</t>
  </si>
  <si>
    <t>CA</t>
  </si>
  <si>
    <t>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</si>
</sst>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" fontId="0" fillId="0" borderId="0" xfId="0" applyNumberFormat="1"/>
    <xf numFmtId="1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 YORK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QUEENS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Sheet1!$A$2:$B$66</c:f>
              <c:strCache>
                <c:ptCount val="6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</c:strCache>
            </c:strRef>
          </c:cat>
          <c:val>
            <c:numRef>
              <c:f>Sheet1!$C$2:$C$66</c:f>
              <c:numCache>
                <c:formatCode>0</c:formatCode>
                <c:ptCount val="65"/>
                <c:pt idx="1">
                  <c:v>1602</c:v>
                </c:pt>
                <c:pt idx="2">
                  <c:v>2004</c:v>
                </c:pt>
                <c:pt idx="3">
                  <c:v>1548</c:v>
                </c:pt>
                <c:pt idx="4">
                  <c:v>1410</c:v>
                </c:pt>
                <c:pt idx="5">
                  <c:v>1302</c:v>
                </c:pt>
                <c:pt idx="6">
                  <c:v>1726</c:v>
                </c:pt>
                <c:pt idx="7">
                  <c:v>1395</c:v>
                </c:pt>
                <c:pt idx="8">
                  <c:v>1555</c:v>
                </c:pt>
                <c:pt idx="9">
                  <c:v>1995</c:v>
                </c:pt>
                <c:pt idx="10">
                  <c:v>1290</c:v>
                </c:pt>
                <c:pt idx="11">
                  <c:v>1705</c:v>
                </c:pt>
                <c:pt idx="12">
                  <c:v>719</c:v>
                </c:pt>
                <c:pt idx="13">
                  <c:v>148</c:v>
                </c:pt>
                <c:pt idx="14">
                  <c:v>3149</c:v>
                </c:pt>
                <c:pt idx="15">
                  <c:v>1153</c:v>
                </c:pt>
                <c:pt idx="16">
                  <c:v>1173</c:v>
                </c:pt>
                <c:pt idx="17">
                  <c:v>1125</c:v>
                </c:pt>
                <c:pt idx="20">
                  <c:v>799</c:v>
                </c:pt>
                <c:pt idx="21">
                  <c:v>891</c:v>
                </c:pt>
                <c:pt idx="22">
                  <c:v>1191</c:v>
                </c:pt>
                <c:pt idx="23">
                  <c:v>1483</c:v>
                </c:pt>
                <c:pt idx="24">
                  <c:v>1474</c:v>
                </c:pt>
                <c:pt idx="25">
                  <c:v>884</c:v>
                </c:pt>
                <c:pt idx="26">
                  <c:v>654</c:v>
                </c:pt>
                <c:pt idx="27">
                  <c:v>530</c:v>
                </c:pt>
                <c:pt idx="28">
                  <c:v>812</c:v>
                </c:pt>
                <c:pt idx="29">
                  <c:v>890</c:v>
                </c:pt>
                <c:pt idx="30">
                  <c:v>643</c:v>
                </c:pt>
                <c:pt idx="31">
                  <c:v>765</c:v>
                </c:pt>
                <c:pt idx="32">
                  <c:v>601</c:v>
                </c:pt>
                <c:pt idx="33">
                  <c:v>450</c:v>
                </c:pt>
                <c:pt idx="34">
                  <c:v>358</c:v>
                </c:pt>
                <c:pt idx="37">
                  <c:v>494</c:v>
                </c:pt>
                <c:pt idx="38">
                  <c:v>549</c:v>
                </c:pt>
                <c:pt idx="39">
                  <c:v>369</c:v>
                </c:pt>
                <c:pt idx="40">
                  <c:v>318</c:v>
                </c:pt>
                <c:pt idx="41">
                  <c:v>211</c:v>
                </c:pt>
                <c:pt idx="42">
                  <c:v>357</c:v>
                </c:pt>
                <c:pt idx="43">
                  <c:v>336</c:v>
                </c:pt>
                <c:pt idx="44">
                  <c:v>432</c:v>
                </c:pt>
                <c:pt idx="45">
                  <c:v>325</c:v>
                </c:pt>
                <c:pt idx="46">
                  <c:v>291</c:v>
                </c:pt>
                <c:pt idx="47">
                  <c:v>192</c:v>
                </c:pt>
                <c:pt idx="48">
                  <c:v>184</c:v>
                </c:pt>
                <c:pt idx="49">
                  <c:v>244</c:v>
                </c:pt>
                <c:pt idx="50">
                  <c:v>273</c:v>
                </c:pt>
                <c:pt idx="51">
                  <c:v>211</c:v>
                </c:pt>
                <c:pt idx="52">
                  <c:v>186</c:v>
                </c:pt>
                <c:pt idx="53" formatCode="General">
                  <c:v>214</c:v>
                </c:pt>
                <c:pt idx="54">
                  <c:v>192</c:v>
                </c:pt>
                <c:pt idx="55">
                  <c:v>132</c:v>
                </c:pt>
                <c:pt idx="56">
                  <c:v>165</c:v>
                </c:pt>
                <c:pt idx="57">
                  <c:v>275</c:v>
                </c:pt>
                <c:pt idx="58">
                  <c:v>244</c:v>
                </c:pt>
                <c:pt idx="59">
                  <c:v>183</c:v>
                </c:pt>
                <c:pt idx="60">
                  <c:v>148</c:v>
                </c:pt>
                <c:pt idx="61">
                  <c:v>119</c:v>
                </c:pt>
                <c:pt idx="62">
                  <c:v>199</c:v>
                </c:pt>
                <c:pt idx="63">
                  <c:v>132</c:v>
                </c:pt>
                <c:pt idx="64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7-CC40-B05D-5B6B95719B0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KINGS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Sheet1!$A$2:$B$66</c:f>
              <c:strCache>
                <c:ptCount val="6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</c:strCache>
            </c:strRef>
          </c:cat>
          <c:val>
            <c:numRef>
              <c:f>Sheet1!$D$2:$D$66</c:f>
              <c:numCache>
                <c:formatCode>0</c:formatCode>
                <c:ptCount val="65"/>
                <c:pt idx="1">
                  <c:v>1016</c:v>
                </c:pt>
                <c:pt idx="2">
                  <c:v>2937</c:v>
                </c:pt>
                <c:pt idx="3">
                  <c:v>1161</c:v>
                </c:pt>
                <c:pt idx="4">
                  <c:v>1032</c:v>
                </c:pt>
                <c:pt idx="5">
                  <c:v>914</c:v>
                </c:pt>
                <c:pt idx="6">
                  <c:v>1801</c:v>
                </c:pt>
                <c:pt idx="7">
                  <c:v>1345</c:v>
                </c:pt>
                <c:pt idx="8">
                  <c:v>1828</c:v>
                </c:pt>
                <c:pt idx="9">
                  <c:v>1438</c:v>
                </c:pt>
                <c:pt idx="10">
                  <c:v>1196</c:v>
                </c:pt>
                <c:pt idx="11">
                  <c:v>1420</c:v>
                </c:pt>
                <c:pt idx="12">
                  <c:v>573</c:v>
                </c:pt>
                <c:pt idx="13">
                  <c:v>103</c:v>
                </c:pt>
                <c:pt idx="14">
                  <c:v>3831</c:v>
                </c:pt>
                <c:pt idx="15">
                  <c:v>1552</c:v>
                </c:pt>
                <c:pt idx="16">
                  <c:v>1184</c:v>
                </c:pt>
                <c:pt idx="17">
                  <c:v>1058</c:v>
                </c:pt>
                <c:pt idx="20">
                  <c:v>664</c:v>
                </c:pt>
                <c:pt idx="21">
                  <c:v>787</c:v>
                </c:pt>
                <c:pt idx="22">
                  <c:v>873</c:v>
                </c:pt>
                <c:pt idx="23">
                  <c:v>1294</c:v>
                </c:pt>
                <c:pt idx="24">
                  <c:v>1012</c:v>
                </c:pt>
                <c:pt idx="25">
                  <c:v>827</c:v>
                </c:pt>
                <c:pt idx="26">
                  <c:v>527</c:v>
                </c:pt>
                <c:pt idx="27">
                  <c:v>573</c:v>
                </c:pt>
                <c:pt idx="28">
                  <c:v>649</c:v>
                </c:pt>
                <c:pt idx="29">
                  <c:v>636</c:v>
                </c:pt>
                <c:pt idx="30">
                  <c:v>647</c:v>
                </c:pt>
                <c:pt idx="31">
                  <c:v>756</c:v>
                </c:pt>
                <c:pt idx="32">
                  <c:v>564</c:v>
                </c:pt>
                <c:pt idx="33">
                  <c:v>344</c:v>
                </c:pt>
                <c:pt idx="34">
                  <c:v>396</c:v>
                </c:pt>
                <c:pt idx="37">
                  <c:v>448</c:v>
                </c:pt>
                <c:pt idx="38">
                  <c:v>463</c:v>
                </c:pt>
                <c:pt idx="39">
                  <c:v>356</c:v>
                </c:pt>
                <c:pt idx="40">
                  <c:v>255</c:v>
                </c:pt>
                <c:pt idx="41">
                  <c:v>259</c:v>
                </c:pt>
                <c:pt idx="42">
                  <c:v>336</c:v>
                </c:pt>
                <c:pt idx="43">
                  <c:v>428</c:v>
                </c:pt>
                <c:pt idx="44">
                  <c:v>486</c:v>
                </c:pt>
                <c:pt idx="45">
                  <c:v>410</c:v>
                </c:pt>
                <c:pt idx="46">
                  <c:v>307</c:v>
                </c:pt>
                <c:pt idx="47">
                  <c:v>187</c:v>
                </c:pt>
                <c:pt idx="48">
                  <c:v>196</c:v>
                </c:pt>
                <c:pt idx="49">
                  <c:v>208</c:v>
                </c:pt>
                <c:pt idx="50">
                  <c:v>496</c:v>
                </c:pt>
                <c:pt idx="51" formatCode="General">
                  <c:v>254</c:v>
                </c:pt>
                <c:pt idx="52">
                  <c:v>263</c:v>
                </c:pt>
                <c:pt idx="53">
                  <c:v>273</c:v>
                </c:pt>
                <c:pt idx="54">
                  <c:v>185</c:v>
                </c:pt>
                <c:pt idx="55">
                  <c:v>200</c:v>
                </c:pt>
                <c:pt idx="56">
                  <c:v>219</c:v>
                </c:pt>
                <c:pt idx="57">
                  <c:v>368</c:v>
                </c:pt>
                <c:pt idx="58">
                  <c:v>299</c:v>
                </c:pt>
                <c:pt idx="59">
                  <c:v>281</c:v>
                </c:pt>
                <c:pt idx="60">
                  <c:v>173</c:v>
                </c:pt>
                <c:pt idx="61">
                  <c:v>153</c:v>
                </c:pt>
                <c:pt idx="62">
                  <c:v>189</c:v>
                </c:pt>
                <c:pt idx="63">
                  <c:v>163</c:v>
                </c:pt>
                <c:pt idx="64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7-CC40-B05D-5B6B95719B0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NASSAU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Sheet1!$A$2:$B$66</c:f>
              <c:strCache>
                <c:ptCount val="6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</c:strCache>
            </c:strRef>
          </c:cat>
          <c:val>
            <c:numRef>
              <c:f>Sheet1!$E$2:$E$66</c:f>
              <c:numCache>
                <c:formatCode>0</c:formatCode>
                <c:ptCount val="65"/>
                <c:pt idx="1">
                  <c:v>1011</c:v>
                </c:pt>
                <c:pt idx="2">
                  <c:v>1032</c:v>
                </c:pt>
                <c:pt idx="3">
                  <c:v>2759</c:v>
                </c:pt>
                <c:pt idx="4">
                  <c:v>1052</c:v>
                </c:pt>
                <c:pt idx="6">
                  <c:v>2212</c:v>
                </c:pt>
                <c:pt idx="7">
                  <c:v>1938</c:v>
                </c:pt>
                <c:pt idx="8">
                  <c:v>1592</c:v>
                </c:pt>
                <c:pt idx="9">
                  <c:v>1372</c:v>
                </c:pt>
                <c:pt idx="11">
                  <c:v>1072</c:v>
                </c:pt>
                <c:pt idx="12">
                  <c:v>1774</c:v>
                </c:pt>
                <c:pt idx="13">
                  <c:v>892</c:v>
                </c:pt>
                <c:pt idx="14">
                  <c:v>1465</c:v>
                </c:pt>
                <c:pt idx="15">
                  <c:v>1057</c:v>
                </c:pt>
                <c:pt idx="16">
                  <c:v>767</c:v>
                </c:pt>
                <c:pt idx="17">
                  <c:v>641</c:v>
                </c:pt>
                <c:pt idx="18">
                  <c:v>833</c:v>
                </c:pt>
                <c:pt idx="19">
                  <c:v>664</c:v>
                </c:pt>
                <c:pt idx="20">
                  <c:v>402</c:v>
                </c:pt>
                <c:pt idx="21">
                  <c:v>476</c:v>
                </c:pt>
                <c:pt idx="22">
                  <c:v>569</c:v>
                </c:pt>
                <c:pt idx="23">
                  <c:v>641</c:v>
                </c:pt>
                <c:pt idx="24">
                  <c:v>1033</c:v>
                </c:pt>
                <c:pt idx="25">
                  <c:v>724</c:v>
                </c:pt>
                <c:pt idx="26">
                  <c:v>343</c:v>
                </c:pt>
                <c:pt idx="27">
                  <c:v>220</c:v>
                </c:pt>
                <c:pt idx="28">
                  <c:v>420</c:v>
                </c:pt>
                <c:pt idx="29">
                  <c:v>349</c:v>
                </c:pt>
                <c:pt idx="30">
                  <c:v>307</c:v>
                </c:pt>
                <c:pt idx="31">
                  <c:v>358</c:v>
                </c:pt>
                <c:pt idx="32">
                  <c:v>261</c:v>
                </c:pt>
                <c:pt idx="33">
                  <c:v>185</c:v>
                </c:pt>
                <c:pt idx="34">
                  <c:v>187</c:v>
                </c:pt>
                <c:pt idx="35">
                  <c:v>198</c:v>
                </c:pt>
                <c:pt idx="36">
                  <c:v>243</c:v>
                </c:pt>
                <c:pt idx="37">
                  <c:v>219</c:v>
                </c:pt>
                <c:pt idx="38">
                  <c:v>216</c:v>
                </c:pt>
                <c:pt idx="39">
                  <c:v>189</c:v>
                </c:pt>
                <c:pt idx="40">
                  <c:v>120</c:v>
                </c:pt>
                <c:pt idx="41">
                  <c:v>97</c:v>
                </c:pt>
                <c:pt idx="42">
                  <c:v>153</c:v>
                </c:pt>
                <c:pt idx="43">
                  <c:v>156</c:v>
                </c:pt>
                <c:pt idx="44">
                  <c:v>121</c:v>
                </c:pt>
                <c:pt idx="45">
                  <c:v>169</c:v>
                </c:pt>
                <c:pt idx="46">
                  <c:v>103</c:v>
                </c:pt>
                <c:pt idx="47">
                  <c:v>89</c:v>
                </c:pt>
                <c:pt idx="48">
                  <c:v>70</c:v>
                </c:pt>
                <c:pt idx="49">
                  <c:v>73</c:v>
                </c:pt>
                <c:pt idx="50">
                  <c:v>119</c:v>
                </c:pt>
                <c:pt idx="51">
                  <c:v>121</c:v>
                </c:pt>
                <c:pt idx="52">
                  <c:v>118</c:v>
                </c:pt>
                <c:pt idx="53">
                  <c:v>111</c:v>
                </c:pt>
                <c:pt idx="54">
                  <c:v>70</c:v>
                </c:pt>
                <c:pt idx="55">
                  <c:v>67</c:v>
                </c:pt>
                <c:pt idx="56">
                  <c:v>60</c:v>
                </c:pt>
                <c:pt idx="57">
                  <c:v>106</c:v>
                </c:pt>
                <c:pt idx="58">
                  <c:v>86</c:v>
                </c:pt>
                <c:pt idx="59">
                  <c:v>81</c:v>
                </c:pt>
                <c:pt idx="60">
                  <c:v>89</c:v>
                </c:pt>
                <c:pt idx="61">
                  <c:v>83</c:v>
                </c:pt>
                <c:pt idx="62">
                  <c:v>93</c:v>
                </c:pt>
                <c:pt idx="63">
                  <c:v>72</c:v>
                </c:pt>
                <c:pt idx="64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7-CC40-B05D-5B6B95719B0C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BRONX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Sheet1!$A$2:$B$66</c:f>
              <c:strCache>
                <c:ptCount val="6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</c:strCache>
            </c:strRef>
          </c:cat>
          <c:val>
            <c:numRef>
              <c:f>Sheet1!$F$2:$F$66</c:f>
              <c:numCache>
                <c:formatCode>0</c:formatCode>
                <c:ptCount val="65"/>
                <c:pt idx="1">
                  <c:v>736</c:v>
                </c:pt>
                <c:pt idx="2">
                  <c:v>1422</c:v>
                </c:pt>
                <c:pt idx="3">
                  <c:v>1055</c:v>
                </c:pt>
                <c:pt idx="4">
                  <c:v>918</c:v>
                </c:pt>
                <c:pt idx="5">
                  <c:v>942</c:v>
                </c:pt>
                <c:pt idx="6">
                  <c:v>1261</c:v>
                </c:pt>
                <c:pt idx="7">
                  <c:v>1478</c:v>
                </c:pt>
                <c:pt idx="8">
                  <c:v>2317</c:v>
                </c:pt>
                <c:pt idx="9">
                  <c:v>1807</c:v>
                </c:pt>
                <c:pt idx="10">
                  <c:v>980</c:v>
                </c:pt>
                <c:pt idx="11">
                  <c:v>1186</c:v>
                </c:pt>
                <c:pt idx="12">
                  <c:v>643</c:v>
                </c:pt>
                <c:pt idx="13">
                  <c:v>74</c:v>
                </c:pt>
                <c:pt idx="14">
                  <c:v>1161</c:v>
                </c:pt>
                <c:pt idx="15">
                  <c:v>1051</c:v>
                </c:pt>
                <c:pt idx="16">
                  <c:v>1376</c:v>
                </c:pt>
                <c:pt idx="17">
                  <c:v>1002</c:v>
                </c:pt>
                <c:pt idx="18">
                  <c:v>859</c:v>
                </c:pt>
                <c:pt idx="19">
                  <c:v>497</c:v>
                </c:pt>
                <c:pt idx="20">
                  <c:v>617</c:v>
                </c:pt>
                <c:pt idx="21">
                  <c:v>879</c:v>
                </c:pt>
                <c:pt idx="22">
                  <c:v>791</c:v>
                </c:pt>
                <c:pt idx="23">
                  <c:v>1042</c:v>
                </c:pt>
                <c:pt idx="24">
                  <c:v>1482</c:v>
                </c:pt>
                <c:pt idx="25">
                  <c:v>787</c:v>
                </c:pt>
                <c:pt idx="26">
                  <c:v>586</c:v>
                </c:pt>
                <c:pt idx="27">
                  <c:v>438</c:v>
                </c:pt>
                <c:pt idx="28">
                  <c:v>606</c:v>
                </c:pt>
                <c:pt idx="29">
                  <c:v>644</c:v>
                </c:pt>
                <c:pt idx="30">
                  <c:v>541</c:v>
                </c:pt>
                <c:pt idx="31">
                  <c:v>665</c:v>
                </c:pt>
                <c:pt idx="32">
                  <c:v>466</c:v>
                </c:pt>
                <c:pt idx="33">
                  <c:v>307</c:v>
                </c:pt>
                <c:pt idx="34">
                  <c:v>253</c:v>
                </c:pt>
                <c:pt idx="35">
                  <c:v>402</c:v>
                </c:pt>
                <c:pt idx="36">
                  <c:v>303</c:v>
                </c:pt>
                <c:pt idx="37">
                  <c:v>352</c:v>
                </c:pt>
                <c:pt idx="38">
                  <c:v>271</c:v>
                </c:pt>
                <c:pt idx="39">
                  <c:v>255</c:v>
                </c:pt>
                <c:pt idx="42">
                  <c:v>236</c:v>
                </c:pt>
                <c:pt idx="43">
                  <c:v>303</c:v>
                </c:pt>
                <c:pt idx="44">
                  <c:v>539</c:v>
                </c:pt>
                <c:pt idx="45">
                  <c:v>293</c:v>
                </c:pt>
                <c:pt idx="46">
                  <c:v>210</c:v>
                </c:pt>
                <c:pt idx="47">
                  <c:v>136</c:v>
                </c:pt>
                <c:pt idx="48">
                  <c:v>112</c:v>
                </c:pt>
                <c:pt idx="49">
                  <c:v>148</c:v>
                </c:pt>
                <c:pt idx="50">
                  <c:v>185</c:v>
                </c:pt>
                <c:pt idx="51">
                  <c:v>163</c:v>
                </c:pt>
                <c:pt idx="52">
                  <c:v>155</c:v>
                </c:pt>
                <c:pt idx="53">
                  <c:v>216</c:v>
                </c:pt>
                <c:pt idx="54">
                  <c:v>110</c:v>
                </c:pt>
                <c:pt idx="55">
                  <c:v>117</c:v>
                </c:pt>
                <c:pt idx="56">
                  <c:v>139</c:v>
                </c:pt>
                <c:pt idx="57">
                  <c:v>250</c:v>
                </c:pt>
                <c:pt idx="58">
                  <c:v>221</c:v>
                </c:pt>
                <c:pt idx="59">
                  <c:v>142</c:v>
                </c:pt>
                <c:pt idx="60">
                  <c:v>173</c:v>
                </c:pt>
                <c:pt idx="61">
                  <c:v>106</c:v>
                </c:pt>
                <c:pt idx="62">
                  <c:v>107</c:v>
                </c:pt>
                <c:pt idx="63">
                  <c:v>105</c:v>
                </c:pt>
                <c:pt idx="64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7-CC40-B05D-5B6B95719B0C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Sheet1!$A$2:$B$66</c:f>
              <c:strCache>
                <c:ptCount val="6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</c:strCache>
            </c:strRef>
          </c:cat>
          <c:val>
            <c:numRef>
              <c:f>Sheet1!$G$2:$G$66</c:f>
              <c:numCache>
                <c:formatCode>0</c:formatCode>
                <c:ptCount val="65"/>
                <c:pt idx="1">
                  <c:v>1141</c:v>
                </c:pt>
                <c:pt idx="2">
                  <c:v>1408</c:v>
                </c:pt>
                <c:pt idx="3">
                  <c:v>2174</c:v>
                </c:pt>
                <c:pt idx="4">
                  <c:v>605</c:v>
                </c:pt>
                <c:pt idx="5">
                  <c:v>1540</c:v>
                </c:pt>
                <c:pt idx="6">
                  <c:v>1088</c:v>
                </c:pt>
                <c:pt idx="7">
                  <c:v>283</c:v>
                </c:pt>
                <c:pt idx="8">
                  <c:v>1569</c:v>
                </c:pt>
                <c:pt idx="9">
                  <c:v>1279</c:v>
                </c:pt>
                <c:pt idx="10">
                  <c:v>1191</c:v>
                </c:pt>
                <c:pt idx="11">
                  <c:v>933</c:v>
                </c:pt>
                <c:pt idx="12">
                  <c:v>827</c:v>
                </c:pt>
                <c:pt idx="13">
                  <c:v>819</c:v>
                </c:pt>
                <c:pt idx="14">
                  <c:v>816</c:v>
                </c:pt>
                <c:pt idx="15">
                  <c:v>904</c:v>
                </c:pt>
                <c:pt idx="16">
                  <c:v>853</c:v>
                </c:pt>
                <c:pt idx="17">
                  <c:v>1108</c:v>
                </c:pt>
                <c:pt idx="18">
                  <c:v>745</c:v>
                </c:pt>
                <c:pt idx="19">
                  <c:v>774</c:v>
                </c:pt>
                <c:pt idx="20">
                  <c:v>492</c:v>
                </c:pt>
                <c:pt idx="21">
                  <c:v>700</c:v>
                </c:pt>
                <c:pt idx="22">
                  <c:v>713</c:v>
                </c:pt>
                <c:pt idx="23">
                  <c:v>1039</c:v>
                </c:pt>
                <c:pt idx="24">
                  <c:v>762</c:v>
                </c:pt>
                <c:pt idx="25">
                  <c:v>691</c:v>
                </c:pt>
                <c:pt idx="26">
                  <c:v>411</c:v>
                </c:pt>
                <c:pt idx="27">
                  <c:v>254</c:v>
                </c:pt>
                <c:pt idx="28">
                  <c:v>541</c:v>
                </c:pt>
                <c:pt idx="29">
                  <c:v>399</c:v>
                </c:pt>
                <c:pt idx="30">
                  <c:v>373</c:v>
                </c:pt>
                <c:pt idx="31">
                  <c:v>441</c:v>
                </c:pt>
                <c:pt idx="32">
                  <c:v>377</c:v>
                </c:pt>
                <c:pt idx="33">
                  <c:v>222</c:v>
                </c:pt>
                <c:pt idx="34">
                  <c:v>198</c:v>
                </c:pt>
                <c:pt idx="35">
                  <c:v>268</c:v>
                </c:pt>
                <c:pt idx="36">
                  <c:v>349</c:v>
                </c:pt>
                <c:pt idx="37">
                  <c:v>331</c:v>
                </c:pt>
                <c:pt idx="38">
                  <c:v>238</c:v>
                </c:pt>
                <c:pt idx="39">
                  <c:v>241</c:v>
                </c:pt>
                <c:pt idx="40">
                  <c:v>209</c:v>
                </c:pt>
                <c:pt idx="41">
                  <c:v>151</c:v>
                </c:pt>
                <c:pt idx="42">
                  <c:v>243</c:v>
                </c:pt>
                <c:pt idx="43">
                  <c:v>239</c:v>
                </c:pt>
                <c:pt idx="44">
                  <c:v>175</c:v>
                </c:pt>
                <c:pt idx="45">
                  <c:v>223</c:v>
                </c:pt>
                <c:pt idx="46">
                  <c:v>175</c:v>
                </c:pt>
                <c:pt idx="47">
                  <c:v>107</c:v>
                </c:pt>
                <c:pt idx="48">
                  <c:v>103</c:v>
                </c:pt>
                <c:pt idx="49">
                  <c:v>84</c:v>
                </c:pt>
                <c:pt idx="50">
                  <c:v>142</c:v>
                </c:pt>
                <c:pt idx="51">
                  <c:v>119</c:v>
                </c:pt>
                <c:pt idx="52">
                  <c:v>130</c:v>
                </c:pt>
                <c:pt idx="53">
                  <c:v>162</c:v>
                </c:pt>
                <c:pt idx="54">
                  <c:v>126</c:v>
                </c:pt>
                <c:pt idx="55">
                  <c:v>109</c:v>
                </c:pt>
                <c:pt idx="56">
                  <c:v>59</c:v>
                </c:pt>
                <c:pt idx="57">
                  <c:v>101</c:v>
                </c:pt>
                <c:pt idx="58">
                  <c:v>86</c:v>
                </c:pt>
                <c:pt idx="59">
                  <c:v>87</c:v>
                </c:pt>
                <c:pt idx="60">
                  <c:v>111</c:v>
                </c:pt>
                <c:pt idx="61">
                  <c:v>62</c:v>
                </c:pt>
                <c:pt idx="62">
                  <c:v>275</c:v>
                </c:pt>
                <c:pt idx="63">
                  <c:v>82</c:v>
                </c:pt>
                <c:pt idx="64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17-CC40-B05D-5B6B95719B0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95280399"/>
        <c:axId val="299056655"/>
      </c:lineChart>
      <c:dateAx>
        <c:axId val="295280399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056655"/>
        <c:crosses val="autoZero"/>
        <c:auto val="1"/>
        <c:lblOffset val="100"/>
        <c:baseTimeUnit val="days"/>
      </c:dateAx>
      <c:valAx>
        <c:axId val="2990566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8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Positive Tests of the Top 6 Counties vs. Total Tests in Pennsylvania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Sheet1!$CT$178:$CT$243</c:f>
              <c:numCache>
                <c:formatCode>d\-mmm</c:formatCode>
                <c:ptCount val="66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</c:numCache>
            </c:numRef>
          </c:cat>
          <c:val>
            <c:numRef>
              <c:f>Sheet1!$CU$178:$CU$243</c:f>
              <c:numCache>
                <c:formatCode>General</c:formatCode>
                <c:ptCount val="66"/>
                <c:pt idx="1">
                  <c:v>1211</c:v>
                </c:pt>
                <c:pt idx="2">
                  <c:v>1404</c:v>
                </c:pt>
                <c:pt idx="3">
                  <c:v>1597</c:v>
                </c:pt>
                <c:pt idx="4">
                  <c:v>1493</c:v>
                </c:pt>
                <c:pt idx="5">
                  <c:v>1470</c:v>
                </c:pt>
                <c:pt idx="6">
                  <c:v>1579</c:v>
                </c:pt>
                <c:pt idx="7">
                  <c:v>1680</c:v>
                </c:pt>
                <c:pt idx="8">
                  <c:v>1989</c:v>
                </c:pt>
                <c:pt idx="9">
                  <c:v>1751</c:v>
                </c:pt>
                <c:pt idx="10">
                  <c:v>1676</c:v>
                </c:pt>
                <c:pt idx="11">
                  <c:v>1178</c:v>
                </c:pt>
                <c:pt idx="12">
                  <c:v>1366</c:v>
                </c:pt>
                <c:pt idx="13">
                  <c:v>1146</c:v>
                </c:pt>
                <c:pt idx="14">
                  <c:v>1145</c:v>
                </c:pt>
                <c:pt idx="15">
                  <c:v>1245</c:v>
                </c:pt>
                <c:pt idx="16">
                  <c:v>1706</c:v>
                </c:pt>
                <c:pt idx="17">
                  <c:v>1628</c:v>
                </c:pt>
                <c:pt idx="18">
                  <c:v>1215</c:v>
                </c:pt>
                <c:pt idx="19">
                  <c:v>948</c:v>
                </c:pt>
                <c:pt idx="20">
                  <c:v>1296</c:v>
                </c:pt>
                <c:pt idx="21">
                  <c:v>1156</c:v>
                </c:pt>
                <c:pt idx="22">
                  <c:v>1369</c:v>
                </c:pt>
                <c:pt idx="23">
                  <c:v>1599</c:v>
                </c:pt>
                <c:pt idx="24">
                  <c:v>1397</c:v>
                </c:pt>
                <c:pt idx="25">
                  <c:v>1116</c:v>
                </c:pt>
                <c:pt idx="26">
                  <c:v>885</c:v>
                </c:pt>
                <c:pt idx="27">
                  <c:v>1214</c:v>
                </c:pt>
                <c:pt idx="28">
                  <c:v>1102</c:v>
                </c:pt>
                <c:pt idx="29">
                  <c:v>1397</c:v>
                </c:pt>
                <c:pt idx="30">
                  <c:v>1208</c:v>
                </c:pt>
                <c:pt idx="31">
                  <c:v>1334</c:v>
                </c:pt>
                <c:pt idx="32">
                  <c:v>962</c:v>
                </c:pt>
                <c:pt idx="33">
                  <c:v>3725</c:v>
                </c:pt>
                <c:pt idx="36">
                  <c:v>1070</c:v>
                </c:pt>
                <c:pt idx="37">
                  <c:v>1323</c:v>
                </c:pt>
                <c:pt idx="38">
                  <c:v>1078</c:v>
                </c:pt>
                <c:pt idx="39">
                  <c:v>1295</c:v>
                </c:pt>
                <c:pt idx="40">
                  <c:v>543</c:v>
                </c:pt>
                <c:pt idx="41">
                  <c:v>837</c:v>
                </c:pt>
                <c:pt idx="42">
                  <c:v>707</c:v>
                </c:pt>
                <c:pt idx="43">
                  <c:v>938</c:v>
                </c:pt>
                <c:pt idx="44">
                  <c:v>986</c:v>
                </c:pt>
                <c:pt idx="45">
                  <c:v>989</c:v>
                </c:pt>
                <c:pt idx="46">
                  <c:v>623</c:v>
                </c:pt>
                <c:pt idx="47">
                  <c:v>822</c:v>
                </c:pt>
                <c:pt idx="48">
                  <c:v>610</c:v>
                </c:pt>
                <c:pt idx="49">
                  <c:v>746</c:v>
                </c:pt>
                <c:pt idx="50">
                  <c:v>980</c:v>
                </c:pt>
                <c:pt idx="51">
                  <c:v>866</c:v>
                </c:pt>
                <c:pt idx="52">
                  <c:v>725</c:v>
                </c:pt>
                <c:pt idx="53">
                  <c:v>730</c:v>
                </c:pt>
                <c:pt idx="54">
                  <c:v>473</c:v>
                </c:pt>
                <c:pt idx="55">
                  <c:v>451</c:v>
                </c:pt>
                <c:pt idx="56">
                  <c:v>780</c:v>
                </c:pt>
                <c:pt idx="57">
                  <c:v>625</c:v>
                </c:pt>
                <c:pt idx="58">
                  <c:v>693</c:v>
                </c:pt>
                <c:pt idx="59">
                  <c:v>680</c:v>
                </c:pt>
                <c:pt idx="60">
                  <c:v>511</c:v>
                </c:pt>
                <c:pt idx="61">
                  <c:v>356</c:v>
                </c:pt>
                <c:pt idx="62">
                  <c:v>612</c:v>
                </c:pt>
                <c:pt idx="63">
                  <c:v>511</c:v>
                </c:pt>
                <c:pt idx="64">
                  <c:v>537</c:v>
                </c:pt>
                <c:pt idx="65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8-F044-8798-D652CD2122B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Sheet1!$CT$178:$CT$243</c:f>
              <c:numCache>
                <c:formatCode>d\-mmm</c:formatCode>
                <c:ptCount val="66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</c:numCache>
            </c:numRef>
          </c:cat>
          <c:val>
            <c:numRef>
              <c:f>Sheet1!$CV$178:$CV$243</c:f>
              <c:numCache>
                <c:formatCode>0</c:formatCode>
                <c:ptCount val="66"/>
                <c:pt idx="1">
                  <c:v>6482</c:v>
                </c:pt>
                <c:pt idx="2">
                  <c:v>7401</c:v>
                </c:pt>
                <c:pt idx="3">
                  <c:v>7915</c:v>
                </c:pt>
                <c:pt idx="4">
                  <c:v>7741</c:v>
                </c:pt>
                <c:pt idx="5">
                  <c:v>6083</c:v>
                </c:pt>
                <c:pt idx="6">
                  <c:v>7424</c:v>
                </c:pt>
                <c:pt idx="7">
                  <c:v>7260</c:v>
                </c:pt>
                <c:pt idx="8">
                  <c:v>7064</c:v>
                </c:pt>
                <c:pt idx="9">
                  <c:v>7417</c:v>
                </c:pt>
                <c:pt idx="10">
                  <c:v>7134</c:v>
                </c:pt>
                <c:pt idx="11">
                  <c:v>4737</c:v>
                </c:pt>
                <c:pt idx="12">
                  <c:v>4902</c:v>
                </c:pt>
                <c:pt idx="13">
                  <c:v>3839</c:v>
                </c:pt>
                <c:pt idx="14">
                  <c:v>3953</c:v>
                </c:pt>
                <c:pt idx="15">
                  <c:v>3886</c:v>
                </c:pt>
                <c:pt idx="16">
                  <c:v>5903</c:v>
                </c:pt>
                <c:pt idx="17">
                  <c:v>6592</c:v>
                </c:pt>
                <c:pt idx="18">
                  <c:v>4889</c:v>
                </c:pt>
                <c:pt idx="19">
                  <c:v>4098</c:v>
                </c:pt>
                <c:pt idx="20">
                  <c:v>3899</c:v>
                </c:pt>
                <c:pt idx="21">
                  <c:v>5105</c:v>
                </c:pt>
                <c:pt idx="22">
                  <c:v>7158</c:v>
                </c:pt>
                <c:pt idx="23">
                  <c:v>7029</c:v>
                </c:pt>
                <c:pt idx="24">
                  <c:v>6792</c:v>
                </c:pt>
                <c:pt idx="25">
                  <c:v>5658</c:v>
                </c:pt>
                <c:pt idx="26">
                  <c:v>4829</c:v>
                </c:pt>
                <c:pt idx="27">
                  <c:v>5666</c:v>
                </c:pt>
                <c:pt idx="28">
                  <c:v>5795</c:v>
                </c:pt>
                <c:pt idx="29">
                  <c:v>6482</c:v>
                </c:pt>
                <c:pt idx="30">
                  <c:v>6083</c:v>
                </c:pt>
                <c:pt idx="31">
                  <c:v>7928</c:v>
                </c:pt>
                <c:pt idx="32">
                  <c:v>5265</c:v>
                </c:pt>
                <c:pt idx="33">
                  <c:v>4949</c:v>
                </c:pt>
                <c:pt idx="36">
                  <c:v>6448</c:v>
                </c:pt>
                <c:pt idx="37">
                  <c:v>7771</c:v>
                </c:pt>
                <c:pt idx="38">
                  <c:v>6548</c:v>
                </c:pt>
                <c:pt idx="39">
                  <c:v>7276</c:v>
                </c:pt>
                <c:pt idx="40">
                  <c:v>4475</c:v>
                </c:pt>
                <c:pt idx="41">
                  <c:v>7122</c:v>
                </c:pt>
                <c:pt idx="42">
                  <c:v>6889</c:v>
                </c:pt>
                <c:pt idx="43">
                  <c:v>8326</c:v>
                </c:pt>
                <c:pt idx="44">
                  <c:v>8637</c:v>
                </c:pt>
                <c:pt idx="45">
                  <c:v>8004</c:v>
                </c:pt>
                <c:pt idx="46">
                  <c:v>5068</c:v>
                </c:pt>
                <c:pt idx="47">
                  <c:v>7705</c:v>
                </c:pt>
                <c:pt idx="48">
                  <c:v>9091</c:v>
                </c:pt>
                <c:pt idx="49">
                  <c:v>7956</c:v>
                </c:pt>
                <c:pt idx="50">
                  <c:v>11250</c:v>
                </c:pt>
                <c:pt idx="51">
                  <c:v>10095</c:v>
                </c:pt>
                <c:pt idx="52">
                  <c:v>9451</c:v>
                </c:pt>
                <c:pt idx="53">
                  <c:v>7643</c:v>
                </c:pt>
                <c:pt idx="54">
                  <c:v>7019</c:v>
                </c:pt>
                <c:pt idx="55">
                  <c:v>5358</c:v>
                </c:pt>
                <c:pt idx="56">
                  <c:v>10935</c:v>
                </c:pt>
                <c:pt idx="57">
                  <c:v>8439</c:v>
                </c:pt>
                <c:pt idx="58">
                  <c:v>9859</c:v>
                </c:pt>
                <c:pt idx="59">
                  <c:v>9441</c:v>
                </c:pt>
                <c:pt idx="62">
                  <c:v>10542</c:v>
                </c:pt>
                <c:pt idx="63">
                  <c:v>9419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48-F044-8798-D652CD212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37960240"/>
        <c:axId val="1238467408"/>
      </c:barChart>
      <c:dateAx>
        <c:axId val="123796024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67408"/>
        <c:crosses val="autoZero"/>
        <c:auto val="1"/>
        <c:lblOffset val="100"/>
        <c:baseTimeUnit val="days"/>
      </c:dateAx>
      <c:valAx>
        <c:axId val="12384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96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Positive Tests of the Top 6 Counties vs. Total Tests in California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Sheet1!$CY$178:$CY$243</c:f>
              <c:numCache>
                <c:formatCode>d\-mmm</c:formatCode>
                <c:ptCount val="66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</c:numCache>
            </c:numRef>
          </c:cat>
          <c:val>
            <c:numRef>
              <c:f>Sheet1!$CZ$178:$CZ$243</c:f>
              <c:numCache>
                <c:formatCode>General</c:formatCode>
                <c:ptCount val="66"/>
                <c:pt idx="1">
                  <c:v>1036</c:v>
                </c:pt>
                <c:pt idx="2">
                  <c:v>1510</c:v>
                </c:pt>
                <c:pt idx="3">
                  <c:v>1325</c:v>
                </c:pt>
                <c:pt idx="4">
                  <c:v>1412</c:v>
                </c:pt>
                <c:pt idx="5">
                  <c:v>898</c:v>
                </c:pt>
                <c:pt idx="6">
                  <c:v>1529</c:v>
                </c:pt>
                <c:pt idx="7">
                  <c:v>1092</c:v>
                </c:pt>
                <c:pt idx="8">
                  <c:v>1352</c:v>
                </c:pt>
                <c:pt idx="9">
                  <c:v>1163</c:v>
                </c:pt>
                <c:pt idx="10">
                  <c:v>1143</c:v>
                </c:pt>
                <c:pt idx="11">
                  <c:v>1179</c:v>
                </c:pt>
                <c:pt idx="12">
                  <c:v>554</c:v>
                </c:pt>
                <c:pt idx="13">
                  <c:v>990</c:v>
                </c:pt>
                <c:pt idx="14">
                  <c:v>1086</c:v>
                </c:pt>
                <c:pt idx="15">
                  <c:v>1758</c:v>
                </c:pt>
                <c:pt idx="16">
                  <c:v>1346</c:v>
                </c:pt>
                <c:pt idx="17">
                  <c:v>1435</c:v>
                </c:pt>
                <c:pt idx="18">
                  <c:v>1370</c:v>
                </c:pt>
                <c:pt idx="19">
                  <c:v>645</c:v>
                </c:pt>
                <c:pt idx="20">
                  <c:v>2283</c:v>
                </c:pt>
                <c:pt idx="21">
                  <c:v>2135</c:v>
                </c:pt>
                <c:pt idx="22">
                  <c:v>1973</c:v>
                </c:pt>
                <c:pt idx="23">
                  <c:v>1885</c:v>
                </c:pt>
                <c:pt idx="24">
                  <c:v>1883</c:v>
                </c:pt>
                <c:pt idx="25">
                  <c:v>1027</c:v>
                </c:pt>
                <c:pt idx="26">
                  <c:v>1300</c:v>
                </c:pt>
                <c:pt idx="27">
                  <c:v>1567</c:v>
                </c:pt>
                <c:pt idx="28">
                  <c:v>1469</c:v>
                </c:pt>
                <c:pt idx="29">
                  <c:v>2417</c:v>
                </c:pt>
                <c:pt idx="30">
                  <c:v>1525</c:v>
                </c:pt>
                <c:pt idx="31">
                  <c:v>1755</c:v>
                </c:pt>
                <c:pt idx="32">
                  <c:v>1419</c:v>
                </c:pt>
                <c:pt idx="33">
                  <c:v>1321</c:v>
                </c:pt>
                <c:pt idx="34">
                  <c:v>1275</c:v>
                </c:pt>
                <c:pt idx="35">
                  <c:v>2603</c:v>
                </c:pt>
                <c:pt idx="36">
                  <c:v>1799</c:v>
                </c:pt>
                <c:pt idx="37">
                  <c:v>1898</c:v>
                </c:pt>
                <c:pt idx="38">
                  <c:v>2049</c:v>
                </c:pt>
                <c:pt idx="39">
                  <c:v>2119</c:v>
                </c:pt>
                <c:pt idx="40">
                  <c:v>1259</c:v>
                </c:pt>
                <c:pt idx="41">
                  <c:v>1443</c:v>
                </c:pt>
                <c:pt idx="42">
                  <c:v>1759</c:v>
                </c:pt>
                <c:pt idx="43">
                  <c:v>2023</c:v>
                </c:pt>
                <c:pt idx="44">
                  <c:v>1772</c:v>
                </c:pt>
                <c:pt idx="45">
                  <c:v>1857</c:v>
                </c:pt>
                <c:pt idx="46">
                  <c:v>2046</c:v>
                </c:pt>
                <c:pt idx="47">
                  <c:v>1591</c:v>
                </c:pt>
                <c:pt idx="48">
                  <c:v>1365</c:v>
                </c:pt>
                <c:pt idx="49">
                  <c:v>2262</c:v>
                </c:pt>
                <c:pt idx="50">
                  <c:v>2140</c:v>
                </c:pt>
                <c:pt idx="51">
                  <c:v>2247</c:v>
                </c:pt>
                <c:pt idx="52">
                  <c:v>2187</c:v>
                </c:pt>
                <c:pt idx="53">
                  <c:v>2079</c:v>
                </c:pt>
                <c:pt idx="54">
                  <c:v>1848</c:v>
                </c:pt>
                <c:pt idx="55">
                  <c:v>2175</c:v>
                </c:pt>
                <c:pt idx="56">
                  <c:v>2247</c:v>
                </c:pt>
                <c:pt idx="57">
                  <c:v>2717</c:v>
                </c:pt>
                <c:pt idx="58">
                  <c:v>2189</c:v>
                </c:pt>
                <c:pt idx="59">
                  <c:v>2992</c:v>
                </c:pt>
                <c:pt idx="60">
                  <c:v>3705</c:v>
                </c:pt>
                <c:pt idx="61">
                  <c:v>2423</c:v>
                </c:pt>
                <c:pt idx="62">
                  <c:v>2304</c:v>
                </c:pt>
                <c:pt idx="63">
                  <c:v>2377</c:v>
                </c:pt>
                <c:pt idx="64">
                  <c:v>2120</c:v>
                </c:pt>
                <c:pt idx="65">
                  <c:v>3094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8C-354E-B924-AC29C3B47D6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Sheet1!$CY$178:$CY$243</c:f>
              <c:numCache>
                <c:formatCode>d\-mmm</c:formatCode>
                <c:ptCount val="66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</c:numCache>
            </c:numRef>
          </c:cat>
          <c:val>
            <c:numRef>
              <c:f>Sheet1!$DA$178:$DA$243</c:f>
              <c:numCache>
                <c:formatCode>0</c:formatCode>
                <c:ptCount val="66"/>
                <c:pt idx="1">
                  <c:v>3073</c:v>
                </c:pt>
                <c:pt idx="2">
                  <c:v>2300</c:v>
                </c:pt>
                <c:pt idx="3">
                  <c:v>78400</c:v>
                </c:pt>
                <c:pt idx="4">
                  <c:v>2833</c:v>
                </c:pt>
                <c:pt idx="5">
                  <c:v>898</c:v>
                </c:pt>
                <c:pt idx="6">
                  <c:v>13798</c:v>
                </c:pt>
                <c:pt idx="7">
                  <c:v>13035</c:v>
                </c:pt>
                <c:pt idx="8">
                  <c:v>19236</c:v>
                </c:pt>
                <c:pt idx="9">
                  <c:v>1363</c:v>
                </c:pt>
                <c:pt idx="10">
                  <c:v>8356</c:v>
                </c:pt>
                <c:pt idx="11">
                  <c:v>17109</c:v>
                </c:pt>
                <c:pt idx="12">
                  <c:v>554</c:v>
                </c:pt>
                <c:pt idx="13">
                  <c:v>11326</c:v>
                </c:pt>
                <c:pt idx="14">
                  <c:v>14278</c:v>
                </c:pt>
                <c:pt idx="15">
                  <c:v>29914</c:v>
                </c:pt>
                <c:pt idx="16">
                  <c:v>5214</c:v>
                </c:pt>
                <c:pt idx="17">
                  <c:v>8052</c:v>
                </c:pt>
                <c:pt idx="18">
                  <c:v>21234</c:v>
                </c:pt>
                <c:pt idx="19">
                  <c:v>9600</c:v>
                </c:pt>
                <c:pt idx="20">
                  <c:v>18200</c:v>
                </c:pt>
                <c:pt idx="21">
                  <c:v>173397</c:v>
                </c:pt>
                <c:pt idx="22">
                  <c:v>12076</c:v>
                </c:pt>
                <c:pt idx="23">
                  <c:v>11862</c:v>
                </c:pt>
                <c:pt idx="24">
                  <c:v>20049</c:v>
                </c:pt>
                <c:pt idx="25">
                  <c:v>27425</c:v>
                </c:pt>
                <c:pt idx="26">
                  <c:v>24099</c:v>
                </c:pt>
                <c:pt idx="27">
                  <c:v>25531</c:v>
                </c:pt>
                <c:pt idx="28">
                  <c:v>22198</c:v>
                </c:pt>
                <c:pt idx="29">
                  <c:v>29648</c:v>
                </c:pt>
                <c:pt idx="30">
                  <c:v>30063</c:v>
                </c:pt>
                <c:pt idx="31">
                  <c:v>30703</c:v>
                </c:pt>
                <c:pt idx="32">
                  <c:v>32123</c:v>
                </c:pt>
                <c:pt idx="33">
                  <c:v>32028</c:v>
                </c:pt>
                <c:pt idx="34">
                  <c:v>29134</c:v>
                </c:pt>
                <c:pt idx="35">
                  <c:v>33838</c:v>
                </c:pt>
                <c:pt idx="36">
                  <c:v>32398</c:v>
                </c:pt>
                <c:pt idx="37">
                  <c:v>37298</c:v>
                </c:pt>
                <c:pt idx="38">
                  <c:v>43094</c:v>
                </c:pt>
                <c:pt idx="39">
                  <c:v>36233</c:v>
                </c:pt>
                <c:pt idx="40">
                  <c:v>41473</c:v>
                </c:pt>
                <c:pt idx="41">
                  <c:v>32222</c:v>
                </c:pt>
                <c:pt idx="42">
                  <c:v>39059</c:v>
                </c:pt>
                <c:pt idx="43">
                  <c:v>29255</c:v>
                </c:pt>
                <c:pt idx="44">
                  <c:v>45220</c:v>
                </c:pt>
                <c:pt idx="45">
                  <c:v>56117</c:v>
                </c:pt>
                <c:pt idx="46">
                  <c:v>57429</c:v>
                </c:pt>
                <c:pt idx="47">
                  <c:v>46644</c:v>
                </c:pt>
                <c:pt idx="48">
                  <c:v>40804</c:v>
                </c:pt>
                <c:pt idx="49">
                  <c:v>41007</c:v>
                </c:pt>
                <c:pt idx="50">
                  <c:v>45646</c:v>
                </c:pt>
                <c:pt idx="51">
                  <c:v>48533</c:v>
                </c:pt>
                <c:pt idx="52">
                  <c:v>67439</c:v>
                </c:pt>
                <c:pt idx="53">
                  <c:v>61357</c:v>
                </c:pt>
                <c:pt idx="54">
                  <c:v>52294</c:v>
                </c:pt>
                <c:pt idx="55">
                  <c:v>40498</c:v>
                </c:pt>
                <c:pt idx="56">
                  <c:v>53665</c:v>
                </c:pt>
                <c:pt idx="57">
                  <c:v>44919</c:v>
                </c:pt>
                <c:pt idx="58">
                  <c:v>53117</c:v>
                </c:pt>
                <c:pt idx="59">
                  <c:v>56253</c:v>
                </c:pt>
                <c:pt idx="60">
                  <c:v>67735</c:v>
                </c:pt>
                <c:pt idx="61">
                  <c:v>59008</c:v>
                </c:pt>
                <c:pt idx="62">
                  <c:v>59703</c:v>
                </c:pt>
                <c:pt idx="63">
                  <c:v>51377</c:v>
                </c:pt>
                <c:pt idx="64">
                  <c:v>55792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8C-354E-B924-AC29C3B47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38408112"/>
        <c:axId val="1238709920"/>
      </c:barChart>
      <c:dateAx>
        <c:axId val="12384081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709920"/>
        <c:crosses val="autoZero"/>
        <c:auto val="1"/>
        <c:lblOffset val="100"/>
        <c:baseTimeUnit val="days"/>
      </c:dateAx>
      <c:valAx>
        <c:axId val="123870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0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Positive Tests of the Top 6 Counties vs. Total Tests in New Jersey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Sheet1!$CE$178:$CE$243</c:f>
              <c:numCache>
                <c:formatCode>d\-mmm</c:formatCode>
                <c:ptCount val="66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</c:numCache>
            </c:numRef>
          </c:cat>
          <c:val>
            <c:numRef>
              <c:f>Sheet1!$CF$178:$CF$243</c:f>
              <c:numCache>
                <c:formatCode>General</c:formatCode>
                <c:ptCount val="66"/>
                <c:pt idx="1">
                  <c:v>3335</c:v>
                </c:pt>
                <c:pt idx="2">
                  <c:v>4305</c:v>
                </c:pt>
                <c:pt idx="3">
                  <c:v>4229</c:v>
                </c:pt>
                <c:pt idx="4">
                  <c:v>3381</c:v>
                </c:pt>
                <c:pt idx="5">
                  <c:v>3585</c:v>
                </c:pt>
                <c:pt idx="6">
                  <c:v>3326</c:v>
                </c:pt>
                <c:pt idx="7">
                  <c:v>3021</c:v>
                </c:pt>
                <c:pt idx="8">
                  <c:v>3590</c:v>
                </c:pt>
                <c:pt idx="9">
                  <c:v>3561</c:v>
                </c:pt>
                <c:pt idx="10">
                  <c:v>3563</c:v>
                </c:pt>
                <c:pt idx="11">
                  <c:v>3699</c:v>
                </c:pt>
                <c:pt idx="12">
                  <c:v>2734</c:v>
                </c:pt>
                <c:pt idx="13">
                  <c:v>4240</c:v>
                </c:pt>
                <c:pt idx="14">
                  <c:v>2206</c:v>
                </c:pt>
                <c:pt idx="15">
                  <c:v>4287</c:v>
                </c:pt>
                <c:pt idx="16">
                  <c:v>3150</c:v>
                </c:pt>
                <c:pt idx="17">
                  <c:v>2953</c:v>
                </c:pt>
                <c:pt idx="18">
                  <c:v>3881</c:v>
                </c:pt>
                <c:pt idx="19">
                  <c:v>3505</c:v>
                </c:pt>
                <c:pt idx="20">
                  <c:v>3581</c:v>
                </c:pt>
                <c:pt idx="21">
                  <c:v>3478</c:v>
                </c:pt>
                <c:pt idx="22">
                  <c:v>4124</c:v>
                </c:pt>
                <c:pt idx="23">
                  <c:v>2207</c:v>
                </c:pt>
                <c:pt idx="24">
                  <c:v>3327</c:v>
                </c:pt>
                <c:pt idx="25">
                  <c:v>3515</c:v>
                </c:pt>
                <c:pt idx="26">
                  <c:v>2150</c:v>
                </c:pt>
                <c:pt idx="27">
                  <c:v>2668</c:v>
                </c:pt>
                <c:pt idx="28">
                  <c:v>2408</c:v>
                </c:pt>
                <c:pt idx="29">
                  <c:v>2388</c:v>
                </c:pt>
                <c:pt idx="30">
                  <c:v>2538</c:v>
                </c:pt>
                <c:pt idx="31">
                  <c:v>2527</c:v>
                </c:pt>
                <c:pt idx="32">
                  <c:v>3027</c:v>
                </c:pt>
                <c:pt idx="33">
                  <c:v>1525</c:v>
                </c:pt>
                <c:pt idx="34">
                  <c:v>2324</c:v>
                </c:pt>
                <c:pt idx="35">
                  <c:v>1297</c:v>
                </c:pt>
                <c:pt idx="36">
                  <c:v>1745</c:v>
                </c:pt>
                <c:pt idx="37">
                  <c:v>1819</c:v>
                </c:pt>
                <c:pt idx="38">
                  <c:v>1631</c:v>
                </c:pt>
                <c:pt idx="39">
                  <c:v>1447</c:v>
                </c:pt>
                <c:pt idx="40">
                  <c:v>1413</c:v>
                </c:pt>
                <c:pt idx="41">
                  <c:v>798</c:v>
                </c:pt>
                <c:pt idx="42">
                  <c:v>817</c:v>
                </c:pt>
                <c:pt idx="43">
                  <c:v>1144</c:v>
                </c:pt>
                <c:pt idx="44">
                  <c:v>1201</c:v>
                </c:pt>
                <c:pt idx="45">
                  <c:v>1184</c:v>
                </c:pt>
                <c:pt idx="46">
                  <c:v>1245</c:v>
                </c:pt>
                <c:pt idx="47">
                  <c:v>1705</c:v>
                </c:pt>
                <c:pt idx="48">
                  <c:v>974</c:v>
                </c:pt>
                <c:pt idx="49">
                  <c:v>1386</c:v>
                </c:pt>
                <c:pt idx="50">
                  <c:v>1073</c:v>
                </c:pt>
                <c:pt idx="51">
                  <c:v>1247</c:v>
                </c:pt>
                <c:pt idx="52">
                  <c:v>385</c:v>
                </c:pt>
                <c:pt idx="53">
                  <c:v>1050</c:v>
                </c:pt>
                <c:pt idx="54">
                  <c:v>938</c:v>
                </c:pt>
                <c:pt idx="55">
                  <c:v>672</c:v>
                </c:pt>
                <c:pt idx="56">
                  <c:v>864</c:v>
                </c:pt>
                <c:pt idx="57">
                  <c:v>1187</c:v>
                </c:pt>
                <c:pt idx="58">
                  <c:v>1029</c:v>
                </c:pt>
                <c:pt idx="59">
                  <c:v>764</c:v>
                </c:pt>
                <c:pt idx="60">
                  <c:v>837</c:v>
                </c:pt>
                <c:pt idx="61">
                  <c:v>473</c:v>
                </c:pt>
                <c:pt idx="62">
                  <c:v>627</c:v>
                </c:pt>
                <c:pt idx="63">
                  <c:v>523</c:v>
                </c:pt>
                <c:pt idx="64">
                  <c:v>462</c:v>
                </c:pt>
                <c:pt idx="65">
                  <c:v>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B4-3D4F-853B-5A3CEF66518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Sheet1!$CE$178:$CE$243</c:f>
              <c:numCache>
                <c:formatCode>d\-mmm</c:formatCode>
                <c:ptCount val="66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</c:numCache>
            </c:numRef>
          </c:cat>
          <c:val>
            <c:numRef>
              <c:f>Sheet1!$CG$178:$CG$243</c:f>
              <c:numCache>
                <c:formatCode>0</c:formatCode>
                <c:ptCount val="66"/>
                <c:pt idx="1">
                  <c:v>6468</c:v>
                </c:pt>
                <c:pt idx="2">
                  <c:v>8393</c:v>
                </c:pt>
                <c:pt idx="3">
                  <c:v>7853</c:v>
                </c:pt>
                <c:pt idx="4">
                  <c:v>6810</c:v>
                </c:pt>
                <c:pt idx="5">
                  <c:v>6866</c:v>
                </c:pt>
                <c:pt idx="6">
                  <c:v>5942</c:v>
                </c:pt>
                <c:pt idx="7">
                  <c:v>5442</c:v>
                </c:pt>
                <c:pt idx="8">
                  <c:v>6776</c:v>
                </c:pt>
                <c:pt idx="9">
                  <c:v>6331</c:v>
                </c:pt>
                <c:pt idx="10">
                  <c:v>6670</c:v>
                </c:pt>
                <c:pt idx="11">
                  <c:v>6542</c:v>
                </c:pt>
                <c:pt idx="12">
                  <c:v>2734</c:v>
                </c:pt>
                <c:pt idx="13">
                  <c:v>10305</c:v>
                </c:pt>
                <c:pt idx="14">
                  <c:v>4247</c:v>
                </c:pt>
                <c:pt idx="15">
                  <c:v>7809</c:v>
                </c:pt>
                <c:pt idx="16">
                  <c:v>5619</c:v>
                </c:pt>
                <c:pt idx="17">
                  <c:v>5087</c:v>
                </c:pt>
                <c:pt idx="18">
                  <c:v>7882</c:v>
                </c:pt>
                <c:pt idx="19">
                  <c:v>7639</c:v>
                </c:pt>
                <c:pt idx="20">
                  <c:v>6769</c:v>
                </c:pt>
                <c:pt idx="21">
                  <c:v>6833</c:v>
                </c:pt>
                <c:pt idx="22">
                  <c:v>8489</c:v>
                </c:pt>
                <c:pt idx="23">
                  <c:v>5814</c:v>
                </c:pt>
                <c:pt idx="24">
                  <c:v>7724</c:v>
                </c:pt>
                <c:pt idx="25">
                  <c:v>9458</c:v>
                </c:pt>
                <c:pt idx="26">
                  <c:v>4631</c:v>
                </c:pt>
                <c:pt idx="27">
                  <c:v>6584</c:v>
                </c:pt>
                <c:pt idx="28">
                  <c:v>6959</c:v>
                </c:pt>
                <c:pt idx="29">
                  <c:v>6600</c:v>
                </c:pt>
                <c:pt idx="30">
                  <c:v>8627</c:v>
                </c:pt>
                <c:pt idx="31">
                  <c:v>5767</c:v>
                </c:pt>
                <c:pt idx="32">
                  <c:v>12754</c:v>
                </c:pt>
                <c:pt idx="33">
                  <c:v>2154</c:v>
                </c:pt>
                <c:pt idx="34">
                  <c:v>10403</c:v>
                </c:pt>
                <c:pt idx="35">
                  <c:v>1297</c:v>
                </c:pt>
                <c:pt idx="36">
                  <c:v>3738</c:v>
                </c:pt>
                <c:pt idx="37">
                  <c:v>6101</c:v>
                </c:pt>
                <c:pt idx="38">
                  <c:v>6447</c:v>
                </c:pt>
                <c:pt idx="39">
                  <c:v>7241</c:v>
                </c:pt>
                <c:pt idx="40">
                  <c:v>113486</c:v>
                </c:pt>
                <c:pt idx="41">
                  <c:v>7127</c:v>
                </c:pt>
                <c:pt idx="42">
                  <c:v>8390</c:v>
                </c:pt>
                <c:pt idx="43">
                  <c:v>10246</c:v>
                </c:pt>
                <c:pt idx="44">
                  <c:v>11276</c:v>
                </c:pt>
                <c:pt idx="45">
                  <c:v>12252</c:v>
                </c:pt>
                <c:pt idx="46">
                  <c:v>12341</c:v>
                </c:pt>
                <c:pt idx="47">
                  <c:v>18004</c:v>
                </c:pt>
                <c:pt idx="48">
                  <c:v>14613</c:v>
                </c:pt>
                <c:pt idx="49">
                  <c:v>11161</c:v>
                </c:pt>
                <c:pt idx="50">
                  <c:v>12931</c:v>
                </c:pt>
                <c:pt idx="51">
                  <c:v>11040</c:v>
                </c:pt>
                <c:pt idx="52">
                  <c:v>23421</c:v>
                </c:pt>
                <c:pt idx="53">
                  <c:v>25072</c:v>
                </c:pt>
                <c:pt idx="54">
                  <c:v>19990</c:v>
                </c:pt>
                <c:pt idx="55">
                  <c:v>12095</c:v>
                </c:pt>
                <c:pt idx="56">
                  <c:v>24433</c:v>
                </c:pt>
                <c:pt idx="57">
                  <c:v>25532</c:v>
                </c:pt>
                <c:pt idx="58">
                  <c:v>30554</c:v>
                </c:pt>
                <c:pt idx="59">
                  <c:v>28897</c:v>
                </c:pt>
                <c:pt idx="60">
                  <c:v>837</c:v>
                </c:pt>
                <c:pt idx="61">
                  <c:v>49455</c:v>
                </c:pt>
                <c:pt idx="62">
                  <c:v>22077</c:v>
                </c:pt>
                <c:pt idx="63">
                  <c:v>19743</c:v>
                </c:pt>
                <c:pt idx="64">
                  <c:v>20309</c:v>
                </c:pt>
                <c:pt idx="65">
                  <c:v>61162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4-3D4F-853B-5A3CEF665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36097568"/>
        <c:axId val="1236100864"/>
      </c:barChart>
      <c:dateAx>
        <c:axId val="123609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00864"/>
        <c:crosses val="autoZero"/>
        <c:auto val="1"/>
        <c:lblOffset val="100"/>
        <c:baseTimeUnit val="days"/>
      </c:dateAx>
      <c:valAx>
        <c:axId val="123610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09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</a:t>
            </a:r>
            <a:r>
              <a:rPr lang="en-US" baseline="0"/>
              <a:t> Cases of COVID-19 Among the Top 5 Infected Counties of the Top 6 Infected States in the United States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Sheet1!$DH$177</c:f>
              <c:strCache>
                <c:ptCount val="1"/>
                <c:pt idx="0">
                  <c:v>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Sheet1!$DG$178:$DG$243</c:f>
              <c:numCache>
                <c:formatCode>d\-mmm</c:formatCode>
                <c:ptCount val="66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</c:numCache>
            </c:numRef>
          </c:cat>
          <c:val>
            <c:numRef>
              <c:f>Sheet1!$DH$178:$DH$243</c:f>
              <c:numCache>
                <c:formatCode>0</c:formatCode>
                <c:ptCount val="66"/>
                <c:pt idx="1">
                  <c:v>5506</c:v>
                </c:pt>
                <c:pt idx="2">
                  <c:v>8803</c:v>
                </c:pt>
                <c:pt idx="3">
                  <c:v>8697</c:v>
                </c:pt>
                <c:pt idx="4">
                  <c:v>5017</c:v>
                </c:pt>
                <c:pt idx="6">
                  <c:v>8088</c:v>
                </c:pt>
                <c:pt idx="7">
                  <c:v>6439</c:v>
                </c:pt>
                <c:pt idx="8">
                  <c:v>8861</c:v>
                </c:pt>
                <c:pt idx="9">
                  <c:v>7891</c:v>
                </c:pt>
                <c:pt idx="11">
                  <c:v>6316</c:v>
                </c:pt>
                <c:pt idx="12">
                  <c:v>4536</c:v>
                </c:pt>
                <c:pt idx="13">
                  <c:v>2036</c:v>
                </c:pt>
                <c:pt idx="14">
                  <c:v>10422</c:v>
                </c:pt>
                <c:pt idx="15">
                  <c:v>5717</c:v>
                </c:pt>
                <c:pt idx="16">
                  <c:v>5353</c:v>
                </c:pt>
                <c:pt idx="17">
                  <c:v>4934</c:v>
                </c:pt>
                <c:pt idx="20">
                  <c:v>2974</c:v>
                </c:pt>
                <c:pt idx="21">
                  <c:v>3733</c:v>
                </c:pt>
                <c:pt idx="22">
                  <c:v>4137</c:v>
                </c:pt>
                <c:pt idx="23">
                  <c:v>5499</c:v>
                </c:pt>
                <c:pt idx="24">
                  <c:v>5763</c:v>
                </c:pt>
                <c:pt idx="25">
                  <c:v>3913</c:v>
                </c:pt>
                <c:pt idx="26">
                  <c:v>2521</c:v>
                </c:pt>
                <c:pt idx="27">
                  <c:v>2015</c:v>
                </c:pt>
                <c:pt idx="28">
                  <c:v>3028</c:v>
                </c:pt>
                <c:pt idx="29">
                  <c:v>2918</c:v>
                </c:pt>
                <c:pt idx="30">
                  <c:v>2511</c:v>
                </c:pt>
                <c:pt idx="31">
                  <c:v>2985</c:v>
                </c:pt>
                <c:pt idx="32">
                  <c:v>2269</c:v>
                </c:pt>
                <c:pt idx="33">
                  <c:v>1508</c:v>
                </c:pt>
                <c:pt idx="34">
                  <c:v>1392</c:v>
                </c:pt>
                <c:pt idx="37">
                  <c:v>1844</c:v>
                </c:pt>
                <c:pt idx="38">
                  <c:v>1737</c:v>
                </c:pt>
                <c:pt idx="39">
                  <c:v>1410</c:v>
                </c:pt>
                <c:pt idx="42">
                  <c:v>1325</c:v>
                </c:pt>
                <c:pt idx="43">
                  <c:v>1462</c:v>
                </c:pt>
                <c:pt idx="44">
                  <c:v>1753</c:v>
                </c:pt>
                <c:pt idx="45">
                  <c:v>1420</c:v>
                </c:pt>
                <c:pt idx="46">
                  <c:v>1086</c:v>
                </c:pt>
                <c:pt idx="47">
                  <c:v>711</c:v>
                </c:pt>
                <c:pt idx="48">
                  <c:v>665</c:v>
                </c:pt>
                <c:pt idx="49">
                  <c:v>757</c:v>
                </c:pt>
                <c:pt idx="50">
                  <c:v>1215</c:v>
                </c:pt>
                <c:pt idx="51">
                  <c:v>868</c:v>
                </c:pt>
                <c:pt idx="52">
                  <c:v>852</c:v>
                </c:pt>
                <c:pt idx="53">
                  <c:v>976</c:v>
                </c:pt>
                <c:pt idx="54">
                  <c:v>683</c:v>
                </c:pt>
                <c:pt idx="55">
                  <c:v>625</c:v>
                </c:pt>
                <c:pt idx="56">
                  <c:v>642</c:v>
                </c:pt>
                <c:pt idx="57">
                  <c:v>1100</c:v>
                </c:pt>
                <c:pt idx="58">
                  <c:v>936</c:v>
                </c:pt>
                <c:pt idx="59">
                  <c:v>774</c:v>
                </c:pt>
                <c:pt idx="60">
                  <c:v>694</c:v>
                </c:pt>
                <c:pt idx="61">
                  <c:v>523</c:v>
                </c:pt>
                <c:pt idx="62">
                  <c:v>863</c:v>
                </c:pt>
                <c:pt idx="63">
                  <c:v>554</c:v>
                </c:pt>
                <c:pt idx="64">
                  <c:v>576</c:v>
                </c:pt>
                <c:pt idx="65">
                  <c:v>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8-1542-84D8-9154527E031C}"/>
            </c:ext>
          </c:extLst>
        </c:ser>
        <c:ser>
          <c:idx val="1"/>
          <c:order val="1"/>
          <c:tx>
            <c:strRef>
              <c:f>Sheet1!$DI$177</c:f>
              <c:strCache>
                <c:ptCount val="1"/>
                <c:pt idx="0">
                  <c:v>NJ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Sheet1!$DG$178:$DG$243</c:f>
              <c:numCache>
                <c:formatCode>d\-mmm</c:formatCode>
                <c:ptCount val="66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</c:numCache>
            </c:numRef>
          </c:cat>
          <c:val>
            <c:numRef>
              <c:f>Sheet1!$DI$178:$DI$243</c:f>
              <c:numCache>
                <c:formatCode>0</c:formatCode>
                <c:ptCount val="66"/>
                <c:pt idx="1">
                  <c:v>1925</c:v>
                </c:pt>
                <c:pt idx="2">
                  <c:v>2725</c:v>
                </c:pt>
                <c:pt idx="3">
                  <c:v>3136</c:v>
                </c:pt>
                <c:pt idx="4">
                  <c:v>2029</c:v>
                </c:pt>
                <c:pt idx="5">
                  <c:v>2555</c:v>
                </c:pt>
                <c:pt idx="6">
                  <c:v>2828</c:v>
                </c:pt>
                <c:pt idx="7">
                  <c:v>2093</c:v>
                </c:pt>
                <c:pt idx="8">
                  <c:v>2072</c:v>
                </c:pt>
                <c:pt idx="9">
                  <c:v>2327</c:v>
                </c:pt>
                <c:pt idx="10">
                  <c:v>1869</c:v>
                </c:pt>
                <c:pt idx="11">
                  <c:v>2053</c:v>
                </c:pt>
                <c:pt idx="12">
                  <c:v>1758</c:v>
                </c:pt>
                <c:pt idx="13">
                  <c:v>2392</c:v>
                </c:pt>
                <c:pt idx="14">
                  <c:v>1543</c:v>
                </c:pt>
                <c:pt idx="15">
                  <c:v>2753</c:v>
                </c:pt>
                <c:pt idx="16">
                  <c:v>2325</c:v>
                </c:pt>
                <c:pt idx="17">
                  <c:v>1711</c:v>
                </c:pt>
                <c:pt idx="18">
                  <c:v>2411</c:v>
                </c:pt>
                <c:pt idx="19">
                  <c:v>2015</c:v>
                </c:pt>
                <c:pt idx="20">
                  <c:v>2009</c:v>
                </c:pt>
                <c:pt idx="21">
                  <c:v>1638</c:v>
                </c:pt>
                <c:pt idx="22">
                  <c:v>2326</c:v>
                </c:pt>
                <c:pt idx="23">
                  <c:v>1669</c:v>
                </c:pt>
                <c:pt idx="24">
                  <c:v>1903</c:v>
                </c:pt>
                <c:pt idx="25">
                  <c:v>1640</c:v>
                </c:pt>
                <c:pt idx="26">
                  <c:v>910</c:v>
                </c:pt>
                <c:pt idx="27">
                  <c:v>1257</c:v>
                </c:pt>
                <c:pt idx="28">
                  <c:v>1359</c:v>
                </c:pt>
                <c:pt idx="29">
                  <c:v>1183</c:v>
                </c:pt>
                <c:pt idx="30">
                  <c:v>1330</c:v>
                </c:pt>
                <c:pt idx="31">
                  <c:v>1136</c:v>
                </c:pt>
                <c:pt idx="32">
                  <c:v>1363</c:v>
                </c:pt>
                <c:pt idx="33">
                  <c:v>573</c:v>
                </c:pt>
                <c:pt idx="34">
                  <c:v>1062</c:v>
                </c:pt>
                <c:pt idx="35">
                  <c:v>544</c:v>
                </c:pt>
                <c:pt idx="36">
                  <c:v>729</c:v>
                </c:pt>
                <c:pt idx="37">
                  <c:v>710</c:v>
                </c:pt>
                <c:pt idx="40">
                  <c:v>500</c:v>
                </c:pt>
                <c:pt idx="41">
                  <c:v>295</c:v>
                </c:pt>
                <c:pt idx="42">
                  <c:v>327</c:v>
                </c:pt>
                <c:pt idx="45">
                  <c:v>397</c:v>
                </c:pt>
                <c:pt idx="46">
                  <c:v>651</c:v>
                </c:pt>
                <c:pt idx="51">
                  <c:v>383</c:v>
                </c:pt>
                <c:pt idx="54">
                  <c:v>368</c:v>
                </c:pt>
                <c:pt idx="55">
                  <c:v>287</c:v>
                </c:pt>
                <c:pt idx="56">
                  <c:v>257</c:v>
                </c:pt>
                <c:pt idx="57">
                  <c:v>578</c:v>
                </c:pt>
                <c:pt idx="58">
                  <c:v>443</c:v>
                </c:pt>
                <c:pt idx="61" formatCode="General">
                  <c:v>172</c:v>
                </c:pt>
                <c:pt idx="62" formatCode="General">
                  <c:v>159</c:v>
                </c:pt>
                <c:pt idx="63" formatCode="General">
                  <c:v>193</c:v>
                </c:pt>
                <c:pt idx="64" formatCode="General">
                  <c:v>214</c:v>
                </c:pt>
                <c:pt idx="65" formatCode="General">
                  <c:v>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8-1542-84D8-9154527E031C}"/>
            </c:ext>
          </c:extLst>
        </c:ser>
        <c:ser>
          <c:idx val="2"/>
          <c:order val="2"/>
          <c:tx>
            <c:strRef>
              <c:f>Sheet1!$DJ$177</c:f>
              <c:strCache>
                <c:ptCount val="1"/>
                <c:pt idx="0">
                  <c:v>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Sheet1!$DG$178:$DG$243</c:f>
              <c:numCache>
                <c:formatCode>d\-mmm</c:formatCode>
                <c:ptCount val="66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</c:numCache>
            </c:numRef>
          </c:cat>
          <c:val>
            <c:numRef>
              <c:f>Sheet1!$DJ$178:$DJ$243</c:f>
              <c:numCache>
                <c:formatCode>0</c:formatCode>
                <c:ptCount val="66"/>
                <c:pt idx="1">
                  <c:v>927</c:v>
                </c:pt>
                <c:pt idx="2">
                  <c:v>1083</c:v>
                </c:pt>
                <c:pt idx="3">
                  <c:v>918</c:v>
                </c:pt>
                <c:pt idx="4">
                  <c:v>634</c:v>
                </c:pt>
                <c:pt idx="5">
                  <c:v>946</c:v>
                </c:pt>
                <c:pt idx="6">
                  <c:v>1046</c:v>
                </c:pt>
                <c:pt idx="7">
                  <c:v>1285</c:v>
                </c:pt>
                <c:pt idx="8">
                  <c:v>1568</c:v>
                </c:pt>
                <c:pt idx="9">
                  <c:v>1655</c:v>
                </c:pt>
                <c:pt idx="10">
                  <c:v>1366</c:v>
                </c:pt>
                <c:pt idx="11">
                  <c:v>1959</c:v>
                </c:pt>
                <c:pt idx="12">
                  <c:v>1071</c:v>
                </c:pt>
                <c:pt idx="13">
                  <c:v>994</c:v>
                </c:pt>
                <c:pt idx="14">
                  <c:v>1391</c:v>
                </c:pt>
                <c:pt idx="15">
                  <c:v>1790</c:v>
                </c:pt>
                <c:pt idx="16">
                  <c:v>1748</c:v>
                </c:pt>
                <c:pt idx="17">
                  <c:v>1654</c:v>
                </c:pt>
                <c:pt idx="18">
                  <c:v>1304</c:v>
                </c:pt>
                <c:pt idx="19">
                  <c:v>1180</c:v>
                </c:pt>
                <c:pt idx="20">
                  <c:v>1212</c:v>
                </c:pt>
                <c:pt idx="21">
                  <c:v>1391</c:v>
                </c:pt>
                <c:pt idx="22">
                  <c:v>2416</c:v>
                </c:pt>
                <c:pt idx="23">
                  <c:v>3431</c:v>
                </c:pt>
                <c:pt idx="24">
                  <c:v>1863</c:v>
                </c:pt>
                <c:pt idx="25">
                  <c:v>1225</c:v>
                </c:pt>
                <c:pt idx="26">
                  <c:v>1146</c:v>
                </c:pt>
                <c:pt idx="27">
                  <c:v>1409</c:v>
                </c:pt>
                <c:pt idx="28">
                  <c:v>1623</c:v>
                </c:pt>
                <c:pt idx="29">
                  <c:v>1499</c:v>
                </c:pt>
                <c:pt idx="30">
                  <c:v>1565</c:v>
                </c:pt>
                <c:pt idx="31">
                  <c:v>1550</c:v>
                </c:pt>
                <c:pt idx="32">
                  <c:v>925</c:v>
                </c:pt>
                <c:pt idx="33">
                  <c:v>1067</c:v>
                </c:pt>
                <c:pt idx="34">
                  <c:v>871</c:v>
                </c:pt>
                <c:pt idx="35">
                  <c:v>1554</c:v>
                </c:pt>
                <c:pt idx="36">
                  <c:v>1195</c:v>
                </c:pt>
                <c:pt idx="37">
                  <c:v>1220</c:v>
                </c:pt>
                <c:pt idx="38">
                  <c:v>971</c:v>
                </c:pt>
                <c:pt idx="39">
                  <c:v>781</c:v>
                </c:pt>
                <c:pt idx="40">
                  <c:v>468</c:v>
                </c:pt>
                <c:pt idx="41">
                  <c:v>600</c:v>
                </c:pt>
                <c:pt idx="42">
                  <c:v>877</c:v>
                </c:pt>
                <c:pt idx="43">
                  <c:v>1164</c:v>
                </c:pt>
                <c:pt idx="44">
                  <c:v>902</c:v>
                </c:pt>
                <c:pt idx="45">
                  <c:v>1095</c:v>
                </c:pt>
                <c:pt idx="46">
                  <c:v>774</c:v>
                </c:pt>
                <c:pt idx="47">
                  <c:v>773</c:v>
                </c:pt>
                <c:pt idx="48">
                  <c:v>655</c:v>
                </c:pt>
                <c:pt idx="49">
                  <c:v>753</c:v>
                </c:pt>
                <c:pt idx="50">
                  <c:v>793</c:v>
                </c:pt>
                <c:pt idx="51">
                  <c:v>541</c:v>
                </c:pt>
                <c:pt idx="52">
                  <c:v>556</c:v>
                </c:pt>
                <c:pt idx="53">
                  <c:v>687</c:v>
                </c:pt>
                <c:pt idx="54">
                  <c:v>389</c:v>
                </c:pt>
                <c:pt idx="55">
                  <c:v>281</c:v>
                </c:pt>
                <c:pt idx="56">
                  <c:v>383</c:v>
                </c:pt>
                <c:pt idx="57">
                  <c:v>479</c:v>
                </c:pt>
                <c:pt idx="58">
                  <c:v>441</c:v>
                </c:pt>
                <c:pt idx="59">
                  <c:v>455</c:v>
                </c:pt>
                <c:pt idx="60">
                  <c:v>532</c:v>
                </c:pt>
                <c:pt idx="61">
                  <c:v>2919</c:v>
                </c:pt>
                <c:pt idx="62">
                  <c:v>301</c:v>
                </c:pt>
                <c:pt idx="63">
                  <c:v>306</c:v>
                </c:pt>
                <c:pt idx="64">
                  <c:v>327</c:v>
                </c:pt>
                <c:pt idx="65">
                  <c:v>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8-1542-84D8-9154527E031C}"/>
            </c:ext>
          </c:extLst>
        </c:ser>
        <c:ser>
          <c:idx val="3"/>
          <c:order val="3"/>
          <c:tx>
            <c:strRef>
              <c:f>Sheet1!$DK$177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Sheet1!$DG$178:$DG$243</c:f>
              <c:numCache>
                <c:formatCode>d\-mmm</c:formatCode>
                <c:ptCount val="66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</c:numCache>
            </c:numRef>
          </c:cat>
          <c:val>
            <c:numRef>
              <c:f>Sheet1!$DK$178:$DK$243</c:f>
              <c:numCache>
                <c:formatCode>0</c:formatCode>
                <c:ptCount val="66"/>
                <c:pt idx="1">
                  <c:v>1807</c:v>
                </c:pt>
                <c:pt idx="2">
                  <c:v>1724</c:v>
                </c:pt>
                <c:pt idx="3">
                  <c:v>1670</c:v>
                </c:pt>
                <c:pt idx="4">
                  <c:v>855</c:v>
                </c:pt>
                <c:pt idx="5">
                  <c:v>1300</c:v>
                </c:pt>
                <c:pt idx="6">
                  <c:v>1474</c:v>
                </c:pt>
                <c:pt idx="7">
                  <c:v>1188</c:v>
                </c:pt>
                <c:pt idx="8">
                  <c:v>933</c:v>
                </c:pt>
                <c:pt idx="9">
                  <c:v>995</c:v>
                </c:pt>
                <c:pt idx="10">
                  <c:v>1011</c:v>
                </c:pt>
                <c:pt idx="11">
                  <c:v>483</c:v>
                </c:pt>
                <c:pt idx="12">
                  <c:v>859</c:v>
                </c:pt>
                <c:pt idx="13">
                  <c:v>1132</c:v>
                </c:pt>
                <c:pt idx="14">
                  <c:v>799</c:v>
                </c:pt>
                <c:pt idx="15">
                  <c:v>951</c:v>
                </c:pt>
                <c:pt idx="16">
                  <c:v>586</c:v>
                </c:pt>
                <c:pt idx="17">
                  <c:v>510</c:v>
                </c:pt>
                <c:pt idx="18">
                  <c:v>430</c:v>
                </c:pt>
                <c:pt idx="19">
                  <c:v>378</c:v>
                </c:pt>
                <c:pt idx="20">
                  <c:v>654</c:v>
                </c:pt>
                <c:pt idx="21">
                  <c:v>623</c:v>
                </c:pt>
                <c:pt idx="22">
                  <c:v>911</c:v>
                </c:pt>
                <c:pt idx="23">
                  <c:v>804</c:v>
                </c:pt>
                <c:pt idx="24">
                  <c:v>381</c:v>
                </c:pt>
                <c:pt idx="28">
                  <c:v>606</c:v>
                </c:pt>
                <c:pt idx="29">
                  <c:v>469</c:v>
                </c:pt>
                <c:pt idx="30">
                  <c:v>542</c:v>
                </c:pt>
                <c:pt idx="31">
                  <c:v>261</c:v>
                </c:pt>
                <c:pt idx="32">
                  <c:v>351</c:v>
                </c:pt>
                <c:pt idx="35">
                  <c:v>322</c:v>
                </c:pt>
                <c:pt idx="36">
                  <c:v>223</c:v>
                </c:pt>
                <c:pt idx="37">
                  <c:v>312</c:v>
                </c:pt>
                <c:pt idx="38">
                  <c:v>247</c:v>
                </c:pt>
                <c:pt idx="39">
                  <c:v>196</c:v>
                </c:pt>
                <c:pt idx="40">
                  <c:v>174</c:v>
                </c:pt>
                <c:pt idx="41">
                  <c:v>176</c:v>
                </c:pt>
                <c:pt idx="42">
                  <c:v>207</c:v>
                </c:pt>
                <c:pt idx="43">
                  <c:v>648</c:v>
                </c:pt>
                <c:pt idx="44">
                  <c:v>223</c:v>
                </c:pt>
                <c:pt idx="45">
                  <c:v>208</c:v>
                </c:pt>
                <c:pt idx="46">
                  <c:v>132</c:v>
                </c:pt>
                <c:pt idx="47">
                  <c:v>88</c:v>
                </c:pt>
                <c:pt idx="48">
                  <c:v>230</c:v>
                </c:pt>
                <c:pt idx="49">
                  <c:v>238</c:v>
                </c:pt>
                <c:pt idx="50">
                  <c:v>157</c:v>
                </c:pt>
                <c:pt idx="51">
                  <c:v>108</c:v>
                </c:pt>
                <c:pt idx="52">
                  <c:v>207</c:v>
                </c:pt>
                <c:pt idx="53">
                  <c:v>138</c:v>
                </c:pt>
                <c:pt idx="54">
                  <c:v>90</c:v>
                </c:pt>
                <c:pt idx="55">
                  <c:v>142</c:v>
                </c:pt>
                <c:pt idx="56">
                  <c:v>134</c:v>
                </c:pt>
                <c:pt idx="57">
                  <c:v>129</c:v>
                </c:pt>
                <c:pt idx="58">
                  <c:v>248</c:v>
                </c:pt>
                <c:pt idx="59">
                  <c:v>62</c:v>
                </c:pt>
                <c:pt idx="60" formatCode="General">
                  <c:v>323</c:v>
                </c:pt>
                <c:pt idx="61" formatCode="General">
                  <c:v>57</c:v>
                </c:pt>
                <c:pt idx="62" formatCode="General">
                  <c:v>49</c:v>
                </c:pt>
                <c:pt idx="63" formatCode="General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B8-1542-84D8-9154527E031C}"/>
            </c:ext>
          </c:extLst>
        </c:ser>
        <c:ser>
          <c:idx val="4"/>
          <c:order val="4"/>
          <c:tx>
            <c:strRef>
              <c:f>Sheet1!$DL$177</c:f>
              <c:strCache>
                <c:ptCount val="1"/>
                <c:pt idx="0">
                  <c:v>PA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Sheet1!$DG$178:$DG$243</c:f>
              <c:numCache>
                <c:formatCode>d\-mmm</c:formatCode>
                <c:ptCount val="66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</c:numCache>
            </c:numRef>
          </c:cat>
          <c:val>
            <c:numRef>
              <c:f>Sheet1!$DL$178:$DL$243</c:f>
              <c:numCache>
                <c:formatCode>0</c:formatCode>
                <c:ptCount val="66"/>
                <c:pt idx="1">
                  <c:v>662</c:v>
                </c:pt>
                <c:pt idx="2">
                  <c:v>782</c:v>
                </c:pt>
                <c:pt idx="3">
                  <c:v>761</c:v>
                </c:pt>
                <c:pt idx="4">
                  <c:v>860</c:v>
                </c:pt>
                <c:pt idx="5">
                  <c:v>888</c:v>
                </c:pt>
                <c:pt idx="6">
                  <c:v>789</c:v>
                </c:pt>
                <c:pt idx="7">
                  <c:v>962</c:v>
                </c:pt>
                <c:pt idx="8">
                  <c:v>1280</c:v>
                </c:pt>
                <c:pt idx="9">
                  <c:v>1043</c:v>
                </c:pt>
                <c:pt idx="10">
                  <c:v>1066</c:v>
                </c:pt>
                <c:pt idx="11">
                  <c:v>694</c:v>
                </c:pt>
                <c:pt idx="12">
                  <c:v>875</c:v>
                </c:pt>
                <c:pt idx="13">
                  <c:v>627</c:v>
                </c:pt>
                <c:pt idx="14">
                  <c:v>777</c:v>
                </c:pt>
                <c:pt idx="15">
                  <c:v>537</c:v>
                </c:pt>
                <c:pt idx="16">
                  <c:v>1512</c:v>
                </c:pt>
                <c:pt idx="18">
                  <c:v>1083</c:v>
                </c:pt>
                <c:pt idx="21">
                  <c:v>708</c:v>
                </c:pt>
                <c:pt idx="22">
                  <c:v>827</c:v>
                </c:pt>
                <c:pt idx="23">
                  <c:v>887</c:v>
                </c:pt>
                <c:pt idx="24">
                  <c:v>734</c:v>
                </c:pt>
                <c:pt idx="25">
                  <c:v>620</c:v>
                </c:pt>
                <c:pt idx="26">
                  <c:v>443</c:v>
                </c:pt>
                <c:pt idx="27">
                  <c:v>699</c:v>
                </c:pt>
                <c:pt idx="28">
                  <c:v>637</c:v>
                </c:pt>
                <c:pt idx="29">
                  <c:v>757</c:v>
                </c:pt>
                <c:pt idx="30">
                  <c:v>602</c:v>
                </c:pt>
                <c:pt idx="31">
                  <c:v>744</c:v>
                </c:pt>
                <c:pt idx="32">
                  <c:v>514</c:v>
                </c:pt>
                <c:pt idx="33">
                  <c:v>337</c:v>
                </c:pt>
                <c:pt idx="34">
                  <c:v>204</c:v>
                </c:pt>
                <c:pt idx="35">
                  <c:v>352</c:v>
                </c:pt>
                <c:pt idx="36">
                  <c:v>241</c:v>
                </c:pt>
                <c:pt idx="37">
                  <c:v>816</c:v>
                </c:pt>
                <c:pt idx="38">
                  <c:v>584</c:v>
                </c:pt>
                <c:pt idx="39">
                  <c:v>716</c:v>
                </c:pt>
                <c:pt idx="40">
                  <c:v>291</c:v>
                </c:pt>
                <c:pt idx="42">
                  <c:v>366</c:v>
                </c:pt>
                <c:pt idx="45">
                  <c:v>537</c:v>
                </c:pt>
                <c:pt idx="46">
                  <c:v>311</c:v>
                </c:pt>
                <c:pt idx="47">
                  <c:v>473</c:v>
                </c:pt>
                <c:pt idx="48">
                  <c:v>301</c:v>
                </c:pt>
                <c:pt idx="49">
                  <c:v>404</c:v>
                </c:pt>
                <c:pt idx="50">
                  <c:v>491</c:v>
                </c:pt>
                <c:pt idx="51">
                  <c:v>487</c:v>
                </c:pt>
                <c:pt idx="52">
                  <c:v>325</c:v>
                </c:pt>
                <c:pt idx="53">
                  <c:v>365</c:v>
                </c:pt>
                <c:pt idx="54">
                  <c:v>227</c:v>
                </c:pt>
                <c:pt idx="55">
                  <c:v>182</c:v>
                </c:pt>
                <c:pt idx="56">
                  <c:v>484</c:v>
                </c:pt>
                <c:pt idx="57">
                  <c:v>295</c:v>
                </c:pt>
                <c:pt idx="58">
                  <c:v>355</c:v>
                </c:pt>
                <c:pt idx="59">
                  <c:v>355</c:v>
                </c:pt>
                <c:pt idx="60" formatCode="General">
                  <c:v>252</c:v>
                </c:pt>
                <c:pt idx="61" formatCode="General">
                  <c:v>161</c:v>
                </c:pt>
                <c:pt idx="62" formatCode="General">
                  <c:v>323</c:v>
                </c:pt>
                <c:pt idx="63" formatCode="General">
                  <c:v>271</c:v>
                </c:pt>
                <c:pt idx="64" formatCode="General">
                  <c:v>266</c:v>
                </c:pt>
                <c:pt idx="65" formatCode="General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B8-1542-84D8-9154527E031C}"/>
            </c:ext>
          </c:extLst>
        </c:ser>
        <c:ser>
          <c:idx val="5"/>
          <c:order val="5"/>
          <c:tx>
            <c:strRef>
              <c:f>Sheet1!$DM$177</c:f>
              <c:strCache>
                <c:ptCount val="1"/>
                <c:pt idx="0">
                  <c:v>CA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Sheet1!$DG$178:$DG$243</c:f>
              <c:numCache>
                <c:formatCode>d\-mmm</c:formatCode>
                <c:ptCount val="66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</c:numCache>
            </c:numRef>
          </c:cat>
          <c:val>
            <c:numRef>
              <c:f>Sheet1!$DM$178:$DM$243</c:f>
              <c:numCache>
                <c:formatCode>0</c:formatCode>
                <c:ptCount val="66"/>
                <c:pt idx="1">
                  <c:v>900</c:v>
                </c:pt>
                <c:pt idx="2">
                  <c:v>904</c:v>
                </c:pt>
                <c:pt idx="3">
                  <c:v>1047</c:v>
                </c:pt>
                <c:pt idx="4">
                  <c:v>858</c:v>
                </c:pt>
                <c:pt idx="5">
                  <c:v>782</c:v>
                </c:pt>
                <c:pt idx="6">
                  <c:v>750</c:v>
                </c:pt>
                <c:pt idx="7">
                  <c:v>945</c:v>
                </c:pt>
                <c:pt idx="8">
                  <c:v>746</c:v>
                </c:pt>
                <c:pt idx="9">
                  <c:v>710</c:v>
                </c:pt>
                <c:pt idx="10">
                  <c:v>770</c:v>
                </c:pt>
                <c:pt idx="11">
                  <c:v>534</c:v>
                </c:pt>
                <c:pt idx="12">
                  <c:v>458</c:v>
                </c:pt>
                <c:pt idx="13">
                  <c:v>687</c:v>
                </c:pt>
                <c:pt idx="14">
                  <c:v>1010</c:v>
                </c:pt>
                <c:pt idx="15">
                  <c:v>724</c:v>
                </c:pt>
                <c:pt idx="16">
                  <c:v>919</c:v>
                </c:pt>
                <c:pt idx="19">
                  <c:v>1836</c:v>
                </c:pt>
                <c:pt idx="20">
                  <c:v>1633</c:v>
                </c:pt>
                <c:pt idx="21">
                  <c:v>1646</c:v>
                </c:pt>
                <c:pt idx="22">
                  <c:v>1496</c:v>
                </c:pt>
                <c:pt idx="23">
                  <c:v>1605</c:v>
                </c:pt>
                <c:pt idx="24">
                  <c:v>926</c:v>
                </c:pt>
                <c:pt idx="25">
                  <c:v>903</c:v>
                </c:pt>
                <c:pt idx="28">
                  <c:v>1819</c:v>
                </c:pt>
                <c:pt idx="29">
                  <c:v>1172</c:v>
                </c:pt>
                <c:pt idx="30">
                  <c:v>1315</c:v>
                </c:pt>
                <c:pt idx="31">
                  <c:v>1025</c:v>
                </c:pt>
                <c:pt idx="32">
                  <c:v>992</c:v>
                </c:pt>
                <c:pt idx="33">
                  <c:v>890</c:v>
                </c:pt>
                <c:pt idx="34">
                  <c:v>1783</c:v>
                </c:pt>
                <c:pt idx="35">
                  <c:v>1531</c:v>
                </c:pt>
                <c:pt idx="36">
                  <c:v>1178</c:v>
                </c:pt>
                <c:pt idx="37">
                  <c:v>1226</c:v>
                </c:pt>
                <c:pt idx="38">
                  <c:v>1367</c:v>
                </c:pt>
                <c:pt idx="39">
                  <c:v>808</c:v>
                </c:pt>
                <c:pt idx="40">
                  <c:v>919</c:v>
                </c:pt>
                <c:pt idx="41">
                  <c:v>1316</c:v>
                </c:pt>
                <c:pt idx="42">
                  <c:v>1670</c:v>
                </c:pt>
                <c:pt idx="43">
                  <c:v>1249</c:v>
                </c:pt>
                <c:pt idx="44">
                  <c:v>1312</c:v>
                </c:pt>
                <c:pt idx="45">
                  <c:v>1451</c:v>
                </c:pt>
                <c:pt idx="46">
                  <c:v>1064</c:v>
                </c:pt>
                <c:pt idx="47">
                  <c:v>795</c:v>
                </c:pt>
                <c:pt idx="48">
                  <c:v>1584</c:v>
                </c:pt>
                <c:pt idx="49">
                  <c:v>1630</c:v>
                </c:pt>
                <c:pt idx="50">
                  <c:v>1582</c:v>
                </c:pt>
                <c:pt idx="51">
                  <c:v>1373</c:v>
                </c:pt>
                <c:pt idx="52">
                  <c:v>1463</c:v>
                </c:pt>
                <c:pt idx="53">
                  <c:v>1334</c:v>
                </c:pt>
                <c:pt idx="54">
                  <c:v>1609</c:v>
                </c:pt>
                <c:pt idx="55">
                  <c:v>1972</c:v>
                </c:pt>
                <c:pt idx="56">
                  <c:v>1510</c:v>
                </c:pt>
                <c:pt idx="57">
                  <c:v>1565</c:v>
                </c:pt>
                <c:pt idx="58">
                  <c:v>2133</c:v>
                </c:pt>
                <c:pt idx="60" formatCode="General">
                  <c:v>1828</c:v>
                </c:pt>
                <c:pt idx="61" formatCode="General">
                  <c:v>1384</c:v>
                </c:pt>
                <c:pt idx="62" formatCode="General">
                  <c:v>1707</c:v>
                </c:pt>
                <c:pt idx="63" formatCode="General">
                  <c:v>1429</c:v>
                </c:pt>
                <c:pt idx="64" formatCode="General">
                  <c:v>2125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B8-1542-84D8-9154527E0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289584"/>
        <c:axId val="1266509888"/>
      </c:lineChart>
      <c:dateAx>
        <c:axId val="1260289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509888"/>
        <c:crosses val="autoZero"/>
        <c:auto val="1"/>
        <c:lblOffset val="100"/>
        <c:baseTimeUnit val="days"/>
      </c:dateAx>
      <c:valAx>
        <c:axId val="12665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2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 COUNTIES OF NEW</a:t>
            </a:r>
            <a:r>
              <a:rPr lang="en-US" baseline="0"/>
              <a:t> JERSEY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BERGEN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Sheet1!$K$2:$L$66</c:f>
              <c:strCache>
                <c:ptCount val="6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</c:strCache>
            </c:strRef>
          </c:cat>
          <c:val>
            <c:numRef>
              <c:f>Sheet1!$M$2:$M$66</c:f>
              <c:numCache>
                <c:formatCode>0</c:formatCode>
                <c:ptCount val="65"/>
                <c:pt idx="1">
                  <c:v>605</c:v>
                </c:pt>
                <c:pt idx="2">
                  <c:v>767</c:v>
                </c:pt>
                <c:pt idx="3">
                  <c:v>894</c:v>
                </c:pt>
                <c:pt idx="4">
                  <c:v>427</c:v>
                </c:pt>
                <c:pt idx="5">
                  <c:v>675</c:v>
                </c:pt>
                <c:pt idx="6">
                  <c:v>671</c:v>
                </c:pt>
                <c:pt idx="7">
                  <c:v>341</c:v>
                </c:pt>
                <c:pt idx="8">
                  <c:v>469</c:v>
                </c:pt>
                <c:pt idx="9">
                  <c:v>585</c:v>
                </c:pt>
                <c:pt idx="10">
                  <c:v>434</c:v>
                </c:pt>
                <c:pt idx="11">
                  <c:v>422</c:v>
                </c:pt>
                <c:pt idx="12">
                  <c:v>308</c:v>
                </c:pt>
                <c:pt idx="13">
                  <c:v>334</c:v>
                </c:pt>
                <c:pt idx="14">
                  <c:v>422</c:v>
                </c:pt>
                <c:pt idx="15">
                  <c:v>561</c:v>
                </c:pt>
                <c:pt idx="16">
                  <c:v>454</c:v>
                </c:pt>
                <c:pt idx="17">
                  <c:v>300</c:v>
                </c:pt>
                <c:pt idx="18">
                  <c:v>476</c:v>
                </c:pt>
                <c:pt idx="19">
                  <c:v>372</c:v>
                </c:pt>
                <c:pt idx="20">
                  <c:v>345</c:v>
                </c:pt>
                <c:pt idx="21">
                  <c:v>330</c:v>
                </c:pt>
                <c:pt idx="22">
                  <c:v>363</c:v>
                </c:pt>
                <c:pt idx="23">
                  <c:v>314</c:v>
                </c:pt>
                <c:pt idx="24">
                  <c:v>375</c:v>
                </c:pt>
                <c:pt idx="25">
                  <c:v>227</c:v>
                </c:pt>
                <c:pt idx="26">
                  <c:v>139</c:v>
                </c:pt>
                <c:pt idx="27">
                  <c:v>147</c:v>
                </c:pt>
                <c:pt idx="28">
                  <c:v>195</c:v>
                </c:pt>
                <c:pt idx="29">
                  <c:v>164</c:v>
                </c:pt>
                <c:pt idx="30">
                  <c:v>220</c:v>
                </c:pt>
                <c:pt idx="31">
                  <c:v>144</c:v>
                </c:pt>
                <c:pt idx="32">
                  <c:v>211</c:v>
                </c:pt>
                <c:pt idx="33">
                  <c:v>97</c:v>
                </c:pt>
                <c:pt idx="34">
                  <c:v>178</c:v>
                </c:pt>
                <c:pt idx="35">
                  <c:v>60</c:v>
                </c:pt>
                <c:pt idx="36">
                  <c:v>89</c:v>
                </c:pt>
                <c:pt idx="37">
                  <c:v>100</c:v>
                </c:pt>
                <c:pt idx="38">
                  <c:v>95</c:v>
                </c:pt>
                <c:pt idx="39">
                  <c:v>125</c:v>
                </c:pt>
                <c:pt idx="40">
                  <c:v>99</c:v>
                </c:pt>
                <c:pt idx="41">
                  <c:v>63</c:v>
                </c:pt>
                <c:pt idx="42">
                  <c:v>59</c:v>
                </c:pt>
                <c:pt idx="45">
                  <c:v>51</c:v>
                </c:pt>
                <c:pt idx="46">
                  <c:v>115</c:v>
                </c:pt>
                <c:pt idx="47">
                  <c:v>98</c:v>
                </c:pt>
                <c:pt idx="48">
                  <c:v>63</c:v>
                </c:pt>
                <c:pt idx="51">
                  <c:v>70</c:v>
                </c:pt>
                <c:pt idx="52">
                  <c:v>15</c:v>
                </c:pt>
                <c:pt idx="53">
                  <c:v>136</c:v>
                </c:pt>
                <c:pt idx="54">
                  <c:v>97</c:v>
                </c:pt>
                <c:pt idx="55" formatCode="General">
                  <c:v>62</c:v>
                </c:pt>
                <c:pt idx="56" formatCode="General">
                  <c:v>60</c:v>
                </c:pt>
                <c:pt idx="57" formatCode="General">
                  <c:v>135</c:v>
                </c:pt>
                <c:pt idx="58" formatCode="General">
                  <c:v>65</c:v>
                </c:pt>
                <c:pt idx="61" formatCode="General">
                  <c:v>30</c:v>
                </c:pt>
                <c:pt idx="62" formatCode="General">
                  <c:v>31</c:v>
                </c:pt>
                <c:pt idx="63" formatCode="General">
                  <c:v>43</c:v>
                </c:pt>
                <c:pt idx="64" formatCode="General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1F-3A42-B717-D3B6D28590C2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Sheet1!$K$2:$L$66</c:f>
              <c:strCache>
                <c:ptCount val="6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</c:strCache>
            </c:strRef>
          </c:cat>
          <c:val>
            <c:numRef>
              <c:f>Sheet1!$N$2:$N$66</c:f>
              <c:numCache>
                <c:formatCode>0</c:formatCode>
                <c:ptCount val="65"/>
                <c:pt idx="1">
                  <c:v>360</c:v>
                </c:pt>
                <c:pt idx="2">
                  <c:v>565</c:v>
                </c:pt>
                <c:pt idx="3">
                  <c:v>656</c:v>
                </c:pt>
                <c:pt idx="4">
                  <c:v>433</c:v>
                </c:pt>
                <c:pt idx="5">
                  <c:v>471</c:v>
                </c:pt>
                <c:pt idx="6">
                  <c:v>554</c:v>
                </c:pt>
                <c:pt idx="7">
                  <c:v>488</c:v>
                </c:pt>
                <c:pt idx="8">
                  <c:v>442</c:v>
                </c:pt>
                <c:pt idx="9">
                  <c:v>532</c:v>
                </c:pt>
                <c:pt idx="10">
                  <c:v>596</c:v>
                </c:pt>
                <c:pt idx="11">
                  <c:v>462</c:v>
                </c:pt>
                <c:pt idx="12">
                  <c:v>410</c:v>
                </c:pt>
                <c:pt idx="13">
                  <c:v>363</c:v>
                </c:pt>
                <c:pt idx="14">
                  <c:v>269</c:v>
                </c:pt>
                <c:pt idx="15">
                  <c:v>654</c:v>
                </c:pt>
                <c:pt idx="16">
                  <c:v>471</c:v>
                </c:pt>
                <c:pt idx="17">
                  <c:v>320</c:v>
                </c:pt>
                <c:pt idx="18">
                  <c:v>530</c:v>
                </c:pt>
                <c:pt idx="19">
                  <c:v>664</c:v>
                </c:pt>
                <c:pt idx="20">
                  <c:v>486</c:v>
                </c:pt>
                <c:pt idx="21">
                  <c:v>403</c:v>
                </c:pt>
                <c:pt idx="22">
                  <c:v>606</c:v>
                </c:pt>
                <c:pt idx="23">
                  <c:v>366</c:v>
                </c:pt>
                <c:pt idx="24">
                  <c:v>356</c:v>
                </c:pt>
                <c:pt idx="25">
                  <c:v>341</c:v>
                </c:pt>
                <c:pt idx="26">
                  <c:v>217</c:v>
                </c:pt>
                <c:pt idx="27">
                  <c:v>384</c:v>
                </c:pt>
                <c:pt idx="28">
                  <c:v>287</c:v>
                </c:pt>
                <c:pt idx="29">
                  <c:v>320</c:v>
                </c:pt>
                <c:pt idx="30">
                  <c:v>232</c:v>
                </c:pt>
                <c:pt idx="31">
                  <c:v>253</c:v>
                </c:pt>
                <c:pt idx="32">
                  <c:v>368</c:v>
                </c:pt>
                <c:pt idx="33">
                  <c:v>112</c:v>
                </c:pt>
                <c:pt idx="34">
                  <c:v>218</c:v>
                </c:pt>
                <c:pt idx="35">
                  <c:v>98</c:v>
                </c:pt>
                <c:pt idx="36">
                  <c:v>157</c:v>
                </c:pt>
                <c:pt idx="37">
                  <c:v>166</c:v>
                </c:pt>
                <c:pt idx="38">
                  <c:v>155</c:v>
                </c:pt>
                <c:pt idx="39">
                  <c:v>147</c:v>
                </c:pt>
                <c:pt idx="40">
                  <c:v>114</c:v>
                </c:pt>
                <c:pt idx="41">
                  <c:v>39</c:v>
                </c:pt>
                <c:pt idx="42">
                  <c:v>60</c:v>
                </c:pt>
                <c:pt idx="43">
                  <c:v>99</c:v>
                </c:pt>
                <c:pt idx="44">
                  <c:v>103</c:v>
                </c:pt>
                <c:pt idx="45">
                  <c:v>89</c:v>
                </c:pt>
                <c:pt idx="46">
                  <c:v>121</c:v>
                </c:pt>
                <c:pt idx="49">
                  <c:v>127</c:v>
                </c:pt>
                <c:pt idx="50">
                  <c:v>66</c:v>
                </c:pt>
                <c:pt idx="51">
                  <c:v>83</c:v>
                </c:pt>
                <c:pt idx="52">
                  <c:v>13</c:v>
                </c:pt>
                <c:pt idx="53">
                  <c:v>67</c:v>
                </c:pt>
                <c:pt idx="54">
                  <c:v>74</c:v>
                </c:pt>
                <c:pt idx="55" formatCode="General">
                  <c:v>45</c:v>
                </c:pt>
                <c:pt idx="56" formatCode="General">
                  <c:v>36</c:v>
                </c:pt>
                <c:pt idx="57" formatCode="General">
                  <c:v>94</c:v>
                </c:pt>
                <c:pt idx="58" formatCode="General">
                  <c:v>61</c:v>
                </c:pt>
                <c:pt idx="59" formatCode="General">
                  <c:v>56</c:v>
                </c:pt>
                <c:pt idx="60" formatCode="General">
                  <c:v>76</c:v>
                </c:pt>
                <c:pt idx="61" formatCode="General">
                  <c:v>9</c:v>
                </c:pt>
                <c:pt idx="62" formatCode="General">
                  <c:v>27</c:v>
                </c:pt>
                <c:pt idx="63" formatCode="General">
                  <c:v>5</c:v>
                </c:pt>
                <c:pt idx="64" formatCode="General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F-3A42-B717-D3B6D28590C2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Sheet1!$K$2:$L$66</c:f>
              <c:strCache>
                <c:ptCount val="6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</c:strCache>
            </c:strRef>
          </c:cat>
          <c:val>
            <c:numRef>
              <c:f>Sheet1!$O$2:$O$66</c:f>
              <c:numCache>
                <c:formatCode>0</c:formatCode>
                <c:ptCount val="65"/>
                <c:pt idx="1">
                  <c:v>355</c:v>
                </c:pt>
                <c:pt idx="2">
                  <c:v>450</c:v>
                </c:pt>
                <c:pt idx="3">
                  <c:v>517</c:v>
                </c:pt>
                <c:pt idx="4">
                  <c:v>498</c:v>
                </c:pt>
                <c:pt idx="5">
                  <c:v>411</c:v>
                </c:pt>
                <c:pt idx="6">
                  <c:v>585</c:v>
                </c:pt>
                <c:pt idx="7">
                  <c:v>520</c:v>
                </c:pt>
                <c:pt idx="8">
                  <c:v>471</c:v>
                </c:pt>
                <c:pt idx="9">
                  <c:v>511</c:v>
                </c:pt>
                <c:pt idx="10">
                  <c:v>271</c:v>
                </c:pt>
                <c:pt idx="11">
                  <c:v>559</c:v>
                </c:pt>
                <c:pt idx="12">
                  <c:v>224</c:v>
                </c:pt>
                <c:pt idx="13">
                  <c:v>578</c:v>
                </c:pt>
                <c:pt idx="14">
                  <c:v>367</c:v>
                </c:pt>
                <c:pt idx="15">
                  <c:v>505</c:v>
                </c:pt>
                <c:pt idx="16">
                  <c:v>588</c:v>
                </c:pt>
                <c:pt idx="17">
                  <c:v>229</c:v>
                </c:pt>
                <c:pt idx="18">
                  <c:v>403</c:v>
                </c:pt>
                <c:pt idx="19">
                  <c:v>425</c:v>
                </c:pt>
                <c:pt idx="20">
                  <c:v>399</c:v>
                </c:pt>
                <c:pt idx="21">
                  <c:v>259</c:v>
                </c:pt>
                <c:pt idx="22">
                  <c:v>424</c:v>
                </c:pt>
                <c:pt idx="23">
                  <c:v>299</c:v>
                </c:pt>
                <c:pt idx="24">
                  <c:v>410</c:v>
                </c:pt>
                <c:pt idx="25">
                  <c:v>343</c:v>
                </c:pt>
                <c:pt idx="26">
                  <c:v>184</c:v>
                </c:pt>
                <c:pt idx="27">
                  <c:v>143</c:v>
                </c:pt>
                <c:pt idx="28">
                  <c:v>255</c:v>
                </c:pt>
                <c:pt idx="29">
                  <c:v>237</c:v>
                </c:pt>
                <c:pt idx="30">
                  <c:v>312</c:v>
                </c:pt>
                <c:pt idx="31">
                  <c:v>254</c:v>
                </c:pt>
                <c:pt idx="32">
                  <c:v>273</c:v>
                </c:pt>
                <c:pt idx="33">
                  <c:v>100</c:v>
                </c:pt>
                <c:pt idx="34">
                  <c:v>219</c:v>
                </c:pt>
                <c:pt idx="35">
                  <c:v>111</c:v>
                </c:pt>
                <c:pt idx="36">
                  <c:v>144</c:v>
                </c:pt>
                <c:pt idx="37">
                  <c:v>161</c:v>
                </c:pt>
                <c:pt idx="38">
                  <c:v>109</c:v>
                </c:pt>
                <c:pt idx="39">
                  <c:v>159</c:v>
                </c:pt>
                <c:pt idx="40">
                  <c:v>78</c:v>
                </c:pt>
                <c:pt idx="41">
                  <c:v>83</c:v>
                </c:pt>
                <c:pt idx="42">
                  <c:v>64</c:v>
                </c:pt>
                <c:pt idx="43">
                  <c:v>75</c:v>
                </c:pt>
                <c:pt idx="44">
                  <c:v>129</c:v>
                </c:pt>
                <c:pt idx="45">
                  <c:v>79</c:v>
                </c:pt>
                <c:pt idx="46">
                  <c:v>108</c:v>
                </c:pt>
                <c:pt idx="47">
                  <c:v>460</c:v>
                </c:pt>
                <c:pt idx="48">
                  <c:v>86</c:v>
                </c:pt>
                <c:pt idx="49">
                  <c:v>166</c:v>
                </c:pt>
                <c:pt idx="50">
                  <c:v>54</c:v>
                </c:pt>
                <c:pt idx="51">
                  <c:v>108</c:v>
                </c:pt>
                <c:pt idx="52">
                  <c:v>51</c:v>
                </c:pt>
                <c:pt idx="53">
                  <c:v>77</c:v>
                </c:pt>
                <c:pt idx="54">
                  <c:v>60</c:v>
                </c:pt>
                <c:pt idx="55" formatCode="General">
                  <c:v>53</c:v>
                </c:pt>
                <c:pt idx="56" formatCode="General">
                  <c:v>83</c:v>
                </c:pt>
                <c:pt idx="57" formatCode="General">
                  <c:v>112</c:v>
                </c:pt>
                <c:pt idx="58" formatCode="General">
                  <c:v>96</c:v>
                </c:pt>
                <c:pt idx="59" formatCode="General">
                  <c:v>48</c:v>
                </c:pt>
                <c:pt idx="60" formatCode="General">
                  <c:v>35</c:v>
                </c:pt>
                <c:pt idx="61" formatCode="General">
                  <c:v>66</c:v>
                </c:pt>
                <c:pt idx="62" formatCode="General">
                  <c:v>57</c:v>
                </c:pt>
                <c:pt idx="63" formatCode="General">
                  <c:v>59</c:v>
                </c:pt>
                <c:pt idx="64" formatCode="General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1F-3A42-B717-D3B6D28590C2}"/>
            </c:ext>
          </c:extLst>
        </c:ser>
        <c:ser>
          <c:idx val="3"/>
          <c:order val="3"/>
          <c:tx>
            <c:strRef>
              <c:f>Sheet1!$P$1</c:f>
              <c:strCache>
                <c:ptCount val="1"/>
                <c:pt idx="0">
                  <c:v>UNION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Sheet1!$K$2:$L$66</c:f>
              <c:strCache>
                <c:ptCount val="6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</c:strCache>
            </c:strRef>
          </c:cat>
          <c:val>
            <c:numRef>
              <c:f>Sheet1!$P$2:$P$66</c:f>
              <c:numCache>
                <c:formatCode>0</c:formatCode>
                <c:ptCount val="65"/>
                <c:pt idx="1">
                  <c:v>349</c:v>
                </c:pt>
                <c:pt idx="2">
                  <c:v>477</c:v>
                </c:pt>
                <c:pt idx="3">
                  <c:v>429</c:v>
                </c:pt>
                <c:pt idx="4">
                  <c:v>300</c:v>
                </c:pt>
                <c:pt idx="5">
                  <c:v>469</c:v>
                </c:pt>
                <c:pt idx="6">
                  <c:v>673</c:v>
                </c:pt>
                <c:pt idx="7">
                  <c:v>473</c:v>
                </c:pt>
                <c:pt idx="8">
                  <c:v>372</c:v>
                </c:pt>
                <c:pt idx="9">
                  <c:v>372</c:v>
                </c:pt>
                <c:pt idx="10">
                  <c:v>290</c:v>
                </c:pt>
                <c:pt idx="11">
                  <c:v>315</c:v>
                </c:pt>
                <c:pt idx="12">
                  <c:v>456</c:v>
                </c:pt>
                <c:pt idx="13">
                  <c:v>629</c:v>
                </c:pt>
                <c:pt idx="14">
                  <c:v>173</c:v>
                </c:pt>
                <c:pt idx="15">
                  <c:v>466</c:v>
                </c:pt>
                <c:pt idx="16">
                  <c:v>525</c:v>
                </c:pt>
                <c:pt idx="17">
                  <c:v>530</c:v>
                </c:pt>
                <c:pt idx="18">
                  <c:v>650</c:v>
                </c:pt>
                <c:pt idx="19">
                  <c:v>363</c:v>
                </c:pt>
                <c:pt idx="20">
                  <c:v>317</c:v>
                </c:pt>
                <c:pt idx="21">
                  <c:v>195</c:v>
                </c:pt>
                <c:pt idx="22">
                  <c:v>451</c:v>
                </c:pt>
                <c:pt idx="23">
                  <c:v>273</c:v>
                </c:pt>
                <c:pt idx="24">
                  <c:v>315</c:v>
                </c:pt>
                <c:pt idx="25">
                  <c:v>330</c:v>
                </c:pt>
                <c:pt idx="26">
                  <c:v>158</c:v>
                </c:pt>
                <c:pt idx="27">
                  <c:v>177</c:v>
                </c:pt>
                <c:pt idx="28">
                  <c:v>192</c:v>
                </c:pt>
                <c:pt idx="29">
                  <c:v>198</c:v>
                </c:pt>
                <c:pt idx="30">
                  <c:v>201</c:v>
                </c:pt>
                <c:pt idx="31">
                  <c:v>217</c:v>
                </c:pt>
                <c:pt idx="32">
                  <c:v>229</c:v>
                </c:pt>
                <c:pt idx="33">
                  <c:v>132</c:v>
                </c:pt>
                <c:pt idx="34">
                  <c:v>146</c:v>
                </c:pt>
                <c:pt idx="35">
                  <c:v>101</c:v>
                </c:pt>
                <c:pt idx="36">
                  <c:v>177</c:v>
                </c:pt>
                <c:pt idx="37">
                  <c:v>136</c:v>
                </c:pt>
                <c:pt idx="40">
                  <c:v>107</c:v>
                </c:pt>
                <c:pt idx="41">
                  <c:v>39</c:v>
                </c:pt>
                <c:pt idx="42">
                  <c:v>103</c:v>
                </c:pt>
                <c:pt idx="43">
                  <c:v>79</c:v>
                </c:pt>
                <c:pt idx="44">
                  <c:v>107</c:v>
                </c:pt>
                <c:pt idx="45">
                  <c:v>77</c:v>
                </c:pt>
                <c:pt idx="46">
                  <c:v>133</c:v>
                </c:pt>
                <c:pt idx="47">
                  <c:v>201</c:v>
                </c:pt>
                <c:pt idx="48">
                  <c:v>128</c:v>
                </c:pt>
                <c:pt idx="49">
                  <c:v>91</c:v>
                </c:pt>
                <c:pt idx="50">
                  <c:v>54</c:v>
                </c:pt>
                <c:pt idx="51">
                  <c:v>15</c:v>
                </c:pt>
                <c:pt idx="54">
                  <c:v>49</c:v>
                </c:pt>
                <c:pt idx="55" formatCode="General">
                  <c:v>75</c:v>
                </c:pt>
                <c:pt idx="56" formatCode="General">
                  <c:v>31</c:v>
                </c:pt>
                <c:pt idx="57">
                  <c:v>151</c:v>
                </c:pt>
                <c:pt idx="58">
                  <c:v>135</c:v>
                </c:pt>
                <c:pt idx="61" formatCode="General">
                  <c:v>37</c:v>
                </c:pt>
                <c:pt idx="62" formatCode="General">
                  <c:v>10</c:v>
                </c:pt>
                <c:pt idx="63" formatCode="General">
                  <c:v>43</c:v>
                </c:pt>
                <c:pt idx="64" formatCode="General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F-3A42-B717-D3B6D28590C2}"/>
            </c:ext>
          </c:extLst>
        </c:ser>
        <c:ser>
          <c:idx val="4"/>
          <c:order val="4"/>
          <c:tx>
            <c:strRef>
              <c:f>Sheet1!$Q$1</c:f>
              <c:strCache>
                <c:ptCount val="1"/>
                <c:pt idx="0">
                  <c:v>PASSAIC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Sheet1!$K$2:$L$66</c:f>
              <c:strCache>
                <c:ptCount val="6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</c:strCache>
            </c:strRef>
          </c:cat>
          <c:val>
            <c:numRef>
              <c:f>Sheet1!$Q$2:$Q$66</c:f>
              <c:numCache>
                <c:formatCode>0</c:formatCode>
                <c:ptCount val="65"/>
                <c:pt idx="1">
                  <c:v>256</c:v>
                </c:pt>
                <c:pt idx="2">
                  <c:v>466</c:v>
                </c:pt>
                <c:pt idx="3">
                  <c:v>640</c:v>
                </c:pt>
                <c:pt idx="4">
                  <c:v>371</c:v>
                </c:pt>
                <c:pt idx="5">
                  <c:v>529</c:v>
                </c:pt>
                <c:pt idx="6">
                  <c:v>345</c:v>
                </c:pt>
                <c:pt idx="7">
                  <c:v>271</c:v>
                </c:pt>
                <c:pt idx="8">
                  <c:v>318</c:v>
                </c:pt>
                <c:pt idx="9">
                  <c:v>327</c:v>
                </c:pt>
                <c:pt idx="10">
                  <c:v>278</c:v>
                </c:pt>
                <c:pt idx="11">
                  <c:v>295</c:v>
                </c:pt>
                <c:pt idx="12">
                  <c:v>360</c:v>
                </c:pt>
                <c:pt idx="13">
                  <c:v>488</c:v>
                </c:pt>
                <c:pt idx="14">
                  <c:v>312</c:v>
                </c:pt>
                <c:pt idx="15">
                  <c:v>567</c:v>
                </c:pt>
                <c:pt idx="16">
                  <c:v>287</c:v>
                </c:pt>
                <c:pt idx="17">
                  <c:v>332</c:v>
                </c:pt>
                <c:pt idx="18">
                  <c:v>352</c:v>
                </c:pt>
                <c:pt idx="19">
                  <c:v>191</c:v>
                </c:pt>
                <c:pt idx="20">
                  <c:v>462</c:v>
                </c:pt>
                <c:pt idx="21">
                  <c:v>451</c:v>
                </c:pt>
                <c:pt idx="22">
                  <c:v>482</c:v>
                </c:pt>
                <c:pt idx="23">
                  <c:v>417</c:v>
                </c:pt>
                <c:pt idx="24">
                  <c:v>447</c:v>
                </c:pt>
                <c:pt idx="25">
                  <c:v>399</c:v>
                </c:pt>
                <c:pt idx="26">
                  <c:v>212</c:v>
                </c:pt>
                <c:pt idx="27">
                  <c:v>406</c:v>
                </c:pt>
                <c:pt idx="28">
                  <c:v>430</c:v>
                </c:pt>
                <c:pt idx="29">
                  <c:v>264</c:v>
                </c:pt>
                <c:pt idx="30">
                  <c:v>365</c:v>
                </c:pt>
                <c:pt idx="31">
                  <c:v>268</c:v>
                </c:pt>
                <c:pt idx="32">
                  <c:v>282</c:v>
                </c:pt>
                <c:pt idx="33">
                  <c:v>132</c:v>
                </c:pt>
                <c:pt idx="34">
                  <c:v>301</c:v>
                </c:pt>
                <c:pt idx="35">
                  <c:v>174</c:v>
                </c:pt>
                <c:pt idx="36">
                  <c:v>162</c:v>
                </c:pt>
                <c:pt idx="37">
                  <c:v>147</c:v>
                </c:pt>
                <c:pt idx="38">
                  <c:v>148</c:v>
                </c:pt>
                <c:pt idx="39">
                  <c:v>115</c:v>
                </c:pt>
                <c:pt idx="40">
                  <c:v>102</c:v>
                </c:pt>
                <c:pt idx="41">
                  <c:v>71</c:v>
                </c:pt>
                <c:pt idx="42">
                  <c:v>41</c:v>
                </c:pt>
                <c:pt idx="43">
                  <c:v>130</c:v>
                </c:pt>
                <c:pt idx="44">
                  <c:v>43</c:v>
                </c:pt>
                <c:pt idx="45">
                  <c:v>101</c:v>
                </c:pt>
                <c:pt idx="46">
                  <c:v>174</c:v>
                </c:pt>
                <c:pt idx="47">
                  <c:v>73</c:v>
                </c:pt>
                <c:pt idx="48">
                  <c:v>93</c:v>
                </c:pt>
                <c:pt idx="49">
                  <c:v>55</c:v>
                </c:pt>
                <c:pt idx="50">
                  <c:v>71</c:v>
                </c:pt>
                <c:pt idx="51">
                  <c:v>107</c:v>
                </c:pt>
                <c:pt idx="52">
                  <c:v>6</c:v>
                </c:pt>
                <c:pt idx="53">
                  <c:v>76</c:v>
                </c:pt>
                <c:pt idx="54">
                  <c:v>88</c:v>
                </c:pt>
                <c:pt idx="55" formatCode="General">
                  <c:v>52</c:v>
                </c:pt>
                <c:pt idx="56" formatCode="General">
                  <c:v>47</c:v>
                </c:pt>
                <c:pt idx="57" formatCode="General">
                  <c:v>86</c:v>
                </c:pt>
                <c:pt idx="58" formatCode="General">
                  <c:v>86</c:v>
                </c:pt>
                <c:pt idx="59" formatCode="General">
                  <c:v>54</c:v>
                </c:pt>
                <c:pt idx="60" formatCode="General">
                  <c:v>71</c:v>
                </c:pt>
                <c:pt idx="61" formatCode="General">
                  <c:v>30</c:v>
                </c:pt>
                <c:pt idx="62" formatCode="General">
                  <c:v>34</c:v>
                </c:pt>
                <c:pt idx="63" formatCode="General">
                  <c:v>43</c:v>
                </c:pt>
                <c:pt idx="64" formatCode="General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F-3A42-B717-D3B6D2859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484271"/>
        <c:axId val="287539375"/>
      </c:lineChart>
      <c:dateAx>
        <c:axId val="239484271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539375"/>
        <c:crosses val="autoZero"/>
        <c:auto val="1"/>
        <c:lblOffset val="100"/>
        <c:baseTimeUnit val="days"/>
      </c:dateAx>
      <c:valAx>
        <c:axId val="287539375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8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 IN THE TOP FIVE MOST INFECTED COUNTIES OF MASSACHUSETTS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Sheet1!$W$1</c:f>
              <c:strCache>
                <c:ptCount val="1"/>
                <c:pt idx="0">
                  <c:v>SUFFOLK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Sheet1!$U$2:$V$66</c:f>
              <c:strCache>
                <c:ptCount val="6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</c:strCache>
            </c:strRef>
          </c:cat>
          <c:val>
            <c:numRef>
              <c:f>Sheet1!$W$2:$W$66</c:f>
              <c:numCache>
                <c:formatCode>0</c:formatCode>
                <c:ptCount val="65"/>
                <c:pt idx="1">
                  <c:v>272</c:v>
                </c:pt>
                <c:pt idx="2">
                  <c:v>287</c:v>
                </c:pt>
                <c:pt idx="3">
                  <c:v>246</c:v>
                </c:pt>
                <c:pt idx="4">
                  <c:v>229</c:v>
                </c:pt>
                <c:pt idx="5">
                  <c:v>271</c:v>
                </c:pt>
                <c:pt idx="6">
                  <c:v>316</c:v>
                </c:pt>
                <c:pt idx="7">
                  <c:v>355</c:v>
                </c:pt>
                <c:pt idx="8">
                  <c:v>441</c:v>
                </c:pt>
                <c:pt idx="9">
                  <c:v>493</c:v>
                </c:pt>
                <c:pt idx="10">
                  <c:v>392</c:v>
                </c:pt>
                <c:pt idx="11">
                  <c:v>433</c:v>
                </c:pt>
                <c:pt idx="12">
                  <c:v>220</c:v>
                </c:pt>
                <c:pt idx="13">
                  <c:v>293</c:v>
                </c:pt>
                <c:pt idx="14">
                  <c:v>407</c:v>
                </c:pt>
                <c:pt idx="15">
                  <c:v>541</c:v>
                </c:pt>
                <c:pt idx="16">
                  <c:v>452</c:v>
                </c:pt>
                <c:pt idx="17">
                  <c:v>424</c:v>
                </c:pt>
                <c:pt idx="18">
                  <c:v>378</c:v>
                </c:pt>
                <c:pt idx="19">
                  <c:v>240</c:v>
                </c:pt>
                <c:pt idx="20">
                  <c:v>355</c:v>
                </c:pt>
                <c:pt idx="21">
                  <c:v>391</c:v>
                </c:pt>
                <c:pt idx="22">
                  <c:v>679</c:v>
                </c:pt>
                <c:pt idx="23">
                  <c:v>985</c:v>
                </c:pt>
                <c:pt idx="24">
                  <c:v>494</c:v>
                </c:pt>
                <c:pt idx="25">
                  <c:v>325</c:v>
                </c:pt>
                <c:pt idx="26">
                  <c:v>340</c:v>
                </c:pt>
                <c:pt idx="27">
                  <c:v>257</c:v>
                </c:pt>
                <c:pt idx="28">
                  <c:v>399</c:v>
                </c:pt>
                <c:pt idx="29">
                  <c:v>351</c:v>
                </c:pt>
                <c:pt idx="30">
                  <c:v>405</c:v>
                </c:pt>
                <c:pt idx="31">
                  <c:v>311</c:v>
                </c:pt>
                <c:pt idx="32">
                  <c:v>171</c:v>
                </c:pt>
                <c:pt idx="33">
                  <c:v>164</c:v>
                </c:pt>
                <c:pt idx="34">
                  <c:v>232</c:v>
                </c:pt>
                <c:pt idx="35">
                  <c:v>303</c:v>
                </c:pt>
                <c:pt idx="36">
                  <c:v>256</c:v>
                </c:pt>
                <c:pt idx="37">
                  <c:v>212</c:v>
                </c:pt>
                <c:pt idx="38">
                  <c:v>175</c:v>
                </c:pt>
                <c:pt idx="39">
                  <c:v>160</c:v>
                </c:pt>
                <c:pt idx="40">
                  <c:v>77</c:v>
                </c:pt>
                <c:pt idx="41">
                  <c:v>98</c:v>
                </c:pt>
                <c:pt idx="42">
                  <c:v>133</c:v>
                </c:pt>
                <c:pt idx="43">
                  <c:v>294</c:v>
                </c:pt>
                <c:pt idx="44">
                  <c:v>115</c:v>
                </c:pt>
                <c:pt idx="45">
                  <c:v>350</c:v>
                </c:pt>
                <c:pt idx="46">
                  <c:v>133</c:v>
                </c:pt>
                <c:pt idx="47">
                  <c:v>192</c:v>
                </c:pt>
                <c:pt idx="48">
                  <c:v>154</c:v>
                </c:pt>
                <c:pt idx="49">
                  <c:v>137</c:v>
                </c:pt>
                <c:pt idx="50">
                  <c:v>127</c:v>
                </c:pt>
                <c:pt idx="51">
                  <c:v>91</c:v>
                </c:pt>
                <c:pt idx="52">
                  <c:v>111</c:v>
                </c:pt>
                <c:pt idx="53">
                  <c:v>126</c:v>
                </c:pt>
                <c:pt idx="54">
                  <c:v>63</c:v>
                </c:pt>
                <c:pt idx="55" formatCode="General">
                  <c:v>53</c:v>
                </c:pt>
                <c:pt idx="56" formatCode="General">
                  <c:v>63</c:v>
                </c:pt>
                <c:pt idx="57" formatCode="General">
                  <c:v>102</c:v>
                </c:pt>
                <c:pt idx="58" formatCode="General">
                  <c:v>88</c:v>
                </c:pt>
                <c:pt idx="59" formatCode="General">
                  <c:v>54</c:v>
                </c:pt>
                <c:pt idx="60" formatCode="General">
                  <c:v>63</c:v>
                </c:pt>
                <c:pt idx="61" formatCode="General">
                  <c:v>645</c:v>
                </c:pt>
                <c:pt idx="62" formatCode="General">
                  <c:v>55</c:v>
                </c:pt>
                <c:pt idx="63" formatCode="General">
                  <c:v>97</c:v>
                </c:pt>
                <c:pt idx="64" formatCode="General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2-764B-924B-F5E090432A5C}"/>
            </c:ext>
          </c:extLst>
        </c:ser>
        <c:ser>
          <c:idx val="1"/>
          <c:order val="1"/>
          <c:tx>
            <c:strRef>
              <c:f>Sheet1!$X$1</c:f>
              <c:strCache>
                <c:ptCount val="1"/>
                <c:pt idx="0">
                  <c:v>MIDDLESEX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Sheet1!$U$2:$V$66</c:f>
              <c:strCache>
                <c:ptCount val="6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</c:strCache>
            </c:strRef>
          </c:cat>
          <c:val>
            <c:numRef>
              <c:f>Sheet1!$X$2:$X$66</c:f>
              <c:numCache>
                <c:formatCode>0</c:formatCode>
                <c:ptCount val="65"/>
                <c:pt idx="1">
                  <c:v>288</c:v>
                </c:pt>
                <c:pt idx="2">
                  <c:v>332</c:v>
                </c:pt>
                <c:pt idx="3">
                  <c:v>266</c:v>
                </c:pt>
                <c:pt idx="4">
                  <c:v>164</c:v>
                </c:pt>
                <c:pt idx="5">
                  <c:v>318</c:v>
                </c:pt>
                <c:pt idx="6">
                  <c:v>237</c:v>
                </c:pt>
                <c:pt idx="7">
                  <c:v>358</c:v>
                </c:pt>
                <c:pt idx="8">
                  <c:v>500</c:v>
                </c:pt>
                <c:pt idx="9">
                  <c:v>402</c:v>
                </c:pt>
                <c:pt idx="10">
                  <c:v>425</c:v>
                </c:pt>
                <c:pt idx="11">
                  <c:v>788</c:v>
                </c:pt>
                <c:pt idx="12">
                  <c:v>323</c:v>
                </c:pt>
                <c:pt idx="13">
                  <c:v>271</c:v>
                </c:pt>
                <c:pt idx="14">
                  <c:v>427</c:v>
                </c:pt>
                <c:pt idx="15">
                  <c:v>525</c:v>
                </c:pt>
                <c:pt idx="16">
                  <c:v>538</c:v>
                </c:pt>
                <c:pt idx="17">
                  <c:v>553</c:v>
                </c:pt>
                <c:pt idx="18">
                  <c:v>440</c:v>
                </c:pt>
                <c:pt idx="19">
                  <c:v>516</c:v>
                </c:pt>
                <c:pt idx="20">
                  <c:v>368</c:v>
                </c:pt>
                <c:pt idx="21">
                  <c:v>473</c:v>
                </c:pt>
                <c:pt idx="22">
                  <c:v>630</c:v>
                </c:pt>
                <c:pt idx="23">
                  <c:v>957</c:v>
                </c:pt>
                <c:pt idx="24">
                  <c:v>572</c:v>
                </c:pt>
                <c:pt idx="25">
                  <c:v>395</c:v>
                </c:pt>
                <c:pt idx="26">
                  <c:v>305</c:v>
                </c:pt>
                <c:pt idx="27">
                  <c:v>464</c:v>
                </c:pt>
                <c:pt idx="28">
                  <c:v>382</c:v>
                </c:pt>
                <c:pt idx="29">
                  <c:v>409</c:v>
                </c:pt>
                <c:pt idx="30">
                  <c:v>399</c:v>
                </c:pt>
                <c:pt idx="31">
                  <c:v>441</c:v>
                </c:pt>
                <c:pt idx="32">
                  <c:v>322</c:v>
                </c:pt>
                <c:pt idx="33">
                  <c:v>387</c:v>
                </c:pt>
                <c:pt idx="34">
                  <c:v>223</c:v>
                </c:pt>
                <c:pt idx="35">
                  <c:v>347</c:v>
                </c:pt>
                <c:pt idx="36">
                  <c:v>349</c:v>
                </c:pt>
                <c:pt idx="37">
                  <c:v>338</c:v>
                </c:pt>
                <c:pt idx="38">
                  <c:v>293</c:v>
                </c:pt>
                <c:pt idx="39">
                  <c:v>282</c:v>
                </c:pt>
                <c:pt idx="40">
                  <c:v>185</c:v>
                </c:pt>
                <c:pt idx="41">
                  <c:v>179</c:v>
                </c:pt>
                <c:pt idx="42">
                  <c:v>248</c:v>
                </c:pt>
                <c:pt idx="43">
                  <c:v>180</c:v>
                </c:pt>
                <c:pt idx="44">
                  <c:v>302</c:v>
                </c:pt>
                <c:pt idx="45">
                  <c:v>200</c:v>
                </c:pt>
                <c:pt idx="46">
                  <c:v>246</c:v>
                </c:pt>
                <c:pt idx="47">
                  <c:v>216</c:v>
                </c:pt>
                <c:pt idx="48">
                  <c:v>159</c:v>
                </c:pt>
                <c:pt idx="49">
                  <c:v>204</c:v>
                </c:pt>
                <c:pt idx="50">
                  <c:v>222</c:v>
                </c:pt>
                <c:pt idx="51">
                  <c:v>155</c:v>
                </c:pt>
                <c:pt idx="52">
                  <c:v>147</c:v>
                </c:pt>
                <c:pt idx="53">
                  <c:v>205</c:v>
                </c:pt>
                <c:pt idx="54">
                  <c:v>102</c:v>
                </c:pt>
                <c:pt idx="55" formatCode="General">
                  <c:v>62</c:v>
                </c:pt>
                <c:pt idx="56" formatCode="General">
                  <c:v>105</c:v>
                </c:pt>
                <c:pt idx="57" formatCode="General">
                  <c:v>151</c:v>
                </c:pt>
                <c:pt idx="58" formatCode="General">
                  <c:v>115</c:v>
                </c:pt>
                <c:pt idx="59" formatCode="General">
                  <c:v>87</c:v>
                </c:pt>
                <c:pt idx="60" formatCode="General">
                  <c:v>163</c:v>
                </c:pt>
                <c:pt idx="61" formatCode="General">
                  <c:v>937</c:v>
                </c:pt>
                <c:pt idx="62" formatCode="General">
                  <c:v>72</c:v>
                </c:pt>
                <c:pt idx="63" formatCode="General">
                  <c:v>107</c:v>
                </c:pt>
                <c:pt idx="64" formatCode="General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2-764B-924B-F5E090432A5C}"/>
            </c:ext>
          </c:extLst>
        </c:ser>
        <c:ser>
          <c:idx val="2"/>
          <c:order val="2"/>
          <c:tx>
            <c:strRef>
              <c:f>Sheet1!$Y$1</c:f>
              <c:strCache>
                <c:ptCount val="1"/>
                <c:pt idx="0">
                  <c:v>ESSEX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Sheet1!$U$2:$V$66</c:f>
              <c:strCache>
                <c:ptCount val="6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</c:strCache>
            </c:strRef>
          </c:cat>
          <c:val>
            <c:numRef>
              <c:f>Sheet1!$Y$2:$Y$66</c:f>
              <c:numCache>
                <c:formatCode>0</c:formatCode>
                <c:ptCount val="65"/>
                <c:pt idx="1">
                  <c:v>154</c:v>
                </c:pt>
                <c:pt idx="2">
                  <c:v>199</c:v>
                </c:pt>
                <c:pt idx="3">
                  <c:v>162</c:v>
                </c:pt>
                <c:pt idx="4">
                  <c:v>106</c:v>
                </c:pt>
                <c:pt idx="5">
                  <c:v>147</c:v>
                </c:pt>
                <c:pt idx="6">
                  <c:v>188</c:v>
                </c:pt>
                <c:pt idx="7">
                  <c:v>262</c:v>
                </c:pt>
                <c:pt idx="8">
                  <c:v>233</c:v>
                </c:pt>
                <c:pt idx="9">
                  <c:v>334</c:v>
                </c:pt>
                <c:pt idx="10">
                  <c:v>226</c:v>
                </c:pt>
                <c:pt idx="11">
                  <c:v>274</c:v>
                </c:pt>
                <c:pt idx="12">
                  <c:v>243</c:v>
                </c:pt>
                <c:pt idx="13">
                  <c:v>181</c:v>
                </c:pt>
                <c:pt idx="14">
                  <c:v>300</c:v>
                </c:pt>
                <c:pt idx="15">
                  <c:v>351</c:v>
                </c:pt>
                <c:pt idx="16">
                  <c:v>339</c:v>
                </c:pt>
                <c:pt idx="17">
                  <c:v>330</c:v>
                </c:pt>
                <c:pt idx="18">
                  <c:v>239</c:v>
                </c:pt>
                <c:pt idx="19">
                  <c:v>143</c:v>
                </c:pt>
                <c:pt idx="20">
                  <c:v>225</c:v>
                </c:pt>
                <c:pt idx="21">
                  <c:v>262</c:v>
                </c:pt>
                <c:pt idx="22">
                  <c:v>436</c:v>
                </c:pt>
                <c:pt idx="23">
                  <c:v>622</c:v>
                </c:pt>
                <c:pt idx="24">
                  <c:v>371</c:v>
                </c:pt>
                <c:pt idx="25">
                  <c:v>277</c:v>
                </c:pt>
                <c:pt idx="26">
                  <c:v>219</c:v>
                </c:pt>
                <c:pt idx="27">
                  <c:v>264</c:v>
                </c:pt>
                <c:pt idx="28">
                  <c:v>408</c:v>
                </c:pt>
                <c:pt idx="29">
                  <c:v>293</c:v>
                </c:pt>
                <c:pt idx="30">
                  <c:v>355</c:v>
                </c:pt>
                <c:pt idx="31">
                  <c:v>334</c:v>
                </c:pt>
                <c:pt idx="32">
                  <c:v>180</c:v>
                </c:pt>
                <c:pt idx="33">
                  <c:v>231</c:v>
                </c:pt>
                <c:pt idx="34">
                  <c:v>206</c:v>
                </c:pt>
                <c:pt idx="35">
                  <c:v>365</c:v>
                </c:pt>
                <c:pt idx="36">
                  <c:v>266</c:v>
                </c:pt>
                <c:pt idx="37">
                  <c:v>385</c:v>
                </c:pt>
                <c:pt idx="38">
                  <c:v>216</c:v>
                </c:pt>
                <c:pt idx="39">
                  <c:v>142</c:v>
                </c:pt>
                <c:pt idx="40">
                  <c:v>79</c:v>
                </c:pt>
                <c:pt idx="41">
                  <c:v>140</c:v>
                </c:pt>
                <c:pt idx="42">
                  <c:v>131</c:v>
                </c:pt>
                <c:pt idx="43">
                  <c:v>247</c:v>
                </c:pt>
                <c:pt idx="44">
                  <c:v>181</c:v>
                </c:pt>
                <c:pt idx="45">
                  <c:v>183</c:v>
                </c:pt>
                <c:pt idx="46">
                  <c:v>148</c:v>
                </c:pt>
                <c:pt idx="47">
                  <c:v>125</c:v>
                </c:pt>
                <c:pt idx="48">
                  <c:v>161</c:v>
                </c:pt>
                <c:pt idx="49">
                  <c:v>172</c:v>
                </c:pt>
                <c:pt idx="50">
                  <c:v>143</c:v>
                </c:pt>
                <c:pt idx="51">
                  <c:v>158</c:v>
                </c:pt>
                <c:pt idx="52">
                  <c:v>113</c:v>
                </c:pt>
                <c:pt idx="53">
                  <c:v>123</c:v>
                </c:pt>
                <c:pt idx="54">
                  <c:v>118</c:v>
                </c:pt>
                <c:pt idx="55" formatCode="General">
                  <c:v>95</c:v>
                </c:pt>
                <c:pt idx="56" formatCode="General">
                  <c:v>108</c:v>
                </c:pt>
                <c:pt idx="57" formatCode="General">
                  <c:v>121</c:v>
                </c:pt>
                <c:pt idx="58" formatCode="General">
                  <c:v>95</c:v>
                </c:pt>
                <c:pt idx="59" formatCode="General">
                  <c:v>152</c:v>
                </c:pt>
                <c:pt idx="60" formatCode="General">
                  <c:v>126</c:v>
                </c:pt>
                <c:pt idx="61" formatCode="General">
                  <c:v>496</c:v>
                </c:pt>
                <c:pt idx="62" formatCode="General">
                  <c:v>74</c:v>
                </c:pt>
                <c:pt idx="63" formatCode="General">
                  <c:v>62</c:v>
                </c:pt>
                <c:pt idx="64" formatCode="General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2-764B-924B-F5E090432A5C}"/>
            </c:ext>
          </c:extLst>
        </c:ser>
        <c:ser>
          <c:idx val="3"/>
          <c:order val="3"/>
          <c:tx>
            <c:strRef>
              <c:f>Sheet1!$Z$1</c:f>
              <c:strCache>
                <c:ptCount val="1"/>
                <c:pt idx="0">
                  <c:v>NORFOLK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Sheet1!$U$2:$V$66</c:f>
              <c:strCache>
                <c:ptCount val="6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</c:strCache>
            </c:strRef>
          </c:cat>
          <c:val>
            <c:numRef>
              <c:f>Sheet1!$Z$2:$Z$66</c:f>
              <c:numCache>
                <c:formatCode>0</c:formatCode>
                <c:ptCount val="65"/>
                <c:pt idx="1">
                  <c:v>109</c:v>
                </c:pt>
                <c:pt idx="2">
                  <c:v>107</c:v>
                </c:pt>
                <c:pt idx="3">
                  <c:v>154</c:v>
                </c:pt>
                <c:pt idx="4">
                  <c:v>72</c:v>
                </c:pt>
                <c:pt idx="5">
                  <c:v>111</c:v>
                </c:pt>
                <c:pt idx="6">
                  <c:v>210</c:v>
                </c:pt>
                <c:pt idx="7">
                  <c:v>186</c:v>
                </c:pt>
                <c:pt idx="8">
                  <c:v>229</c:v>
                </c:pt>
                <c:pt idx="9">
                  <c:v>209</c:v>
                </c:pt>
                <c:pt idx="10">
                  <c:v>179</c:v>
                </c:pt>
                <c:pt idx="11">
                  <c:v>254</c:v>
                </c:pt>
                <c:pt idx="12">
                  <c:v>189</c:v>
                </c:pt>
                <c:pt idx="13">
                  <c:v>131</c:v>
                </c:pt>
                <c:pt idx="14">
                  <c:v>153</c:v>
                </c:pt>
                <c:pt idx="15">
                  <c:v>220</c:v>
                </c:pt>
                <c:pt idx="16">
                  <c:v>157</c:v>
                </c:pt>
                <c:pt idx="17">
                  <c:v>160</c:v>
                </c:pt>
                <c:pt idx="18">
                  <c:v>130</c:v>
                </c:pt>
                <c:pt idx="19">
                  <c:v>171</c:v>
                </c:pt>
                <c:pt idx="20">
                  <c:v>102</c:v>
                </c:pt>
                <c:pt idx="21">
                  <c:v>150</c:v>
                </c:pt>
                <c:pt idx="22">
                  <c:v>329</c:v>
                </c:pt>
                <c:pt idx="23">
                  <c:v>438</c:v>
                </c:pt>
                <c:pt idx="24">
                  <c:v>193</c:v>
                </c:pt>
                <c:pt idx="25">
                  <c:v>116</c:v>
                </c:pt>
                <c:pt idx="26">
                  <c:v>110</c:v>
                </c:pt>
                <c:pt idx="27">
                  <c:v>169</c:v>
                </c:pt>
                <c:pt idx="28">
                  <c:v>133</c:v>
                </c:pt>
                <c:pt idx="29">
                  <c:v>196</c:v>
                </c:pt>
                <c:pt idx="30">
                  <c:v>169</c:v>
                </c:pt>
                <c:pt idx="31">
                  <c:v>122</c:v>
                </c:pt>
                <c:pt idx="32">
                  <c:v>93</c:v>
                </c:pt>
                <c:pt idx="33">
                  <c:v>102</c:v>
                </c:pt>
                <c:pt idx="34">
                  <c:v>84</c:v>
                </c:pt>
                <c:pt idx="35">
                  <c:v>144</c:v>
                </c:pt>
                <c:pt idx="36">
                  <c:v>119</c:v>
                </c:pt>
                <c:pt idx="37">
                  <c:v>72</c:v>
                </c:pt>
                <c:pt idx="38">
                  <c:v>86</c:v>
                </c:pt>
                <c:pt idx="39">
                  <c:v>65</c:v>
                </c:pt>
                <c:pt idx="40">
                  <c:v>52</c:v>
                </c:pt>
                <c:pt idx="41">
                  <c:v>42</c:v>
                </c:pt>
                <c:pt idx="42">
                  <c:v>83</c:v>
                </c:pt>
                <c:pt idx="43">
                  <c:v>129</c:v>
                </c:pt>
                <c:pt idx="44">
                  <c:v>73</c:v>
                </c:pt>
                <c:pt idx="45">
                  <c:v>81</c:v>
                </c:pt>
                <c:pt idx="46">
                  <c:v>62</c:v>
                </c:pt>
                <c:pt idx="47">
                  <c:v>50</c:v>
                </c:pt>
                <c:pt idx="48">
                  <c:v>41</c:v>
                </c:pt>
                <c:pt idx="49">
                  <c:v>42</c:v>
                </c:pt>
                <c:pt idx="50">
                  <c:v>84</c:v>
                </c:pt>
                <c:pt idx="51">
                  <c:v>33</c:v>
                </c:pt>
                <c:pt idx="52">
                  <c:v>35</c:v>
                </c:pt>
                <c:pt idx="53">
                  <c:v>53</c:v>
                </c:pt>
                <c:pt idx="54">
                  <c:v>32</c:v>
                </c:pt>
                <c:pt idx="55" formatCode="General">
                  <c:v>19</c:v>
                </c:pt>
                <c:pt idx="56" formatCode="General">
                  <c:v>17</c:v>
                </c:pt>
                <c:pt idx="57">
                  <c:v>39</c:v>
                </c:pt>
                <c:pt idx="58">
                  <c:v>40</c:v>
                </c:pt>
                <c:pt idx="59">
                  <c:v>105</c:v>
                </c:pt>
                <c:pt idx="60">
                  <c:v>63</c:v>
                </c:pt>
                <c:pt idx="61">
                  <c:v>507</c:v>
                </c:pt>
                <c:pt idx="62">
                  <c:v>14</c:v>
                </c:pt>
                <c:pt idx="63">
                  <c:v>13</c:v>
                </c:pt>
                <c:pt idx="6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62-764B-924B-F5E090432A5C}"/>
            </c:ext>
          </c:extLst>
        </c:ser>
        <c:ser>
          <c:idx val="4"/>
          <c:order val="4"/>
          <c:tx>
            <c:strRef>
              <c:f>Sheet1!$AA$1</c:f>
              <c:strCache>
                <c:ptCount val="1"/>
                <c:pt idx="0">
                  <c:v>WORCESTER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Sheet1!$U$2:$V$66</c:f>
              <c:strCache>
                <c:ptCount val="6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</c:strCache>
            </c:strRef>
          </c:cat>
          <c:val>
            <c:numRef>
              <c:f>Sheet1!$AA$2:$AA$66</c:f>
              <c:numCache>
                <c:formatCode>0</c:formatCode>
                <c:ptCount val="65"/>
                <c:pt idx="1">
                  <c:v>104</c:v>
                </c:pt>
                <c:pt idx="2">
                  <c:v>158</c:v>
                </c:pt>
                <c:pt idx="3">
                  <c:v>90</c:v>
                </c:pt>
                <c:pt idx="4">
                  <c:v>63</c:v>
                </c:pt>
                <c:pt idx="5">
                  <c:v>99</c:v>
                </c:pt>
                <c:pt idx="6">
                  <c:v>95</c:v>
                </c:pt>
                <c:pt idx="7">
                  <c:v>124</c:v>
                </c:pt>
                <c:pt idx="8">
                  <c:v>165</c:v>
                </c:pt>
                <c:pt idx="9">
                  <c:v>217</c:v>
                </c:pt>
                <c:pt idx="10">
                  <c:v>144</c:v>
                </c:pt>
                <c:pt idx="11">
                  <c:v>210</c:v>
                </c:pt>
                <c:pt idx="12">
                  <c:v>96</c:v>
                </c:pt>
                <c:pt idx="13">
                  <c:v>118</c:v>
                </c:pt>
                <c:pt idx="14">
                  <c:v>104</c:v>
                </c:pt>
                <c:pt idx="15">
                  <c:v>153</c:v>
                </c:pt>
                <c:pt idx="16">
                  <c:v>262</c:v>
                </c:pt>
                <c:pt idx="17">
                  <c:v>187</c:v>
                </c:pt>
                <c:pt idx="18">
                  <c:v>117</c:v>
                </c:pt>
                <c:pt idx="19">
                  <c:v>110</c:v>
                </c:pt>
                <c:pt idx="20">
                  <c:v>162</c:v>
                </c:pt>
                <c:pt idx="21">
                  <c:v>115</c:v>
                </c:pt>
                <c:pt idx="22">
                  <c:v>342</c:v>
                </c:pt>
                <c:pt idx="23">
                  <c:v>429</c:v>
                </c:pt>
                <c:pt idx="24">
                  <c:v>233</c:v>
                </c:pt>
                <c:pt idx="25">
                  <c:v>112</c:v>
                </c:pt>
                <c:pt idx="26">
                  <c:v>172</c:v>
                </c:pt>
                <c:pt idx="27">
                  <c:v>255</c:v>
                </c:pt>
                <c:pt idx="28">
                  <c:v>301</c:v>
                </c:pt>
                <c:pt idx="29">
                  <c:v>250</c:v>
                </c:pt>
                <c:pt idx="30">
                  <c:v>237</c:v>
                </c:pt>
                <c:pt idx="31">
                  <c:v>342</c:v>
                </c:pt>
                <c:pt idx="32">
                  <c:v>159</c:v>
                </c:pt>
                <c:pt idx="33">
                  <c:v>183</c:v>
                </c:pt>
                <c:pt idx="34">
                  <c:v>126</c:v>
                </c:pt>
                <c:pt idx="35">
                  <c:v>395</c:v>
                </c:pt>
                <c:pt idx="36">
                  <c:v>205</c:v>
                </c:pt>
                <c:pt idx="37">
                  <c:v>213</c:v>
                </c:pt>
                <c:pt idx="38">
                  <c:v>201</c:v>
                </c:pt>
                <c:pt idx="39">
                  <c:v>132</c:v>
                </c:pt>
                <c:pt idx="40">
                  <c:v>75</c:v>
                </c:pt>
                <c:pt idx="41">
                  <c:v>141</c:v>
                </c:pt>
                <c:pt idx="42">
                  <c:v>282</c:v>
                </c:pt>
                <c:pt idx="43">
                  <c:v>314</c:v>
                </c:pt>
                <c:pt idx="44">
                  <c:v>231</c:v>
                </c:pt>
                <c:pt idx="45">
                  <c:v>281</c:v>
                </c:pt>
                <c:pt idx="46">
                  <c:v>185</c:v>
                </c:pt>
                <c:pt idx="47">
                  <c:v>190</c:v>
                </c:pt>
                <c:pt idx="48">
                  <c:v>140</c:v>
                </c:pt>
                <c:pt idx="49">
                  <c:v>198</c:v>
                </c:pt>
                <c:pt idx="50">
                  <c:v>217</c:v>
                </c:pt>
                <c:pt idx="51">
                  <c:v>104</c:v>
                </c:pt>
                <c:pt idx="52">
                  <c:v>150</c:v>
                </c:pt>
                <c:pt idx="53">
                  <c:v>180</c:v>
                </c:pt>
                <c:pt idx="54">
                  <c:v>74</c:v>
                </c:pt>
                <c:pt idx="55" formatCode="General">
                  <c:v>52</c:v>
                </c:pt>
                <c:pt idx="56" formatCode="General">
                  <c:v>90</c:v>
                </c:pt>
                <c:pt idx="57" formatCode="General">
                  <c:v>66</c:v>
                </c:pt>
                <c:pt idx="58" formatCode="General">
                  <c:v>103</c:v>
                </c:pt>
                <c:pt idx="59" formatCode="General">
                  <c:v>57</c:v>
                </c:pt>
                <c:pt idx="60" formatCode="General">
                  <c:v>117</c:v>
                </c:pt>
                <c:pt idx="61" formatCode="General">
                  <c:v>334</c:v>
                </c:pt>
                <c:pt idx="62" formatCode="General">
                  <c:v>86</c:v>
                </c:pt>
                <c:pt idx="63" formatCode="General">
                  <c:v>27</c:v>
                </c:pt>
                <c:pt idx="64" formatCode="General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62-764B-924B-F5E090432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156287"/>
        <c:axId val="295151103"/>
      </c:lineChart>
      <c:dateAx>
        <c:axId val="29615628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51103"/>
        <c:crosses val="autoZero"/>
        <c:auto val="1"/>
        <c:lblOffset val="100"/>
        <c:baseTimeUnit val="days"/>
      </c:dateAx>
      <c:valAx>
        <c:axId val="29515110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5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MICHIGAN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Sheet1!$AG$1</c:f>
              <c:strCache>
                <c:ptCount val="1"/>
                <c:pt idx="0">
                  <c:v>WAYNE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Sheet1!$AE$2:$AF$66</c:f>
              <c:strCache>
                <c:ptCount val="6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</c:strCache>
            </c:strRef>
          </c:cat>
          <c:val>
            <c:numRef>
              <c:f>Sheet1!$AG$2:$AG$66</c:f>
              <c:numCache>
                <c:formatCode>0</c:formatCode>
                <c:ptCount val="65"/>
                <c:pt idx="1">
                  <c:v>599</c:v>
                </c:pt>
                <c:pt idx="2">
                  <c:v>1027</c:v>
                </c:pt>
                <c:pt idx="3">
                  <c:v>666</c:v>
                </c:pt>
                <c:pt idx="4">
                  <c:v>756</c:v>
                </c:pt>
                <c:pt idx="5">
                  <c:v>752</c:v>
                </c:pt>
                <c:pt idx="6">
                  <c:v>775</c:v>
                </c:pt>
                <c:pt idx="7">
                  <c:v>581</c:v>
                </c:pt>
                <c:pt idx="8">
                  <c:v>467</c:v>
                </c:pt>
                <c:pt idx="9">
                  <c:v>446</c:v>
                </c:pt>
                <c:pt idx="10">
                  <c:v>412</c:v>
                </c:pt>
                <c:pt idx="11">
                  <c:v>213</c:v>
                </c:pt>
                <c:pt idx="12">
                  <c:v>484</c:v>
                </c:pt>
                <c:pt idx="13">
                  <c:v>561</c:v>
                </c:pt>
                <c:pt idx="14">
                  <c:v>335</c:v>
                </c:pt>
                <c:pt idx="15">
                  <c:v>458</c:v>
                </c:pt>
                <c:pt idx="16">
                  <c:v>231</c:v>
                </c:pt>
                <c:pt idx="17">
                  <c:v>238</c:v>
                </c:pt>
                <c:pt idx="18">
                  <c:v>221</c:v>
                </c:pt>
                <c:pt idx="19">
                  <c:v>220</c:v>
                </c:pt>
                <c:pt idx="20">
                  <c:v>343</c:v>
                </c:pt>
                <c:pt idx="21">
                  <c:v>306</c:v>
                </c:pt>
                <c:pt idx="22">
                  <c:v>433</c:v>
                </c:pt>
                <c:pt idx="23">
                  <c:v>413</c:v>
                </c:pt>
                <c:pt idx="24">
                  <c:v>141</c:v>
                </c:pt>
                <c:pt idx="25">
                  <c:v>200</c:v>
                </c:pt>
                <c:pt idx="26">
                  <c:v>124</c:v>
                </c:pt>
                <c:pt idx="27">
                  <c:v>301</c:v>
                </c:pt>
                <c:pt idx="28">
                  <c:v>321</c:v>
                </c:pt>
                <c:pt idx="29">
                  <c:v>235</c:v>
                </c:pt>
                <c:pt idx="30">
                  <c:v>241</c:v>
                </c:pt>
                <c:pt idx="31">
                  <c:v>136</c:v>
                </c:pt>
                <c:pt idx="32">
                  <c:v>192</c:v>
                </c:pt>
                <c:pt idx="33">
                  <c:v>16</c:v>
                </c:pt>
                <c:pt idx="34">
                  <c:v>77</c:v>
                </c:pt>
                <c:pt idx="35">
                  <c:v>180</c:v>
                </c:pt>
                <c:pt idx="36">
                  <c:v>96</c:v>
                </c:pt>
                <c:pt idx="37">
                  <c:v>157</c:v>
                </c:pt>
                <c:pt idx="38">
                  <c:v>136</c:v>
                </c:pt>
                <c:pt idx="39">
                  <c:v>115</c:v>
                </c:pt>
                <c:pt idx="40">
                  <c:v>119</c:v>
                </c:pt>
                <c:pt idx="41">
                  <c:v>80</c:v>
                </c:pt>
                <c:pt idx="42">
                  <c:v>115</c:v>
                </c:pt>
                <c:pt idx="43">
                  <c:v>381</c:v>
                </c:pt>
                <c:pt idx="44">
                  <c:v>112</c:v>
                </c:pt>
                <c:pt idx="45">
                  <c:v>134</c:v>
                </c:pt>
                <c:pt idx="46">
                  <c:v>49</c:v>
                </c:pt>
                <c:pt idx="47">
                  <c:v>63</c:v>
                </c:pt>
                <c:pt idx="48">
                  <c:v>164</c:v>
                </c:pt>
                <c:pt idx="49">
                  <c:v>140</c:v>
                </c:pt>
                <c:pt idx="50">
                  <c:v>106</c:v>
                </c:pt>
                <c:pt idx="51">
                  <c:v>64</c:v>
                </c:pt>
                <c:pt idx="52">
                  <c:v>95</c:v>
                </c:pt>
                <c:pt idx="53">
                  <c:v>74</c:v>
                </c:pt>
                <c:pt idx="54">
                  <c:v>45</c:v>
                </c:pt>
                <c:pt idx="55" formatCode="General">
                  <c:v>110</c:v>
                </c:pt>
                <c:pt idx="56" formatCode="General">
                  <c:v>73</c:v>
                </c:pt>
                <c:pt idx="57" formatCode="General">
                  <c:v>60</c:v>
                </c:pt>
                <c:pt idx="58" formatCode="General">
                  <c:v>168</c:v>
                </c:pt>
                <c:pt idx="59" formatCode="General">
                  <c:v>27</c:v>
                </c:pt>
                <c:pt idx="60" formatCode="General">
                  <c:v>161</c:v>
                </c:pt>
                <c:pt idx="61" formatCode="General">
                  <c:v>31</c:v>
                </c:pt>
                <c:pt idx="62" formatCode="General">
                  <c:v>22</c:v>
                </c:pt>
                <c:pt idx="63" formatCode="General">
                  <c:v>73</c:v>
                </c:pt>
                <c:pt idx="64" formatCode="General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6E-A04B-8A48-EEE6DFA7EB31}"/>
            </c:ext>
          </c:extLst>
        </c:ser>
        <c:ser>
          <c:idx val="1"/>
          <c:order val="1"/>
          <c:tx>
            <c:strRef>
              <c:f>Sheet1!$AH$1</c:f>
              <c:strCache>
                <c:ptCount val="1"/>
                <c:pt idx="0">
                  <c:v>OAKLAND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Sheet1!$AE$2:$AF$66</c:f>
              <c:strCache>
                <c:ptCount val="6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</c:strCache>
            </c:strRef>
          </c:cat>
          <c:val>
            <c:numRef>
              <c:f>Sheet1!$AH$2:$AH$66</c:f>
              <c:numCache>
                <c:formatCode>0</c:formatCode>
                <c:ptCount val="65"/>
                <c:pt idx="1">
                  <c:v>592</c:v>
                </c:pt>
                <c:pt idx="2">
                  <c:v>357</c:v>
                </c:pt>
                <c:pt idx="3">
                  <c:v>495</c:v>
                </c:pt>
                <c:pt idx="4">
                  <c:v>39</c:v>
                </c:pt>
                <c:pt idx="5">
                  <c:v>306</c:v>
                </c:pt>
                <c:pt idx="6">
                  <c:v>356</c:v>
                </c:pt>
                <c:pt idx="7">
                  <c:v>271</c:v>
                </c:pt>
                <c:pt idx="8">
                  <c:v>240</c:v>
                </c:pt>
                <c:pt idx="9">
                  <c:v>264</c:v>
                </c:pt>
                <c:pt idx="10">
                  <c:v>291</c:v>
                </c:pt>
                <c:pt idx="11">
                  <c:v>113</c:v>
                </c:pt>
                <c:pt idx="12">
                  <c:v>158</c:v>
                </c:pt>
                <c:pt idx="13">
                  <c:v>291</c:v>
                </c:pt>
                <c:pt idx="14">
                  <c:v>212</c:v>
                </c:pt>
                <c:pt idx="15">
                  <c:v>202</c:v>
                </c:pt>
                <c:pt idx="16">
                  <c:v>123</c:v>
                </c:pt>
                <c:pt idx="17">
                  <c:v>120</c:v>
                </c:pt>
                <c:pt idx="18">
                  <c:v>88</c:v>
                </c:pt>
                <c:pt idx="19">
                  <c:v>69</c:v>
                </c:pt>
                <c:pt idx="20">
                  <c:v>128</c:v>
                </c:pt>
                <c:pt idx="21">
                  <c:v>157</c:v>
                </c:pt>
                <c:pt idx="22">
                  <c:v>171</c:v>
                </c:pt>
                <c:pt idx="23">
                  <c:v>170</c:v>
                </c:pt>
                <c:pt idx="24">
                  <c:v>77</c:v>
                </c:pt>
                <c:pt idx="25">
                  <c:v>47</c:v>
                </c:pt>
                <c:pt idx="28">
                  <c:v>147</c:v>
                </c:pt>
                <c:pt idx="29">
                  <c:v>108</c:v>
                </c:pt>
                <c:pt idx="30">
                  <c:v>156</c:v>
                </c:pt>
                <c:pt idx="31">
                  <c:v>52</c:v>
                </c:pt>
                <c:pt idx="32">
                  <c:v>43</c:v>
                </c:pt>
                <c:pt idx="35">
                  <c:v>51</c:v>
                </c:pt>
                <c:pt idx="36">
                  <c:v>51</c:v>
                </c:pt>
                <c:pt idx="37">
                  <c:v>40</c:v>
                </c:pt>
                <c:pt idx="38">
                  <c:v>28</c:v>
                </c:pt>
                <c:pt idx="39">
                  <c:v>44</c:v>
                </c:pt>
                <c:pt idx="40">
                  <c:v>16</c:v>
                </c:pt>
                <c:pt idx="41">
                  <c:v>32</c:v>
                </c:pt>
                <c:pt idx="42">
                  <c:v>46</c:v>
                </c:pt>
                <c:pt idx="43">
                  <c:v>122</c:v>
                </c:pt>
                <c:pt idx="44">
                  <c:v>42</c:v>
                </c:pt>
                <c:pt idx="45">
                  <c:v>29</c:v>
                </c:pt>
                <c:pt idx="46">
                  <c:v>20</c:v>
                </c:pt>
                <c:pt idx="47">
                  <c:v>7</c:v>
                </c:pt>
                <c:pt idx="48">
                  <c:v>28</c:v>
                </c:pt>
                <c:pt idx="49">
                  <c:v>39</c:v>
                </c:pt>
                <c:pt idx="50">
                  <c:v>8</c:v>
                </c:pt>
                <c:pt idx="51">
                  <c:v>6</c:v>
                </c:pt>
                <c:pt idx="52">
                  <c:v>61</c:v>
                </c:pt>
                <c:pt idx="53">
                  <c:v>23</c:v>
                </c:pt>
                <c:pt idx="54">
                  <c:v>11</c:v>
                </c:pt>
                <c:pt idx="55" formatCode="General">
                  <c:v>14</c:v>
                </c:pt>
                <c:pt idx="56" formatCode="General">
                  <c:v>20</c:v>
                </c:pt>
                <c:pt idx="57" formatCode="General">
                  <c:v>21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77</c:v>
                </c:pt>
                <c:pt idx="61" formatCode="General">
                  <c:v>11</c:v>
                </c:pt>
                <c:pt idx="62" formatCode="General">
                  <c:v>5</c:v>
                </c:pt>
                <c:pt idx="63" formatCode="General">
                  <c:v>13</c:v>
                </c:pt>
                <c:pt idx="64" formatCode="General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6E-A04B-8A48-EEE6DFA7EB31}"/>
            </c:ext>
          </c:extLst>
        </c:ser>
        <c:ser>
          <c:idx val="2"/>
          <c:order val="2"/>
          <c:tx>
            <c:strRef>
              <c:f>Sheet1!$AI$1</c:f>
              <c:strCache>
                <c:ptCount val="1"/>
                <c:pt idx="0">
                  <c:v>MACOMB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Sheet1!$AE$2:$AF$66</c:f>
              <c:strCache>
                <c:ptCount val="6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</c:strCache>
            </c:strRef>
          </c:cat>
          <c:val>
            <c:numRef>
              <c:f>Sheet1!$AI$2:$AI$66</c:f>
              <c:numCache>
                <c:formatCode>0</c:formatCode>
                <c:ptCount val="65"/>
                <c:pt idx="1">
                  <c:v>479</c:v>
                </c:pt>
                <c:pt idx="2">
                  <c:v>228</c:v>
                </c:pt>
                <c:pt idx="3">
                  <c:v>443</c:v>
                </c:pt>
                <c:pt idx="5">
                  <c:v>156</c:v>
                </c:pt>
                <c:pt idx="6">
                  <c:v>255</c:v>
                </c:pt>
                <c:pt idx="7">
                  <c:v>212</c:v>
                </c:pt>
                <c:pt idx="8">
                  <c:v>157</c:v>
                </c:pt>
                <c:pt idx="9">
                  <c:v>190</c:v>
                </c:pt>
                <c:pt idx="10">
                  <c:v>191</c:v>
                </c:pt>
                <c:pt idx="11">
                  <c:v>90</c:v>
                </c:pt>
                <c:pt idx="12">
                  <c:v>164</c:v>
                </c:pt>
                <c:pt idx="13">
                  <c:v>202</c:v>
                </c:pt>
                <c:pt idx="14">
                  <c:v>172</c:v>
                </c:pt>
                <c:pt idx="15">
                  <c:v>200</c:v>
                </c:pt>
                <c:pt idx="16">
                  <c:v>153</c:v>
                </c:pt>
                <c:pt idx="17">
                  <c:v>106</c:v>
                </c:pt>
                <c:pt idx="18">
                  <c:v>109</c:v>
                </c:pt>
                <c:pt idx="19">
                  <c:v>65</c:v>
                </c:pt>
                <c:pt idx="20">
                  <c:v>119</c:v>
                </c:pt>
                <c:pt idx="21">
                  <c:v>84</c:v>
                </c:pt>
                <c:pt idx="22">
                  <c:v>234</c:v>
                </c:pt>
                <c:pt idx="23">
                  <c:v>160</c:v>
                </c:pt>
                <c:pt idx="24">
                  <c:v>117</c:v>
                </c:pt>
                <c:pt idx="25">
                  <c:v>64</c:v>
                </c:pt>
                <c:pt idx="26">
                  <c:v>42</c:v>
                </c:pt>
                <c:pt idx="27">
                  <c:v>94</c:v>
                </c:pt>
                <c:pt idx="28">
                  <c:v>91</c:v>
                </c:pt>
                <c:pt idx="29">
                  <c:v>83</c:v>
                </c:pt>
                <c:pt idx="30">
                  <c:v>110</c:v>
                </c:pt>
                <c:pt idx="31">
                  <c:v>43</c:v>
                </c:pt>
                <c:pt idx="32">
                  <c:v>90</c:v>
                </c:pt>
                <c:pt idx="35">
                  <c:v>43</c:v>
                </c:pt>
                <c:pt idx="36">
                  <c:v>44</c:v>
                </c:pt>
                <c:pt idx="37">
                  <c:v>87</c:v>
                </c:pt>
                <c:pt idx="38">
                  <c:v>56</c:v>
                </c:pt>
                <c:pt idx="39">
                  <c:v>23</c:v>
                </c:pt>
                <c:pt idx="40">
                  <c:v>22</c:v>
                </c:pt>
                <c:pt idx="41">
                  <c:v>33</c:v>
                </c:pt>
                <c:pt idx="42">
                  <c:v>40</c:v>
                </c:pt>
                <c:pt idx="43">
                  <c:v>95</c:v>
                </c:pt>
                <c:pt idx="44">
                  <c:v>42</c:v>
                </c:pt>
                <c:pt idx="45">
                  <c:v>30</c:v>
                </c:pt>
                <c:pt idx="46">
                  <c:v>41</c:v>
                </c:pt>
                <c:pt idx="47">
                  <c:v>12</c:v>
                </c:pt>
                <c:pt idx="48">
                  <c:v>10</c:v>
                </c:pt>
                <c:pt idx="49">
                  <c:v>25</c:v>
                </c:pt>
                <c:pt idx="50">
                  <c:v>28</c:v>
                </c:pt>
                <c:pt idx="51">
                  <c:v>25</c:v>
                </c:pt>
                <c:pt idx="52">
                  <c:v>37</c:v>
                </c:pt>
                <c:pt idx="53">
                  <c:v>17</c:v>
                </c:pt>
                <c:pt idx="54">
                  <c:v>17</c:v>
                </c:pt>
                <c:pt idx="55" formatCode="General">
                  <c:v>12</c:v>
                </c:pt>
                <c:pt idx="56" formatCode="General">
                  <c:v>30</c:v>
                </c:pt>
                <c:pt idx="57" formatCode="General">
                  <c:v>28</c:v>
                </c:pt>
                <c:pt idx="58" formatCode="General">
                  <c:v>30</c:v>
                </c:pt>
                <c:pt idx="59" formatCode="General">
                  <c:v>8</c:v>
                </c:pt>
                <c:pt idx="60" formatCode="General">
                  <c:v>71</c:v>
                </c:pt>
                <c:pt idx="61" formatCode="General">
                  <c:v>12</c:v>
                </c:pt>
                <c:pt idx="62" formatCode="General">
                  <c:v>13</c:v>
                </c:pt>
                <c:pt idx="63" formatCode="General">
                  <c:v>49</c:v>
                </c:pt>
                <c:pt idx="64" formatCode="General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6E-A04B-8A48-EEE6DFA7EB31}"/>
            </c:ext>
          </c:extLst>
        </c:ser>
        <c:ser>
          <c:idx val="3"/>
          <c:order val="3"/>
          <c:tx>
            <c:strRef>
              <c:f>Sheet1!$AJ$1</c:f>
              <c:strCache>
                <c:ptCount val="1"/>
                <c:pt idx="0">
                  <c:v>GENESEE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Sheet1!$AE$2:$AF$66</c:f>
              <c:strCache>
                <c:ptCount val="6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</c:strCache>
            </c:strRef>
          </c:cat>
          <c:val>
            <c:numRef>
              <c:f>Sheet1!$AJ$2:$AJ$66</c:f>
              <c:numCache>
                <c:formatCode>0</c:formatCode>
                <c:ptCount val="65"/>
                <c:pt idx="1">
                  <c:v>100</c:v>
                </c:pt>
                <c:pt idx="2">
                  <c:v>73</c:v>
                </c:pt>
                <c:pt idx="3">
                  <c:v>42</c:v>
                </c:pt>
                <c:pt idx="4">
                  <c:v>40</c:v>
                </c:pt>
                <c:pt idx="5">
                  <c:v>64</c:v>
                </c:pt>
                <c:pt idx="6">
                  <c:v>70</c:v>
                </c:pt>
                <c:pt idx="7">
                  <c:v>75</c:v>
                </c:pt>
                <c:pt idx="8">
                  <c:v>42</c:v>
                </c:pt>
                <c:pt idx="9">
                  <c:v>73</c:v>
                </c:pt>
                <c:pt idx="10">
                  <c:v>91</c:v>
                </c:pt>
                <c:pt idx="11">
                  <c:v>36</c:v>
                </c:pt>
                <c:pt idx="12">
                  <c:v>33</c:v>
                </c:pt>
                <c:pt idx="13">
                  <c:v>42</c:v>
                </c:pt>
                <c:pt idx="14">
                  <c:v>54</c:v>
                </c:pt>
                <c:pt idx="15">
                  <c:v>63</c:v>
                </c:pt>
                <c:pt idx="16">
                  <c:v>50</c:v>
                </c:pt>
                <c:pt idx="17">
                  <c:v>31</c:v>
                </c:pt>
                <c:pt idx="18">
                  <c:v>12</c:v>
                </c:pt>
                <c:pt idx="19">
                  <c:v>16</c:v>
                </c:pt>
                <c:pt idx="20">
                  <c:v>42</c:v>
                </c:pt>
                <c:pt idx="21">
                  <c:v>64</c:v>
                </c:pt>
                <c:pt idx="22">
                  <c:v>25</c:v>
                </c:pt>
                <c:pt idx="23">
                  <c:v>47</c:v>
                </c:pt>
                <c:pt idx="24">
                  <c:v>18</c:v>
                </c:pt>
                <c:pt idx="25">
                  <c:v>15</c:v>
                </c:pt>
                <c:pt idx="26">
                  <c:v>16</c:v>
                </c:pt>
                <c:pt idx="27">
                  <c:v>50</c:v>
                </c:pt>
                <c:pt idx="28">
                  <c:v>31</c:v>
                </c:pt>
                <c:pt idx="29">
                  <c:v>17</c:v>
                </c:pt>
                <c:pt idx="30">
                  <c:v>19</c:v>
                </c:pt>
                <c:pt idx="31">
                  <c:v>20</c:v>
                </c:pt>
                <c:pt idx="32">
                  <c:v>14</c:v>
                </c:pt>
                <c:pt idx="33">
                  <c:v>13</c:v>
                </c:pt>
                <c:pt idx="34">
                  <c:v>21</c:v>
                </c:pt>
                <c:pt idx="35">
                  <c:v>42</c:v>
                </c:pt>
                <c:pt idx="36">
                  <c:v>21</c:v>
                </c:pt>
                <c:pt idx="37">
                  <c:v>8</c:v>
                </c:pt>
                <c:pt idx="38">
                  <c:v>11</c:v>
                </c:pt>
                <c:pt idx="39">
                  <c:v>8</c:v>
                </c:pt>
                <c:pt idx="40">
                  <c:v>7</c:v>
                </c:pt>
                <c:pt idx="41">
                  <c:v>17</c:v>
                </c:pt>
                <c:pt idx="42">
                  <c:v>2</c:v>
                </c:pt>
                <c:pt idx="43">
                  <c:v>29</c:v>
                </c:pt>
                <c:pt idx="44">
                  <c:v>22</c:v>
                </c:pt>
                <c:pt idx="45">
                  <c:v>10</c:v>
                </c:pt>
                <c:pt idx="46">
                  <c:v>21</c:v>
                </c:pt>
                <c:pt idx="47">
                  <c:v>3</c:v>
                </c:pt>
                <c:pt idx="48">
                  <c:v>22</c:v>
                </c:pt>
                <c:pt idx="49">
                  <c:v>24</c:v>
                </c:pt>
                <c:pt idx="50">
                  <c:v>11</c:v>
                </c:pt>
                <c:pt idx="51">
                  <c:v>3</c:v>
                </c:pt>
                <c:pt idx="52">
                  <c:v>7</c:v>
                </c:pt>
                <c:pt idx="53">
                  <c:v>12</c:v>
                </c:pt>
                <c:pt idx="54">
                  <c:v>13</c:v>
                </c:pt>
                <c:pt idx="55" formatCode="General">
                  <c:v>3</c:v>
                </c:pt>
                <c:pt idx="56" formatCode="General">
                  <c:v>7</c:v>
                </c:pt>
                <c:pt idx="57" formatCode="General">
                  <c:v>12</c:v>
                </c:pt>
                <c:pt idx="58" formatCode="General">
                  <c:v>15</c:v>
                </c:pt>
                <c:pt idx="59" formatCode="General">
                  <c:v>6</c:v>
                </c:pt>
                <c:pt idx="60" formatCode="General">
                  <c:v>9</c:v>
                </c:pt>
                <c:pt idx="61" formatCode="General">
                  <c:v>2</c:v>
                </c:pt>
                <c:pt idx="62" formatCode="General">
                  <c:v>6</c:v>
                </c:pt>
                <c:pt idx="63" formatCode="General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6E-A04B-8A48-EEE6DFA7EB31}"/>
            </c:ext>
          </c:extLst>
        </c:ser>
        <c:ser>
          <c:idx val="4"/>
          <c:order val="4"/>
          <c:tx>
            <c:strRef>
              <c:f>Sheet1!$AK$1</c:f>
              <c:strCache>
                <c:ptCount val="1"/>
                <c:pt idx="0">
                  <c:v>WASHTENAW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Sheet1!$AE$2:$AF$66</c:f>
              <c:strCache>
                <c:ptCount val="6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</c:strCache>
            </c:strRef>
          </c:cat>
          <c:val>
            <c:numRef>
              <c:f>Sheet1!$AK$2:$AK$66</c:f>
              <c:numCache>
                <c:formatCode>0</c:formatCode>
                <c:ptCount val="65"/>
                <c:pt idx="1">
                  <c:v>37</c:v>
                </c:pt>
                <c:pt idx="2">
                  <c:v>39</c:v>
                </c:pt>
                <c:pt idx="3">
                  <c:v>24</c:v>
                </c:pt>
                <c:pt idx="4">
                  <c:v>20</c:v>
                </c:pt>
                <c:pt idx="5">
                  <c:v>22</c:v>
                </c:pt>
                <c:pt idx="6">
                  <c:v>18</c:v>
                </c:pt>
                <c:pt idx="7">
                  <c:v>49</c:v>
                </c:pt>
                <c:pt idx="8">
                  <c:v>27</c:v>
                </c:pt>
                <c:pt idx="9">
                  <c:v>22</c:v>
                </c:pt>
                <c:pt idx="10">
                  <c:v>26</c:v>
                </c:pt>
                <c:pt idx="11">
                  <c:v>31</c:v>
                </c:pt>
                <c:pt idx="12">
                  <c:v>20</c:v>
                </c:pt>
                <c:pt idx="13">
                  <c:v>36</c:v>
                </c:pt>
                <c:pt idx="14">
                  <c:v>26</c:v>
                </c:pt>
                <c:pt idx="15">
                  <c:v>28</c:v>
                </c:pt>
                <c:pt idx="16">
                  <c:v>29</c:v>
                </c:pt>
                <c:pt idx="17">
                  <c:v>15</c:v>
                </c:pt>
                <c:pt idx="18">
                  <c:v>0</c:v>
                </c:pt>
                <c:pt idx="19">
                  <c:v>8</c:v>
                </c:pt>
                <c:pt idx="20">
                  <c:v>22</c:v>
                </c:pt>
                <c:pt idx="21">
                  <c:v>12</c:v>
                </c:pt>
                <c:pt idx="22">
                  <c:v>48</c:v>
                </c:pt>
                <c:pt idx="23">
                  <c:v>14</c:v>
                </c:pt>
                <c:pt idx="24">
                  <c:v>28</c:v>
                </c:pt>
                <c:pt idx="27">
                  <c:v>29</c:v>
                </c:pt>
                <c:pt idx="28">
                  <c:v>16</c:v>
                </c:pt>
                <c:pt idx="29">
                  <c:v>26</c:v>
                </c:pt>
                <c:pt idx="30">
                  <c:v>16</c:v>
                </c:pt>
                <c:pt idx="31">
                  <c:v>10</c:v>
                </c:pt>
                <c:pt idx="32">
                  <c:v>12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11</c:v>
                </c:pt>
                <c:pt idx="37">
                  <c:v>20</c:v>
                </c:pt>
                <c:pt idx="38">
                  <c:v>16</c:v>
                </c:pt>
                <c:pt idx="39">
                  <c:v>6</c:v>
                </c:pt>
                <c:pt idx="40">
                  <c:v>10</c:v>
                </c:pt>
                <c:pt idx="41">
                  <c:v>14</c:v>
                </c:pt>
                <c:pt idx="42">
                  <c:v>4</c:v>
                </c:pt>
                <c:pt idx="43">
                  <c:v>21</c:v>
                </c:pt>
                <c:pt idx="44">
                  <c:v>5</c:v>
                </c:pt>
                <c:pt idx="45">
                  <c:v>5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10</c:v>
                </c:pt>
                <c:pt idx="50">
                  <c:v>4</c:v>
                </c:pt>
                <c:pt idx="51">
                  <c:v>10</c:v>
                </c:pt>
                <c:pt idx="52">
                  <c:v>7</c:v>
                </c:pt>
                <c:pt idx="53">
                  <c:v>12</c:v>
                </c:pt>
                <c:pt idx="54">
                  <c:v>4</c:v>
                </c:pt>
                <c:pt idx="55" formatCode="General">
                  <c:v>3</c:v>
                </c:pt>
                <c:pt idx="56" formatCode="General">
                  <c:v>4</c:v>
                </c:pt>
                <c:pt idx="57" formatCode="General">
                  <c:v>8</c:v>
                </c:pt>
                <c:pt idx="58" formatCode="General">
                  <c:v>5</c:v>
                </c:pt>
                <c:pt idx="59" formatCode="General">
                  <c:v>13</c:v>
                </c:pt>
                <c:pt idx="60" formatCode="General">
                  <c:v>5</c:v>
                </c:pt>
                <c:pt idx="61" formatCode="General">
                  <c:v>1</c:v>
                </c:pt>
                <c:pt idx="62" formatCode="General">
                  <c:v>3</c:v>
                </c:pt>
                <c:pt idx="63" formatCode="General">
                  <c:v>1</c:v>
                </c:pt>
                <c:pt idx="64" formatCode="General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6E-A04B-8A48-EEE6DFA7E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394943"/>
        <c:axId val="300142431"/>
      </c:lineChart>
      <c:dateAx>
        <c:axId val="288394943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142431"/>
        <c:crosses val="autoZero"/>
        <c:auto val="1"/>
        <c:lblOffset val="100"/>
        <c:baseTimeUnit val="days"/>
      </c:dateAx>
      <c:valAx>
        <c:axId val="30014243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39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COVID-19 CASES IN THE TOP FIVE MOST INFECTED</a:t>
            </a:r>
            <a:r>
              <a:rPr lang="en-US" baseline="0"/>
              <a:t> COUNTIES OF PENNSYLVANIA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Sheet1!$AQ$1</c:f>
              <c:strCache>
                <c:ptCount val="1"/>
                <c:pt idx="0">
                  <c:v>PHILADELPHIA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Sheet1!$AO$2:$AP$66</c:f>
              <c:strCache>
                <c:ptCount val="6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</c:strCache>
            </c:strRef>
          </c:cat>
          <c:val>
            <c:numRef>
              <c:f>Sheet1!$AQ$2:$AQ$66</c:f>
              <c:numCache>
                <c:formatCode>0</c:formatCode>
                <c:ptCount val="65"/>
                <c:pt idx="1">
                  <c:v>374</c:v>
                </c:pt>
                <c:pt idx="2">
                  <c:v>432</c:v>
                </c:pt>
                <c:pt idx="3">
                  <c:v>326</c:v>
                </c:pt>
                <c:pt idx="4">
                  <c:v>525</c:v>
                </c:pt>
                <c:pt idx="5">
                  <c:v>476</c:v>
                </c:pt>
                <c:pt idx="6">
                  <c:v>401</c:v>
                </c:pt>
                <c:pt idx="7">
                  <c:v>444</c:v>
                </c:pt>
                <c:pt idx="8">
                  <c:v>573</c:v>
                </c:pt>
                <c:pt idx="9">
                  <c:v>492</c:v>
                </c:pt>
                <c:pt idx="10">
                  <c:v>501</c:v>
                </c:pt>
                <c:pt idx="11">
                  <c:v>330</c:v>
                </c:pt>
                <c:pt idx="12">
                  <c:v>458</c:v>
                </c:pt>
                <c:pt idx="13">
                  <c:v>311</c:v>
                </c:pt>
                <c:pt idx="14">
                  <c:v>320</c:v>
                </c:pt>
                <c:pt idx="15">
                  <c:v>243</c:v>
                </c:pt>
                <c:pt idx="16">
                  <c:v>879</c:v>
                </c:pt>
                <c:pt idx="18">
                  <c:v>651</c:v>
                </c:pt>
                <c:pt idx="21">
                  <c:v>305</c:v>
                </c:pt>
                <c:pt idx="22">
                  <c:v>394</c:v>
                </c:pt>
                <c:pt idx="23">
                  <c:v>417</c:v>
                </c:pt>
                <c:pt idx="24">
                  <c:v>386</c:v>
                </c:pt>
                <c:pt idx="25">
                  <c:v>259</c:v>
                </c:pt>
                <c:pt idx="26">
                  <c:v>209</c:v>
                </c:pt>
                <c:pt idx="27">
                  <c:v>243</c:v>
                </c:pt>
                <c:pt idx="28">
                  <c:v>281</c:v>
                </c:pt>
                <c:pt idx="29">
                  <c:v>412</c:v>
                </c:pt>
                <c:pt idx="30">
                  <c:v>247</c:v>
                </c:pt>
                <c:pt idx="31">
                  <c:v>404</c:v>
                </c:pt>
                <c:pt idx="32">
                  <c:v>231</c:v>
                </c:pt>
                <c:pt idx="37">
                  <c:v>378</c:v>
                </c:pt>
                <c:pt idx="38">
                  <c:v>253</c:v>
                </c:pt>
                <c:pt idx="39">
                  <c:v>246</c:v>
                </c:pt>
                <c:pt idx="40">
                  <c:v>125</c:v>
                </c:pt>
                <c:pt idx="41">
                  <c:v>210</c:v>
                </c:pt>
                <c:pt idx="42">
                  <c:v>158</c:v>
                </c:pt>
                <c:pt idx="43">
                  <c:v>248</c:v>
                </c:pt>
                <c:pt idx="44">
                  <c:v>211</c:v>
                </c:pt>
                <c:pt idx="45">
                  <c:v>197</c:v>
                </c:pt>
                <c:pt idx="46">
                  <c:v>108</c:v>
                </c:pt>
                <c:pt idx="47">
                  <c:v>200</c:v>
                </c:pt>
                <c:pt idx="48">
                  <c:v>147</c:v>
                </c:pt>
                <c:pt idx="49">
                  <c:v>158</c:v>
                </c:pt>
                <c:pt idx="50">
                  <c:v>195</c:v>
                </c:pt>
                <c:pt idx="51">
                  <c:v>217</c:v>
                </c:pt>
                <c:pt idx="52">
                  <c:v>151</c:v>
                </c:pt>
                <c:pt idx="53">
                  <c:v>176</c:v>
                </c:pt>
                <c:pt idx="54">
                  <c:v>111</c:v>
                </c:pt>
                <c:pt idx="55" formatCode="General">
                  <c:v>102</c:v>
                </c:pt>
                <c:pt idx="56" formatCode="General">
                  <c:v>242</c:v>
                </c:pt>
                <c:pt idx="57" formatCode="General">
                  <c:v>133</c:v>
                </c:pt>
                <c:pt idx="58" formatCode="General">
                  <c:v>184</c:v>
                </c:pt>
                <c:pt idx="59" formatCode="General">
                  <c:v>191</c:v>
                </c:pt>
                <c:pt idx="60" formatCode="General">
                  <c:v>79</c:v>
                </c:pt>
                <c:pt idx="61" formatCode="General">
                  <c:v>91</c:v>
                </c:pt>
                <c:pt idx="62" formatCode="General">
                  <c:v>186</c:v>
                </c:pt>
                <c:pt idx="63" formatCode="General">
                  <c:v>82</c:v>
                </c:pt>
                <c:pt idx="64" formatCode="General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4-1C46-8B45-F7B62835C87B}"/>
            </c:ext>
          </c:extLst>
        </c:ser>
        <c:ser>
          <c:idx val="1"/>
          <c:order val="1"/>
          <c:tx>
            <c:strRef>
              <c:f>Sheet1!$AR$1</c:f>
              <c:strCache>
                <c:ptCount val="1"/>
                <c:pt idx="0">
                  <c:v>MONTGOMERY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Sheet1!$AO$2:$AP$66</c:f>
              <c:strCache>
                <c:ptCount val="6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</c:strCache>
            </c:strRef>
          </c:cat>
          <c:val>
            <c:numRef>
              <c:f>Sheet1!$AR$2:$AR$66</c:f>
              <c:numCache>
                <c:formatCode>0</c:formatCode>
                <c:ptCount val="65"/>
                <c:pt idx="1">
                  <c:v>86</c:v>
                </c:pt>
                <c:pt idx="2">
                  <c:v>140</c:v>
                </c:pt>
                <c:pt idx="3">
                  <c:v>107</c:v>
                </c:pt>
                <c:pt idx="4">
                  <c:v>129</c:v>
                </c:pt>
                <c:pt idx="5">
                  <c:v>119</c:v>
                </c:pt>
                <c:pt idx="6">
                  <c:v>129</c:v>
                </c:pt>
                <c:pt idx="7">
                  <c:v>162</c:v>
                </c:pt>
                <c:pt idx="8">
                  <c:v>172</c:v>
                </c:pt>
                <c:pt idx="9">
                  <c:v>196</c:v>
                </c:pt>
                <c:pt idx="10">
                  <c:v>164</c:v>
                </c:pt>
                <c:pt idx="11">
                  <c:v>111</c:v>
                </c:pt>
                <c:pt idx="12">
                  <c:v>121</c:v>
                </c:pt>
                <c:pt idx="13">
                  <c:v>69</c:v>
                </c:pt>
                <c:pt idx="14">
                  <c:v>121</c:v>
                </c:pt>
                <c:pt idx="15">
                  <c:v>69</c:v>
                </c:pt>
                <c:pt idx="16">
                  <c:v>140</c:v>
                </c:pt>
                <c:pt idx="17">
                  <c:v>97</c:v>
                </c:pt>
                <c:pt idx="18">
                  <c:v>132</c:v>
                </c:pt>
                <c:pt idx="19">
                  <c:v>127</c:v>
                </c:pt>
                <c:pt idx="20">
                  <c:v>114</c:v>
                </c:pt>
                <c:pt idx="21">
                  <c:v>140</c:v>
                </c:pt>
                <c:pt idx="22">
                  <c:v>101</c:v>
                </c:pt>
                <c:pt idx="23">
                  <c:v>130</c:v>
                </c:pt>
                <c:pt idx="24">
                  <c:v>102</c:v>
                </c:pt>
                <c:pt idx="25">
                  <c:v>106</c:v>
                </c:pt>
                <c:pt idx="26">
                  <c:v>84</c:v>
                </c:pt>
                <c:pt idx="27">
                  <c:v>226</c:v>
                </c:pt>
                <c:pt idx="28">
                  <c:v>134</c:v>
                </c:pt>
                <c:pt idx="29">
                  <c:v>130</c:v>
                </c:pt>
                <c:pt idx="30">
                  <c:v>99</c:v>
                </c:pt>
                <c:pt idx="31">
                  <c:v>81</c:v>
                </c:pt>
                <c:pt idx="32">
                  <c:v>65</c:v>
                </c:pt>
                <c:pt idx="33">
                  <c:v>93</c:v>
                </c:pt>
                <c:pt idx="34">
                  <c:v>42</c:v>
                </c:pt>
                <c:pt idx="35">
                  <c:v>140</c:v>
                </c:pt>
                <c:pt idx="36">
                  <c:v>88</c:v>
                </c:pt>
                <c:pt idx="37">
                  <c:v>122</c:v>
                </c:pt>
                <c:pt idx="38">
                  <c:v>79</c:v>
                </c:pt>
                <c:pt idx="39">
                  <c:v>144</c:v>
                </c:pt>
                <c:pt idx="40">
                  <c:v>32</c:v>
                </c:pt>
                <c:pt idx="41">
                  <c:v>150</c:v>
                </c:pt>
                <c:pt idx="42">
                  <c:v>71</c:v>
                </c:pt>
                <c:pt idx="43">
                  <c:v>70</c:v>
                </c:pt>
                <c:pt idx="44">
                  <c:v>114</c:v>
                </c:pt>
                <c:pt idx="45">
                  <c:v>100</c:v>
                </c:pt>
                <c:pt idx="46">
                  <c:v>75</c:v>
                </c:pt>
                <c:pt idx="47">
                  <c:v>140</c:v>
                </c:pt>
                <c:pt idx="48">
                  <c:v>51</c:v>
                </c:pt>
                <c:pt idx="49">
                  <c:v>91</c:v>
                </c:pt>
                <c:pt idx="50">
                  <c:v>114</c:v>
                </c:pt>
                <c:pt idx="51">
                  <c:v>98</c:v>
                </c:pt>
                <c:pt idx="52">
                  <c:v>98</c:v>
                </c:pt>
                <c:pt idx="53">
                  <c:v>61</c:v>
                </c:pt>
                <c:pt idx="54">
                  <c:v>51</c:v>
                </c:pt>
                <c:pt idx="55" formatCode="General">
                  <c:v>22</c:v>
                </c:pt>
                <c:pt idx="56" formatCode="General">
                  <c:v>140</c:v>
                </c:pt>
                <c:pt idx="57" formatCode="General">
                  <c:v>73</c:v>
                </c:pt>
                <c:pt idx="58" formatCode="General">
                  <c:v>95</c:v>
                </c:pt>
                <c:pt idx="59" formatCode="General">
                  <c:v>100</c:v>
                </c:pt>
                <c:pt idx="60" formatCode="General">
                  <c:v>55</c:v>
                </c:pt>
                <c:pt idx="61" formatCode="General">
                  <c:v>32</c:v>
                </c:pt>
                <c:pt idx="62" formatCode="General">
                  <c:v>79</c:v>
                </c:pt>
                <c:pt idx="63" formatCode="General">
                  <c:v>70</c:v>
                </c:pt>
                <c:pt idx="64" formatCode="General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4-1C46-8B45-F7B62835C87B}"/>
            </c:ext>
          </c:extLst>
        </c:ser>
        <c:ser>
          <c:idx val="2"/>
          <c:order val="2"/>
          <c:tx>
            <c:strRef>
              <c:f>Sheet1!$AS$1</c:f>
              <c:strCache>
                <c:ptCount val="1"/>
                <c:pt idx="0">
                  <c:v>DELEWARE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Sheet1!$AO$2:$AP$66</c:f>
              <c:strCache>
                <c:ptCount val="6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</c:strCache>
            </c:strRef>
          </c:cat>
          <c:val>
            <c:numRef>
              <c:f>Sheet1!$AS$2:$AS$66</c:f>
              <c:numCache>
                <c:formatCode>0</c:formatCode>
                <c:ptCount val="65"/>
                <c:pt idx="1">
                  <c:v>80</c:v>
                </c:pt>
                <c:pt idx="2">
                  <c:v>72</c:v>
                </c:pt>
                <c:pt idx="3">
                  <c:v>74</c:v>
                </c:pt>
                <c:pt idx="4">
                  <c:v>92</c:v>
                </c:pt>
                <c:pt idx="5">
                  <c:v>114</c:v>
                </c:pt>
                <c:pt idx="6">
                  <c:v>76</c:v>
                </c:pt>
                <c:pt idx="7">
                  <c:v>136</c:v>
                </c:pt>
                <c:pt idx="8">
                  <c:v>188</c:v>
                </c:pt>
                <c:pt idx="9">
                  <c:v>155</c:v>
                </c:pt>
                <c:pt idx="10">
                  <c:v>133</c:v>
                </c:pt>
                <c:pt idx="11">
                  <c:v>84</c:v>
                </c:pt>
                <c:pt idx="12">
                  <c:v>118</c:v>
                </c:pt>
                <c:pt idx="13">
                  <c:v>94</c:v>
                </c:pt>
                <c:pt idx="14">
                  <c:v>129</c:v>
                </c:pt>
                <c:pt idx="15">
                  <c:v>64</c:v>
                </c:pt>
                <c:pt idx="16">
                  <c:v>282</c:v>
                </c:pt>
                <c:pt idx="17">
                  <c:v>91</c:v>
                </c:pt>
                <c:pt idx="18">
                  <c:v>88</c:v>
                </c:pt>
                <c:pt idx="19">
                  <c:v>24</c:v>
                </c:pt>
                <c:pt idx="20">
                  <c:v>170</c:v>
                </c:pt>
                <c:pt idx="21">
                  <c:v>103</c:v>
                </c:pt>
                <c:pt idx="22">
                  <c:v>145</c:v>
                </c:pt>
                <c:pt idx="23">
                  <c:v>153</c:v>
                </c:pt>
                <c:pt idx="24">
                  <c:v>106</c:v>
                </c:pt>
                <c:pt idx="25">
                  <c:v>120</c:v>
                </c:pt>
                <c:pt idx="26">
                  <c:v>80</c:v>
                </c:pt>
                <c:pt idx="27">
                  <c:v>102</c:v>
                </c:pt>
                <c:pt idx="28">
                  <c:v>156</c:v>
                </c:pt>
                <c:pt idx="29">
                  <c:v>77</c:v>
                </c:pt>
                <c:pt idx="30">
                  <c:v>152</c:v>
                </c:pt>
                <c:pt idx="31">
                  <c:v>151</c:v>
                </c:pt>
                <c:pt idx="32">
                  <c:v>114</c:v>
                </c:pt>
                <c:pt idx="33">
                  <c:v>143</c:v>
                </c:pt>
                <c:pt idx="34">
                  <c:v>70</c:v>
                </c:pt>
                <c:pt idx="35">
                  <c:v>104</c:v>
                </c:pt>
                <c:pt idx="36">
                  <c:v>67</c:v>
                </c:pt>
                <c:pt idx="37">
                  <c:v>183</c:v>
                </c:pt>
                <c:pt idx="38">
                  <c:v>156</c:v>
                </c:pt>
                <c:pt idx="39">
                  <c:v>140</c:v>
                </c:pt>
                <c:pt idx="40">
                  <c:v>70</c:v>
                </c:pt>
                <c:pt idx="41">
                  <c:v>38</c:v>
                </c:pt>
                <c:pt idx="42">
                  <c:v>73</c:v>
                </c:pt>
                <c:pt idx="43">
                  <c:v>95</c:v>
                </c:pt>
                <c:pt idx="44">
                  <c:v>157</c:v>
                </c:pt>
                <c:pt idx="45">
                  <c:v>146</c:v>
                </c:pt>
                <c:pt idx="46">
                  <c:v>64</c:v>
                </c:pt>
                <c:pt idx="47">
                  <c:v>70</c:v>
                </c:pt>
                <c:pt idx="48">
                  <c:v>65</c:v>
                </c:pt>
                <c:pt idx="49">
                  <c:v>90</c:v>
                </c:pt>
                <c:pt idx="50">
                  <c:v>125</c:v>
                </c:pt>
                <c:pt idx="51">
                  <c:v>91</c:v>
                </c:pt>
                <c:pt idx="52">
                  <c:v>54</c:v>
                </c:pt>
                <c:pt idx="53">
                  <c:v>65</c:v>
                </c:pt>
                <c:pt idx="54">
                  <c:v>31</c:v>
                </c:pt>
                <c:pt idx="55" formatCode="General">
                  <c:v>33</c:v>
                </c:pt>
                <c:pt idx="56" formatCode="General">
                  <c:v>46</c:v>
                </c:pt>
                <c:pt idx="57" formatCode="General">
                  <c:v>48</c:v>
                </c:pt>
                <c:pt idx="58" formatCode="General">
                  <c:v>42</c:v>
                </c:pt>
                <c:pt idx="59" formatCode="General">
                  <c:v>41</c:v>
                </c:pt>
                <c:pt idx="60" formatCode="General">
                  <c:v>41</c:v>
                </c:pt>
                <c:pt idx="61" formatCode="General">
                  <c:v>20</c:v>
                </c:pt>
                <c:pt idx="62" formatCode="General">
                  <c:v>15</c:v>
                </c:pt>
                <c:pt idx="63" formatCode="General">
                  <c:v>52</c:v>
                </c:pt>
                <c:pt idx="64" formatCode="General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4-1C46-8B45-F7B62835C87B}"/>
            </c:ext>
          </c:extLst>
        </c:ser>
        <c:ser>
          <c:idx val="3"/>
          <c:order val="3"/>
          <c:tx>
            <c:strRef>
              <c:f>Sheet1!$AT$1</c:f>
              <c:strCache>
                <c:ptCount val="1"/>
                <c:pt idx="0">
                  <c:v>LEHIGH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Sheet1!$AO$2:$AP$66</c:f>
              <c:strCache>
                <c:ptCount val="6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</c:strCache>
            </c:strRef>
          </c:cat>
          <c:val>
            <c:numRef>
              <c:f>Sheet1!$AT$2:$AT$66</c:f>
              <c:numCache>
                <c:formatCode>0</c:formatCode>
                <c:ptCount val="65"/>
                <c:pt idx="1">
                  <c:v>105</c:v>
                </c:pt>
                <c:pt idx="2">
                  <c:v>105</c:v>
                </c:pt>
                <c:pt idx="3">
                  <c:v>220</c:v>
                </c:pt>
                <c:pt idx="4">
                  <c:v>73</c:v>
                </c:pt>
                <c:pt idx="5">
                  <c:v>129</c:v>
                </c:pt>
                <c:pt idx="6">
                  <c:v>140</c:v>
                </c:pt>
                <c:pt idx="7">
                  <c:v>173</c:v>
                </c:pt>
                <c:pt idx="8">
                  <c:v>147</c:v>
                </c:pt>
                <c:pt idx="9">
                  <c:v>96</c:v>
                </c:pt>
                <c:pt idx="10">
                  <c:v>58</c:v>
                </c:pt>
                <c:pt idx="11">
                  <c:v>64</c:v>
                </c:pt>
                <c:pt idx="12">
                  <c:v>63</c:v>
                </c:pt>
                <c:pt idx="13">
                  <c:v>56</c:v>
                </c:pt>
                <c:pt idx="14">
                  <c:v>119</c:v>
                </c:pt>
                <c:pt idx="15">
                  <c:v>77</c:v>
                </c:pt>
                <c:pt idx="16">
                  <c:v>93</c:v>
                </c:pt>
                <c:pt idx="17">
                  <c:v>49</c:v>
                </c:pt>
                <c:pt idx="18">
                  <c:v>62</c:v>
                </c:pt>
                <c:pt idx="19">
                  <c:v>42</c:v>
                </c:pt>
                <c:pt idx="20">
                  <c:v>50</c:v>
                </c:pt>
                <c:pt idx="21">
                  <c:v>79</c:v>
                </c:pt>
                <c:pt idx="22">
                  <c:v>44</c:v>
                </c:pt>
                <c:pt idx="23">
                  <c:v>60</c:v>
                </c:pt>
                <c:pt idx="24">
                  <c:v>73</c:v>
                </c:pt>
                <c:pt idx="25">
                  <c:v>50</c:v>
                </c:pt>
                <c:pt idx="26">
                  <c:v>35</c:v>
                </c:pt>
                <c:pt idx="27">
                  <c:v>49</c:v>
                </c:pt>
                <c:pt idx="28">
                  <c:v>34</c:v>
                </c:pt>
                <c:pt idx="29">
                  <c:v>77</c:v>
                </c:pt>
                <c:pt idx="30">
                  <c:v>54</c:v>
                </c:pt>
                <c:pt idx="31">
                  <c:v>46</c:v>
                </c:pt>
                <c:pt idx="32">
                  <c:v>28</c:v>
                </c:pt>
                <c:pt idx="33">
                  <c:v>39</c:v>
                </c:pt>
                <c:pt idx="34">
                  <c:v>36</c:v>
                </c:pt>
                <c:pt idx="35">
                  <c:v>64</c:v>
                </c:pt>
                <c:pt idx="36">
                  <c:v>39</c:v>
                </c:pt>
                <c:pt idx="37">
                  <c:v>38</c:v>
                </c:pt>
                <c:pt idx="38">
                  <c:v>29</c:v>
                </c:pt>
                <c:pt idx="39">
                  <c:v>72</c:v>
                </c:pt>
                <c:pt idx="40">
                  <c:v>18</c:v>
                </c:pt>
                <c:pt idx="41">
                  <c:v>27</c:v>
                </c:pt>
                <c:pt idx="42">
                  <c:v>32</c:v>
                </c:pt>
                <c:pt idx="43">
                  <c:v>60</c:v>
                </c:pt>
                <c:pt idx="44">
                  <c:v>18</c:v>
                </c:pt>
                <c:pt idx="45">
                  <c:v>44</c:v>
                </c:pt>
                <c:pt idx="46">
                  <c:v>30</c:v>
                </c:pt>
                <c:pt idx="47">
                  <c:v>21</c:v>
                </c:pt>
                <c:pt idx="48">
                  <c:v>22</c:v>
                </c:pt>
                <c:pt idx="49">
                  <c:v>37</c:v>
                </c:pt>
                <c:pt idx="50">
                  <c:v>36</c:v>
                </c:pt>
                <c:pt idx="51">
                  <c:v>27</c:v>
                </c:pt>
                <c:pt idx="52">
                  <c:v>15</c:v>
                </c:pt>
                <c:pt idx="53">
                  <c:v>23</c:v>
                </c:pt>
                <c:pt idx="54">
                  <c:v>16</c:v>
                </c:pt>
                <c:pt idx="55" formatCode="General">
                  <c:v>9</c:v>
                </c:pt>
                <c:pt idx="56" formatCode="General">
                  <c:v>23</c:v>
                </c:pt>
                <c:pt idx="57" formatCode="General">
                  <c:v>20</c:v>
                </c:pt>
                <c:pt idx="58" formatCode="General">
                  <c:v>19</c:v>
                </c:pt>
                <c:pt idx="59" formatCode="General">
                  <c:v>9</c:v>
                </c:pt>
                <c:pt idx="60" formatCode="General">
                  <c:v>18</c:v>
                </c:pt>
                <c:pt idx="61" formatCode="General">
                  <c:v>5</c:v>
                </c:pt>
                <c:pt idx="62" formatCode="General">
                  <c:v>10</c:v>
                </c:pt>
                <c:pt idx="63" formatCode="General">
                  <c:v>22</c:v>
                </c:pt>
                <c:pt idx="64" formatCode="General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4-1C46-8B45-F7B62835C87B}"/>
            </c:ext>
          </c:extLst>
        </c:ser>
        <c:ser>
          <c:idx val="4"/>
          <c:order val="4"/>
          <c:tx>
            <c:strRef>
              <c:f>Sheet1!$AU$1</c:f>
              <c:strCache>
                <c:ptCount val="1"/>
                <c:pt idx="0">
                  <c:v>BERKS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Sheet1!$AO$2:$AP$66</c:f>
              <c:strCache>
                <c:ptCount val="65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</c:strCache>
            </c:strRef>
          </c:cat>
          <c:val>
            <c:numRef>
              <c:f>Sheet1!$AU$2:$AU$66</c:f>
              <c:numCache>
                <c:formatCode>0</c:formatCode>
                <c:ptCount val="65"/>
                <c:pt idx="1">
                  <c:v>17</c:v>
                </c:pt>
                <c:pt idx="2">
                  <c:v>33</c:v>
                </c:pt>
                <c:pt idx="3">
                  <c:v>34</c:v>
                </c:pt>
                <c:pt idx="4">
                  <c:v>41</c:v>
                </c:pt>
                <c:pt idx="5">
                  <c:v>50</c:v>
                </c:pt>
                <c:pt idx="6">
                  <c:v>43</c:v>
                </c:pt>
                <c:pt idx="7">
                  <c:v>47</c:v>
                </c:pt>
                <c:pt idx="8">
                  <c:v>200</c:v>
                </c:pt>
                <c:pt idx="9">
                  <c:v>104</c:v>
                </c:pt>
                <c:pt idx="10">
                  <c:v>210</c:v>
                </c:pt>
                <c:pt idx="11">
                  <c:v>105</c:v>
                </c:pt>
                <c:pt idx="12">
                  <c:v>115</c:v>
                </c:pt>
                <c:pt idx="13">
                  <c:v>97</c:v>
                </c:pt>
                <c:pt idx="14">
                  <c:v>88</c:v>
                </c:pt>
                <c:pt idx="15">
                  <c:v>84</c:v>
                </c:pt>
                <c:pt idx="16">
                  <c:v>118</c:v>
                </c:pt>
                <c:pt idx="17">
                  <c:v>211</c:v>
                </c:pt>
                <c:pt idx="18">
                  <c:v>150</c:v>
                </c:pt>
                <c:pt idx="19">
                  <c:v>47</c:v>
                </c:pt>
                <c:pt idx="20">
                  <c:v>43</c:v>
                </c:pt>
                <c:pt idx="21">
                  <c:v>81</c:v>
                </c:pt>
                <c:pt idx="22">
                  <c:v>143</c:v>
                </c:pt>
                <c:pt idx="23">
                  <c:v>127</c:v>
                </c:pt>
                <c:pt idx="24">
                  <c:v>67</c:v>
                </c:pt>
                <c:pt idx="25">
                  <c:v>85</c:v>
                </c:pt>
                <c:pt idx="26">
                  <c:v>35</c:v>
                </c:pt>
                <c:pt idx="27">
                  <c:v>79</c:v>
                </c:pt>
                <c:pt idx="28">
                  <c:v>32</c:v>
                </c:pt>
                <c:pt idx="29">
                  <c:v>61</c:v>
                </c:pt>
                <c:pt idx="30">
                  <c:v>50</c:v>
                </c:pt>
                <c:pt idx="31">
                  <c:v>62</c:v>
                </c:pt>
                <c:pt idx="32">
                  <c:v>76</c:v>
                </c:pt>
                <c:pt idx="33">
                  <c:v>62</c:v>
                </c:pt>
                <c:pt idx="34">
                  <c:v>56</c:v>
                </c:pt>
                <c:pt idx="35">
                  <c:v>44</c:v>
                </c:pt>
                <c:pt idx="36">
                  <c:v>47</c:v>
                </c:pt>
                <c:pt idx="37">
                  <c:v>95</c:v>
                </c:pt>
                <c:pt idx="38">
                  <c:v>67</c:v>
                </c:pt>
                <c:pt idx="39">
                  <c:v>114</c:v>
                </c:pt>
                <c:pt idx="40">
                  <c:v>46</c:v>
                </c:pt>
                <c:pt idx="41">
                  <c:v>36</c:v>
                </c:pt>
                <c:pt idx="42">
                  <c:v>32</c:v>
                </c:pt>
                <c:pt idx="43">
                  <c:v>45</c:v>
                </c:pt>
                <c:pt idx="44">
                  <c:v>63</c:v>
                </c:pt>
                <c:pt idx="45">
                  <c:v>50</c:v>
                </c:pt>
                <c:pt idx="46">
                  <c:v>34</c:v>
                </c:pt>
                <c:pt idx="47">
                  <c:v>42</c:v>
                </c:pt>
                <c:pt idx="48">
                  <c:v>16</c:v>
                </c:pt>
                <c:pt idx="49">
                  <c:v>28</c:v>
                </c:pt>
                <c:pt idx="50">
                  <c:v>21</c:v>
                </c:pt>
                <c:pt idx="51">
                  <c:v>54</c:v>
                </c:pt>
                <c:pt idx="52">
                  <c:v>7</c:v>
                </c:pt>
                <c:pt idx="53">
                  <c:v>40</c:v>
                </c:pt>
                <c:pt idx="54">
                  <c:v>18</c:v>
                </c:pt>
                <c:pt idx="55" formatCode="General">
                  <c:v>16</c:v>
                </c:pt>
                <c:pt idx="56" formatCode="General">
                  <c:v>33</c:v>
                </c:pt>
                <c:pt idx="57" formatCode="General">
                  <c:v>21</c:v>
                </c:pt>
                <c:pt idx="58" formatCode="General">
                  <c:v>15</c:v>
                </c:pt>
                <c:pt idx="59" formatCode="General">
                  <c:v>14</c:v>
                </c:pt>
                <c:pt idx="60" formatCode="General">
                  <c:v>59</c:v>
                </c:pt>
                <c:pt idx="61" formatCode="General">
                  <c:v>13</c:v>
                </c:pt>
                <c:pt idx="62" formatCode="General">
                  <c:v>33</c:v>
                </c:pt>
                <c:pt idx="63" formatCode="General">
                  <c:v>45</c:v>
                </c:pt>
                <c:pt idx="6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4-1C46-8B45-F7B62835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218527"/>
        <c:axId val="297905071"/>
      </c:lineChart>
      <c:dateAx>
        <c:axId val="295218527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05071"/>
        <c:crosses val="autoZero"/>
        <c:auto val="1"/>
        <c:lblOffset val="100"/>
        <c:baseTimeUnit val="days"/>
      </c:dateAx>
      <c:valAx>
        <c:axId val="297905071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21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COVID-19 CASES IN THE TOP FIVE MOST INFECTED COUNTIES OF CALIFORNIA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Sheet1!$BA$1</c:f>
              <c:strCache>
                <c:ptCount val="1"/>
                <c:pt idx="0">
                  <c:v>LOS ANGELES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Sheet1!$AY$2:$AZ$65</c:f>
              <c:strCache>
                <c:ptCount val="64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</c:strCache>
            </c:strRef>
          </c:cat>
          <c:val>
            <c:numRef>
              <c:f>Sheet1!$BA$2:$BA$65</c:f>
              <c:numCache>
                <c:formatCode>0</c:formatCode>
                <c:ptCount val="64"/>
                <c:pt idx="1">
                  <c:v>538</c:v>
                </c:pt>
                <c:pt idx="2">
                  <c:v>526</c:v>
                </c:pt>
                <c:pt idx="3">
                  <c:v>709</c:v>
                </c:pt>
                <c:pt idx="4">
                  <c:v>617</c:v>
                </c:pt>
                <c:pt idx="5">
                  <c:v>454</c:v>
                </c:pt>
                <c:pt idx="6">
                  <c:v>539</c:v>
                </c:pt>
                <c:pt idx="7">
                  <c:v>620</c:v>
                </c:pt>
                <c:pt idx="8">
                  <c:v>414</c:v>
                </c:pt>
                <c:pt idx="9">
                  <c:v>465</c:v>
                </c:pt>
                <c:pt idx="10">
                  <c:v>439</c:v>
                </c:pt>
                <c:pt idx="11">
                  <c:v>310</c:v>
                </c:pt>
                <c:pt idx="12">
                  <c:v>234</c:v>
                </c:pt>
                <c:pt idx="13">
                  <c:v>581</c:v>
                </c:pt>
                <c:pt idx="14">
                  <c:v>468</c:v>
                </c:pt>
                <c:pt idx="15">
                  <c:v>370</c:v>
                </c:pt>
                <c:pt idx="16">
                  <c:v>568</c:v>
                </c:pt>
                <c:pt idx="17">
                  <c:v>630</c:v>
                </c:pt>
                <c:pt idx="18">
                  <c:v>315</c:v>
                </c:pt>
                <c:pt idx="19">
                  <c:v>1488</c:v>
                </c:pt>
                <c:pt idx="20">
                  <c:v>1309</c:v>
                </c:pt>
                <c:pt idx="21">
                  <c:v>1304</c:v>
                </c:pt>
                <c:pt idx="22">
                  <c:v>1148</c:v>
                </c:pt>
                <c:pt idx="23">
                  <c:v>1005</c:v>
                </c:pt>
                <c:pt idx="24">
                  <c:v>591</c:v>
                </c:pt>
                <c:pt idx="25">
                  <c:v>426</c:v>
                </c:pt>
                <c:pt idx="26">
                  <c:v>886</c:v>
                </c:pt>
                <c:pt idx="27">
                  <c:v>573</c:v>
                </c:pt>
                <c:pt idx="28">
                  <c:v>1531</c:v>
                </c:pt>
                <c:pt idx="29">
                  <c:v>724</c:v>
                </c:pt>
                <c:pt idx="30">
                  <c:v>1022</c:v>
                </c:pt>
                <c:pt idx="31">
                  <c:v>649</c:v>
                </c:pt>
                <c:pt idx="32">
                  <c:v>753</c:v>
                </c:pt>
                <c:pt idx="33">
                  <c:v>535</c:v>
                </c:pt>
                <c:pt idx="34">
                  <c:v>1572</c:v>
                </c:pt>
                <c:pt idx="35">
                  <c:v>872</c:v>
                </c:pt>
                <c:pt idx="36">
                  <c:v>857</c:v>
                </c:pt>
                <c:pt idx="37">
                  <c:v>813</c:v>
                </c:pt>
                <c:pt idx="38">
                  <c:v>911</c:v>
                </c:pt>
                <c:pt idx="39">
                  <c:v>443</c:v>
                </c:pt>
                <c:pt idx="40">
                  <c:v>568</c:v>
                </c:pt>
                <c:pt idx="41">
                  <c:v>1002</c:v>
                </c:pt>
                <c:pt idx="42">
                  <c:v>1293</c:v>
                </c:pt>
                <c:pt idx="43">
                  <c:v>853</c:v>
                </c:pt>
                <c:pt idx="44">
                  <c:v>890</c:v>
                </c:pt>
                <c:pt idx="45">
                  <c:v>1035</c:v>
                </c:pt>
                <c:pt idx="46">
                  <c:v>644</c:v>
                </c:pt>
                <c:pt idx="47">
                  <c:v>481</c:v>
                </c:pt>
                <c:pt idx="48">
                  <c:v>1193</c:v>
                </c:pt>
                <c:pt idx="49">
                  <c:v>1262</c:v>
                </c:pt>
                <c:pt idx="50">
                  <c:v>1131</c:v>
                </c:pt>
                <c:pt idx="51">
                  <c:v>962</c:v>
                </c:pt>
                <c:pt idx="52">
                  <c:v>1004</c:v>
                </c:pt>
                <c:pt idx="53">
                  <c:v>925</c:v>
                </c:pt>
                <c:pt idx="54">
                  <c:v>998</c:v>
                </c:pt>
                <c:pt idx="55" formatCode="General">
                  <c:v>1808</c:v>
                </c:pt>
                <c:pt idx="56" formatCode="General">
                  <c:v>951</c:v>
                </c:pt>
                <c:pt idx="57" formatCode="General">
                  <c:v>1150</c:v>
                </c:pt>
                <c:pt idx="58" formatCode="General">
                  <c:v>1717</c:v>
                </c:pt>
                <c:pt idx="59" formatCode="General">
                  <c:v>2049</c:v>
                </c:pt>
                <c:pt idx="60" formatCode="General">
                  <c:v>1298</c:v>
                </c:pt>
                <c:pt idx="61" formatCode="General">
                  <c:v>974</c:v>
                </c:pt>
                <c:pt idx="62" formatCode="General">
                  <c:v>1245</c:v>
                </c:pt>
                <c:pt idx="63" formatCode="General">
                  <c:v>1022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9-DD4D-87F1-72AEF6B3FCD1}"/>
            </c:ext>
          </c:extLst>
        </c:ser>
        <c:ser>
          <c:idx val="1"/>
          <c:order val="1"/>
          <c:tx>
            <c:strRef>
              <c:f>Sheet1!$BB$1</c:f>
              <c:strCache>
                <c:ptCount val="1"/>
                <c:pt idx="0">
                  <c:v>SAN DIEGO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Sheet1!$AY$2:$AZ$65</c:f>
              <c:strCache>
                <c:ptCount val="64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</c:strCache>
            </c:strRef>
          </c:cat>
          <c:val>
            <c:numRef>
              <c:f>Sheet1!$BB$2:$BB$65</c:f>
              <c:numCache>
                <c:formatCode>0</c:formatCode>
                <c:ptCount val="64"/>
                <c:pt idx="1">
                  <c:v>117</c:v>
                </c:pt>
                <c:pt idx="2">
                  <c:v>146</c:v>
                </c:pt>
                <c:pt idx="3">
                  <c:v>97</c:v>
                </c:pt>
                <c:pt idx="4">
                  <c:v>117</c:v>
                </c:pt>
                <c:pt idx="5">
                  <c:v>78</c:v>
                </c:pt>
                <c:pt idx="6">
                  <c:v>50</c:v>
                </c:pt>
                <c:pt idx="7">
                  <c:v>76</c:v>
                </c:pt>
                <c:pt idx="8">
                  <c:v>98</c:v>
                </c:pt>
                <c:pt idx="9">
                  <c:v>65</c:v>
                </c:pt>
                <c:pt idx="10">
                  <c:v>68</c:v>
                </c:pt>
                <c:pt idx="11">
                  <c:v>43</c:v>
                </c:pt>
                <c:pt idx="12">
                  <c:v>43</c:v>
                </c:pt>
                <c:pt idx="13">
                  <c:v>83</c:v>
                </c:pt>
                <c:pt idx="14">
                  <c:v>82</c:v>
                </c:pt>
                <c:pt idx="15">
                  <c:v>75</c:v>
                </c:pt>
                <c:pt idx="16">
                  <c:v>71</c:v>
                </c:pt>
                <c:pt idx="17">
                  <c:v>55</c:v>
                </c:pt>
                <c:pt idx="18">
                  <c:v>55</c:v>
                </c:pt>
                <c:pt idx="19">
                  <c:v>57</c:v>
                </c:pt>
                <c:pt idx="20">
                  <c:v>109</c:v>
                </c:pt>
                <c:pt idx="21">
                  <c:v>57</c:v>
                </c:pt>
                <c:pt idx="22">
                  <c:v>152</c:v>
                </c:pt>
                <c:pt idx="23">
                  <c:v>183</c:v>
                </c:pt>
                <c:pt idx="24">
                  <c:v>117</c:v>
                </c:pt>
                <c:pt idx="25">
                  <c:v>100</c:v>
                </c:pt>
                <c:pt idx="26">
                  <c:v>98</c:v>
                </c:pt>
                <c:pt idx="27">
                  <c:v>173</c:v>
                </c:pt>
                <c:pt idx="28">
                  <c:v>118</c:v>
                </c:pt>
                <c:pt idx="29">
                  <c:v>132</c:v>
                </c:pt>
                <c:pt idx="30">
                  <c:v>147</c:v>
                </c:pt>
                <c:pt idx="31">
                  <c:v>131</c:v>
                </c:pt>
                <c:pt idx="32">
                  <c:v>85</c:v>
                </c:pt>
                <c:pt idx="33">
                  <c:v>93</c:v>
                </c:pt>
                <c:pt idx="34">
                  <c:v>61</c:v>
                </c:pt>
                <c:pt idx="35">
                  <c:v>238</c:v>
                </c:pt>
                <c:pt idx="36">
                  <c:v>110</c:v>
                </c:pt>
                <c:pt idx="37">
                  <c:v>233</c:v>
                </c:pt>
                <c:pt idx="38">
                  <c:v>114</c:v>
                </c:pt>
                <c:pt idx="39">
                  <c:v>150</c:v>
                </c:pt>
                <c:pt idx="40">
                  <c:v>139</c:v>
                </c:pt>
                <c:pt idx="41">
                  <c:v>96</c:v>
                </c:pt>
                <c:pt idx="42">
                  <c:v>117</c:v>
                </c:pt>
                <c:pt idx="43">
                  <c:v>113</c:v>
                </c:pt>
                <c:pt idx="44">
                  <c:v>132</c:v>
                </c:pt>
                <c:pt idx="45">
                  <c:v>139</c:v>
                </c:pt>
                <c:pt idx="46">
                  <c:v>174</c:v>
                </c:pt>
                <c:pt idx="47">
                  <c:v>110</c:v>
                </c:pt>
                <c:pt idx="48">
                  <c:v>80</c:v>
                </c:pt>
                <c:pt idx="49">
                  <c:v>114</c:v>
                </c:pt>
                <c:pt idx="50">
                  <c:v>175</c:v>
                </c:pt>
                <c:pt idx="51">
                  <c:v>119</c:v>
                </c:pt>
                <c:pt idx="52">
                  <c:v>125</c:v>
                </c:pt>
                <c:pt idx="53">
                  <c:v>142</c:v>
                </c:pt>
                <c:pt idx="54">
                  <c:v>96</c:v>
                </c:pt>
                <c:pt idx="55" formatCode="General">
                  <c:v>85</c:v>
                </c:pt>
                <c:pt idx="56" formatCode="General">
                  <c:v>101</c:v>
                </c:pt>
                <c:pt idx="57" formatCode="General">
                  <c:v>117</c:v>
                </c:pt>
                <c:pt idx="58" formatCode="General">
                  <c:v>140</c:v>
                </c:pt>
                <c:pt idx="59" formatCode="General">
                  <c:v>145</c:v>
                </c:pt>
                <c:pt idx="60" formatCode="General">
                  <c:v>96</c:v>
                </c:pt>
                <c:pt idx="61" formatCode="General">
                  <c:v>73</c:v>
                </c:pt>
                <c:pt idx="62" formatCode="General">
                  <c:v>120</c:v>
                </c:pt>
                <c:pt idx="63" formatCode="General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9-DD4D-87F1-72AEF6B3FCD1}"/>
            </c:ext>
          </c:extLst>
        </c:ser>
        <c:ser>
          <c:idx val="2"/>
          <c:order val="2"/>
          <c:tx>
            <c:strRef>
              <c:f>Sheet1!$BC$1</c:f>
              <c:strCache>
                <c:ptCount val="1"/>
                <c:pt idx="0">
                  <c:v>RIVERSIDE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Sheet1!$AY$2:$AZ$65</c:f>
              <c:strCache>
                <c:ptCount val="64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</c:strCache>
            </c:strRef>
          </c:cat>
          <c:val>
            <c:numRef>
              <c:f>Sheet1!$BC$2:$BC$65</c:f>
              <c:numCache>
                <c:formatCode>0</c:formatCode>
                <c:ptCount val="64"/>
                <c:pt idx="1">
                  <c:v>132</c:v>
                </c:pt>
                <c:pt idx="2">
                  <c:v>102</c:v>
                </c:pt>
                <c:pt idx="3">
                  <c:v>112</c:v>
                </c:pt>
                <c:pt idx="4">
                  <c:v>17</c:v>
                </c:pt>
                <c:pt idx="5">
                  <c:v>185</c:v>
                </c:pt>
                <c:pt idx="6">
                  <c:v>51</c:v>
                </c:pt>
                <c:pt idx="7">
                  <c:v>69</c:v>
                </c:pt>
                <c:pt idx="8">
                  <c:v>109</c:v>
                </c:pt>
                <c:pt idx="9">
                  <c:v>79</c:v>
                </c:pt>
                <c:pt idx="10">
                  <c:v>98</c:v>
                </c:pt>
                <c:pt idx="11">
                  <c:v>70</c:v>
                </c:pt>
                <c:pt idx="12">
                  <c:v>130</c:v>
                </c:pt>
                <c:pt idx="13">
                  <c:v>7</c:v>
                </c:pt>
                <c:pt idx="14">
                  <c:v>256</c:v>
                </c:pt>
                <c:pt idx="15">
                  <c:v>190</c:v>
                </c:pt>
                <c:pt idx="16">
                  <c:v>167</c:v>
                </c:pt>
                <c:pt idx="17">
                  <c:v>177</c:v>
                </c:pt>
                <c:pt idx="18">
                  <c:v>59</c:v>
                </c:pt>
                <c:pt idx="19">
                  <c:v>161</c:v>
                </c:pt>
                <c:pt idx="20">
                  <c:v>154</c:v>
                </c:pt>
                <c:pt idx="21">
                  <c:v>191</c:v>
                </c:pt>
                <c:pt idx="22">
                  <c:v>113</c:v>
                </c:pt>
                <c:pt idx="23">
                  <c:v>283</c:v>
                </c:pt>
                <c:pt idx="24">
                  <c:v>97</c:v>
                </c:pt>
                <c:pt idx="25">
                  <c:v>248</c:v>
                </c:pt>
                <c:pt idx="28">
                  <c:v>57</c:v>
                </c:pt>
                <c:pt idx="29">
                  <c:v>120</c:v>
                </c:pt>
                <c:pt idx="30">
                  <c:v>73</c:v>
                </c:pt>
                <c:pt idx="31">
                  <c:v>104</c:v>
                </c:pt>
                <c:pt idx="32">
                  <c:v>37</c:v>
                </c:pt>
                <c:pt idx="33">
                  <c:v>187</c:v>
                </c:pt>
                <c:pt idx="34">
                  <c:v>133</c:v>
                </c:pt>
                <c:pt idx="35">
                  <c:v>181</c:v>
                </c:pt>
                <c:pt idx="36">
                  <c:v>73</c:v>
                </c:pt>
                <c:pt idx="37">
                  <c:v>64</c:v>
                </c:pt>
                <c:pt idx="38">
                  <c:v>199</c:v>
                </c:pt>
                <c:pt idx="39">
                  <c:v>80</c:v>
                </c:pt>
                <c:pt idx="40">
                  <c:v>131</c:v>
                </c:pt>
                <c:pt idx="41">
                  <c:v>52</c:v>
                </c:pt>
                <c:pt idx="42">
                  <c:v>70</c:v>
                </c:pt>
                <c:pt idx="43">
                  <c:v>135</c:v>
                </c:pt>
                <c:pt idx="44">
                  <c:v>157</c:v>
                </c:pt>
                <c:pt idx="45">
                  <c:v>137</c:v>
                </c:pt>
                <c:pt idx="46">
                  <c:v>143</c:v>
                </c:pt>
                <c:pt idx="47">
                  <c:v>97</c:v>
                </c:pt>
                <c:pt idx="48">
                  <c:v>90</c:v>
                </c:pt>
                <c:pt idx="49">
                  <c:v>127</c:v>
                </c:pt>
                <c:pt idx="50">
                  <c:v>155</c:v>
                </c:pt>
                <c:pt idx="51">
                  <c:v>106</c:v>
                </c:pt>
                <c:pt idx="52">
                  <c:v>109</c:v>
                </c:pt>
                <c:pt idx="53">
                  <c:v>111</c:v>
                </c:pt>
                <c:pt idx="54">
                  <c:v>329</c:v>
                </c:pt>
                <c:pt idx="55" formatCode="General">
                  <c:v>17</c:v>
                </c:pt>
                <c:pt idx="56" formatCode="General">
                  <c:v>239</c:v>
                </c:pt>
                <c:pt idx="57" formatCode="General">
                  <c:v>84</c:v>
                </c:pt>
                <c:pt idx="58" formatCode="General">
                  <c:v>136</c:v>
                </c:pt>
                <c:pt idx="59" formatCode="General">
                  <c:v>116</c:v>
                </c:pt>
                <c:pt idx="60" formatCode="General">
                  <c:v>212</c:v>
                </c:pt>
                <c:pt idx="61" formatCode="General">
                  <c:v>217</c:v>
                </c:pt>
                <c:pt idx="62" formatCode="General">
                  <c:v>170</c:v>
                </c:pt>
                <c:pt idx="63" formatCode="General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9-DD4D-87F1-72AEF6B3FCD1}"/>
            </c:ext>
          </c:extLst>
        </c:ser>
        <c:ser>
          <c:idx val="3"/>
          <c:order val="3"/>
          <c:tx>
            <c:strRef>
              <c:f>Sheet1!$BD$1</c:f>
              <c:strCache>
                <c:ptCount val="1"/>
                <c:pt idx="0">
                  <c:v>SANTA CLARA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Sheet1!$AY$2:$AZ$65</c:f>
              <c:strCache>
                <c:ptCount val="64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</c:strCache>
            </c:strRef>
          </c:cat>
          <c:val>
            <c:numRef>
              <c:f>Sheet1!$BD$2:$BD$65</c:f>
              <c:numCache>
                <c:formatCode>0</c:formatCode>
                <c:ptCount val="64"/>
                <c:pt idx="1">
                  <c:v>63</c:v>
                </c:pt>
                <c:pt idx="2">
                  <c:v>75</c:v>
                </c:pt>
                <c:pt idx="3">
                  <c:v>54</c:v>
                </c:pt>
                <c:pt idx="4">
                  <c:v>59</c:v>
                </c:pt>
                <c:pt idx="5">
                  <c:v>17</c:v>
                </c:pt>
                <c:pt idx="6">
                  <c:v>61</c:v>
                </c:pt>
                <c:pt idx="7">
                  <c:v>95</c:v>
                </c:pt>
                <c:pt idx="8">
                  <c:v>62</c:v>
                </c:pt>
                <c:pt idx="9">
                  <c:v>42</c:v>
                </c:pt>
                <c:pt idx="10">
                  <c:v>82</c:v>
                </c:pt>
                <c:pt idx="11">
                  <c:v>55</c:v>
                </c:pt>
                <c:pt idx="12">
                  <c:v>45</c:v>
                </c:pt>
                <c:pt idx="13">
                  <c:v>0</c:v>
                </c:pt>
                <c:pt idx="14">
                  <c:v>127</c:v>
                </c:pt>
                <c:pt idx="15">
                  <c:v>40</c:v>
                </c:pt>
                <c:pt idx="16">
                  <c:v>37</c:v>
                </c:pt>
                <c:pt idx="19">
                  <c:v>42</c:v>
                </c:pt>
                <c:pt idx="20">
                  <c:v>23</c:v>
                </c:pt>
                <c:pt idx="21">
                  <c:v>26</c:v>
                </c:pt>
                <c:pt idx="22">
                  <c:v>27</c:v>
                </c:pt>
                <c:pt idx="23">
                  <c:v>30</c:v>
                </c:pt>
                <c:pt idx="24">
                  <c:v>19</c:v>
                </c:pt>
                <c:pt idx="25">
                  <c:v>52</c:v>
                </c:pt>
                <c:pt idx="26">
                  <c:v>7</c:v>
                </c:pt>
                <c:pt idx="27">
                  <c:v>26</c:v>
                </c:pt>
                <c:pt idx="28">
                  <c:v>16</c:v>
                </c:pt>
                <c:pt idx="29">
                  <c:v>26</c:v>
                </c:pt>
                <c:pt idx="30">
                  <c:v>4</c:v>
                </c:pt>
                <c:pt idx="31">
                  <c:v>27</c:v>
                </c:pt>
                <c:pt idx="32">
                  <c:v>32</c:v>
                </c:pt>
                <c:pt idx="33">
                  <c:v>3</c:v>
                </c:pt>
                <c:pt idx="34">
                  <c:v>17</c:v>
                </c:pt>
                <c:pt idx="35">
                  <c:v>15</c:v>
                </c:pt>
                <c:pt idx="36">
                  <c:v>11</c:v>
                </c:pt>
                <c:pt idx="37">
                  <c:v>4</c:v>
                </c:pt>
                <c:pt idx="38">
                  <c:v>32</c:v>
                </c:pt>
                <c:pt idx="39">
                  <c:v>14</c:v>
                </c:pt>
                <c:pt idx="40">
                  <c:v>9</c:v>
                </c:pt>
                <c:pt idx="41">
                  <c:v>22</c:v>
                </c:pt>
                <c:pt idx="42">
                  <c:v>8</c:v>
                </c:pt>
                <c:pt idx="43">
                  <c:v>10</c:v>
                </c:pt>
                <c:pt idx="44">
                  <c:v>15</c:v>
                </c:pt>
                <c:pt idx="45">
                  <c:v>25</c:v>
                </c:pt>
                <c:pt idx="46">
                  <c:v>33</c:v>
                </c:pt>
                <c:pt idx="47">
                  <c:v>15</c:v>
                </c:pt>
                <c:pt idx="48">
                  <c:v>12</c:v>
                </c:pt>
                <c:pt idx="49">
                  <c:v>28</c:v>
                </c:pt>
                <c:pt idx="50">
                  <c:v>12</c:v>
                </c:pt>
                <c:pt idx="51">
                  <c:v>17</c:v>
                </c:pt>
                <c:pt idx="52">
                  <c:v>56</c:v>
                </c:pt>
                <c:pt idx="53">
                  <c:v>30</c:v>
                </c:pt>
                <c:pt idx="54">
                  <c:v>24</c:v>
                </c:pt>
                <c:pt idx="55" formatCode="General">
                  <c:v>12</c:v>
                </c:pt>
                <c:pt idx="56" formatCode="General">
                  <c:v>21</c:v>
                </c:pt>
                <c:pt idx="57" formatCode="General">
                  <c:v>18</c:v>
                </c:pt>
                <c:pt idx="58" formatCode="General">
                  <c:v>9</c:v>
                </c:pt>
                <c:pt idx="59" formatCode="General">
                  <c:v>34</c:v>
                </c:pt>
                <c:pt idx="60" formatCode="General">
                  <c:v>44</c:v>
                </c:pt>
                <c:pt idx="61" formatCode="General">
                  <c:v>12</c:v>
                </c:pt>
                <c:pt idx="62" formatCode="General">
                  <c:v>22</c:v>
                </c:pt>
                <c:pt idx="63" formatCode="General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B9-DD4D-87F1-72AEF6B3FCD1}"/>
            </c:ext>
          </c:extLst>
        </c:ser>
        <c:ser>
          <c:idx val="4"/>
          <c:order val="4"/>
          <c:tx>
            <c:strRef>
              <c:f>Sheet1!$BE$1</c:f>
              <c:strCache>
                <c:ptCount val="1"/>
                <c:pt idx="0">
                  <c:v>ORANGE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Sheet1!$AY$2:$AZ$65</c:f>
              <c:strCache>
                <c:ptCount val="64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</c:strCache>
            </c:strRef>
          </c:cat>
          <c:val>
            <c:numRef>
              <c:f>Sheet1!$BE$2:$BE$65</c:f>
              <c:numCache>
                <c:formatCode>0</c:formatCode>
                <c:ptCount val="64"/>
                <c:pt idx="1">
                  <c:v>50</c:v>
                </c:pt>
                <c:pt idx="2">
                  <c:v>55</c:v>
                </c:pt>
                <c:pt idx="3">
                  <c:v>75</c:v>
                </c:pt>
                <c:pt idx="4">
                  <c:v>48</c:v>
                </c:pt>
                <c:pt idx="5">
                  <c:v>48</c:v>
                </c:pt>
                <c:pt idx="6">
                  <c:v>49</c:v>
                </c:pt>
                <c:pt idx="7">
                  <c:v>85</c:v>
                </c:pt>
                <c:pt idx="8">
                  <c:v>63</c:v>
                </c:pt>
                <c:pt idx="9">
                  <c:v>59</c:v>
                </c:pt>
                <c:pt idx="10">
                  <c:v>83</c:v>
                </c:pt>
                <c:pt idx="11">
                  <c:v>56</c:v>
                </c:pt>
                <c:pt idx="12">
                  <c:v>6</c:v>
                </c:pt>
                <c:pt idx="13">
                  <c:v>16</c:v>
                </c:pt>
                <c:pt idx="14">
                  <c:v>77</c:v>
                </c:pt>
                <c:pt idx="15">
                  <c:v>49</c:v>
                </c:pt>
                <c:pt idx="16">
                  <c:v>76</c:v>
                </c:pt>
                <c:pt idx="17">
                  <c:v>55</c:v>
                </c:pt>
                <c:pt idx="18">
                  <c:v>35</c:v>
                </c:pt>
                <c:pt idx="19">
                  <c:v>88</c:v>
                </c:pt>
                <c:pt idx="20">
                  <c:v>38</c:v>
                </c:pt>
                <c:pt idx="21">
                  <c:v>68</c:v>
                </c:pt>
                <c:pt idx="22">
                  <c:v>56</c:v>
                </c:pt>
                <c:pt idx="23">
                  <c:v>104</c:v>
                </c:pt>
                <c:pt idx="24">
                  <c:v>102</c:v>
                </c:pt>
                <c:pt idx="25">
                  <c:v>77</c:v>
                </c:pt>
                <c:pt idx="26">
                  <c:v>74</c:v>
                </c:pt>
                <c:pt idx="27">
                  <c:v>126</c:v>
                </c:pt>
                <c:pt idx="28">
                  <c:v>97</c:v>
                </c:pt>
                <c:pt idx="29">
                  <c:v>170</c:v>
                </c:pt>
                <c:pt idx="30">
                  <c:v>69</c:v>
                </c:pt>
                <c:pt idx="31">
                  <c:v>114</c:v>
                </c:pt>
                <c:pt idx="32">
                  <c:v>85</c:v>
                </c:pt>
                <c:pt idx="33">
                  <c:v>72</c:v>
                </c:pt>
                <c:pt idx="34">
                  <c:v>0</c:v>
                </c:pt>
                <c:pt idx="35">
                  <c:v>225</c:v>
                </c:pt>
                <c:pt idx="36">
                  <c:v>127</c:v>
                </c:pt>
                <c:pt idx="37">
                  <c:v>112</c:v>
                </c:pt>
                <c:pt idx="38">
                  <c:v>111</c:v>
                </c:pt>
                <c:pt idx="39">
                  <c:v>121</c:v>
                </c:pt>
                <c:pt idx="40">
                  <c:v>72</c:v>
                </c:pt>
                <c:pt idx="41">
                  <c:v>144</c:v>
                </c:pt>
                <c:pt idx="42">
                  <c:v>182</c:v>
                </c:pt>
                <c:pt idx="43">
                  <c:v>138</c:v>
                </c:pt>
                <c:pt idx="44">
                  <c:v>118</c:v>
                </c:pt>
                <c:pt idx="45">
                  <c:v>115</c:v>
                </c:pt>
                <c:pt idx="46">
                  <c:v>70</c:v>
                </c:pt>
                <c:pt idx="47">
                  <c:v>92</c:v>
                </c:pt>
                <c:pt idx="48">
                  <c:v>209</c:v>
                </c:pt>
                <c:pt idx="49">
                  <c:v>99</c:v>
                </c:pt>
                <c:pt idx="50">
                  <c:v>109</c:v>
                </c:pt>
                <c:pt idx="51">
                  <c:v>169</c:v>
                </c:pt>
                <c:pt idx="52">
                  <c:v>169</c:v>
                </c:pt>
                <c:pt idx="53">
                  <c:v>126</c:v>
                </c:pt>
                <c:pt idx="54">
                  <c:v>162</c:v>
                </c:pt>
                <c:pt idx="55" formatCode="General">
                  <c:v>50</c:v>
                </c:pt>
                <c:pt idx="56" formatCode="General">
                  <c:v>198</c:v>
                </c:pt>
                <c:pt idx="57" formatCode="General">
                  <c:v>196</c:v>
                </c:pt>
                <c:pt idx="58" formatCode="General">
                  <c:v>131</c:v>
                </c:pt>
                <c:pt idx="59" formatCode="General">
                  <c:v>178</c:v>
                </c:pt>
                <c:pt idx="60" formatCode="General">
                  <c:v>178</c:v>
                </c:pt>
                <c:pt idx="61" formatCode="General">
                  <c:v>108</c:v>
                </c:pt>
                <c:pt idx="62" formatCode="General">
                  <c:v>150</c:v>
                </c:pt>
                <c:pt idx="63" formatCode="General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B9-DD4D-87F1-72AEF6B3F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0468479"/>
        <c:axId val="320925023"/>
      </c:lineChart>
      <c:dateAx>
        <c:axId val="300468479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25023"/>
        <c:crosses val="autoZero"/>
        <c:auto val="1"/>
        <c:lblOffset val="100"/>
        <c:baseTimeUnit val="days"/>
      </c:dateAx>
      <c:valAx>
        <c:axId val="320925023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46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Positive Tests of the Top 6 Counties vs. Total Tests in New York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Sheet1!$CA$177</c:f>
              <c:strCache>
                <c:ptCount val="1"/>
                <c:pt idx="0">
                  <c:v>POSITIVE 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Sheet1!$BY$178:$BZ$243</c:f>
              <c:strCache>
                <c:ptCount val="66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</c:strCache>
            </c:strRef>
          </c:cat>
          <c:val>
            <c:numRef>
              <c:f>Sheet1!$CA$178:$CA$243</c:f>
              <c:numCache>
                <c:formatCode>0</c:formatCode>
                <c:ptCount val="66"/>
                <c:pt idx="1">
                  <c:v>8669</c:v>
                </c:pt>
                <c:pt idx="2">
                  <c:v>10482</c:v>
                </c:pt>
                <c:pt idx="3">
                  <c:v>10841</c:v>
                </c:pt>
                <c:pt idx="4">
                  <c:v>8327</c:v>
                </c:pt>
                <c:pt idx="5">
                  <c:v>8658</c:v>
                </c:pt>
                <c:pt idx="6">
                  <c:v>8174</c:v>
                </c:pt>
                <c:pt idx="7">
                  <c:v>10453</c:v>
                </c:pt>
                <c:pt idx="8">
                  <c:v>10621</c:v>
                </c:pt>
                <c:pt idx="9">
                  <c:v>10575</c:v>
                </c:pt>
                <c:pt idx="10">
                  <c:v>9946</c:v>
                </c:pt>
                <c:pt idx="11">
                  <c:v>8236</c:v>
                </c:pt>
                <c:pt idx="12">
                  <c:v>6337</c:v>
                </c:pt>
                <c:pt idx="13">
                  <c:v>7177</c:v>
                </c:pt>
                <c:pt idx="14">
                  <c:v>11571</c:v>
                </c:pt>
                <c:pt idx="15">
                  <c:v>8505</c:v>
                </c:pt>
                <c:pt idx="16">
                  <c:v>7358</c:v>
                </c:pt>
                <c:pt idx="17">
                  <c:v>7090</c:v>
                </c:pt>
                <c:pt idx="18">
                  <c:v>6054</c:v>
                </c:pt>
                <c:pt idx="19">
                  <c:v>4726</c:v>
                </c:pt>
                <c:pt idx="20">
                  <c:v>4178</c:v>
                </c:pt>
                <c:pt idx="21">
                  <c:v>5526</c:v>
                </c:pt>
                <c:pt idx="22">
                  <c:v>6244</c:v>
                </c:pt>
                <c:pt idx="23">
                  <c:v>8130</c:v>
                </c:pt>
                <c:pt idx="24">
                  <c:v>10553</c:v>
                </c:pt>
                <c:pt idx="25">
                  <c:v>5902</c:v>
                </c:pt>
                <c:pt idx="26">
                  <c:v>3951</c:v>
                </c:pt>
                <c:pt idx="27">
                  <c:v>3110</c:v>
                </c:pt>
                <c:pt idx="28">
                  <c:v>4585</c:v>
                </c:pt>
                <c:pt idx="29">
                  <c:v>4681</c:v>
                </c:pt>
                <c:pt idx="30">
                  <c:v>3942</c:v>
                </c:pt>
                <c:pt idx="31">
                  <c:v>4663</c:v>
                </c:pt>
                <c:pt idx="32">
                  <c:v>3438</c:v>
                </c:pt>
                <c:pt idx="33">
                  <c:v>2538</c:v>
                </c:pt>
                <c:pt idx="34">
                  <c:v>2239</c:v>
                </c:pt>
                <c:pt idx="35">
                  <c:v>2786</c:v>
                </c:pt>
                <c:pt idx="36">
                  <c:v>3491</c:v>
                </c:pt>
                <c:pt idx="37">
                  <c:v>2938</c:v>
                </c:pt>
                <c:pt idx="38">
                  <c:v>2715</c:v>
                </c:pt>
                <c:pt idx="39">
                  <c:v>2273</c:v>
                </c:pt>
                <c:pt idx="40">
                  <c:v>1660</c:v>
                </c:pt>
                <c:pt idx="41">
                  <c:v>1430</c:v>
                </c:pt>
                <c:pt idx="42">
                  <c:v>2176</c:v>
                </c:pt>
                <c:pt idx="43">
                  <c:v>2390</c:v>
                </c:pt>
                <c:pt idx="44">
                  <c:v>2762</c:v>
                </c:pt>
                <c:pt idx="45">
                  <c:v>2419</c:v>
                </c:pt>
                <c:pt idx="46">
                  <c:v>1889</c:v>
                </c:pt>
                <c:pt idx="47">
                  <c:v>1250</c:v>
                </c:pt>
                <c:pt idx="48">
                  <c:v>1474</c:v>
                </c:pt>
                <c:pt idx="49">
                  <c:v>1525</c:v>
                </c:pt>
                <c:pt idx="50">
                  <c:v>2088</c:v>
                </c:pt>
                <c:pt idx="51">
                  <c:v>1696</c:v>
                </c:pt>
                <c:pt idx="52">
                  <c:v>1772</c:v>
                </c:pt>
                <c:pt idx="53">
                  <c:v>1589</c:v>
                </c:pt>
                <c:pt idx="54">
                  <c:v>1249</c:v>
                </c:pt>
                <c:pt idx="55">
                  <c:v>1072</c:v>
                </c:pt>
                <c:pt idx="56">
                  <c:v>1129</c:v>
                </c:pt>
                <c:pt idx="57">
                  <c:v>1768</c:v>
                </c:pt>
                <c:pt idx="58">
                  <c:v>1551</c:v>
                </c:pt>
                <c:pt idx="59">
                  <c:v>1376</c:v>
                </c:pt>
                <c:pt idx="60">
                  <c:v>1110</c:v>
                </c:pt>
                <c:pt idx="61">
                  <c:v>941</c:v>
                </c:pt>
                <c:pt idx="62">
                  <c:v>1329</c:v>
                </c:pt>
                <c:pt idx="63">
                  <c:v>1045</c:v>
                </c:pt>
                <c:pt idx="64">
                  <c:v>1048</c:v>
                </c:pt>
                <c:pt idx="65" formatCode="General">
                  <c:v>1075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B-8749-8808-369609B9F3E8}"/>
            </c:ext>
          </c:extLst>
        </c:ser>
        <c:ser>
          <c:idx val="1"/>
          <c:order val="1"/>
          <c:tx>
            <c:strRef>
              <c:f>Sheet1!$CB$177</c:f>
              <c:strCache>
                <c:ptCount val="1"/>
                <c:pt idx="0">
                  <c:v>TESTS CONDUCTED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Sheet1!$BY$178:$BZ$243</c:f>
              <c:strCache>
                <c:ptCount val="66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</c:strCache>
            </c:strRef>
          </c:cat>
          <c:val>
            <c:numRef>
              <c:f>Sheet1!$CB$178:$CB$243</c:f>
              <c:numCache>
                <c:formatCode>0</c:formatCode>
                <c:ptCount val="66"/>
                <c:pt idx="1">
                  <c:v>18085</c:v>
                </c:pt>
                <c:pt idx="2">
                  <c:v>21555</c:v>
                </c:pt>
                <c:pt idx="3">
                  <c:v>23101</c:v>
                </c:pt>
                <c:pt idx="4">
                  <c:v>18659</c:v>
                </c:pt>
                <c:pt idx="5">
                  <c:v>18531</c:v>
                </c:pt>
                <c:pt idx="6">
                  <c:v>19247</c:v>
                </c:pt>
                <c:pt idx="7">
                  <c:v>25095</c:v>
                </c:pt>
                <c:pt idx="8">
                  <c:v>26396</c:v>
                </c:pt>
                <c:pt idx="9">
                  <c:v>26336</c:v>
                </c:pt>
                <c:pt idx="10">
                  <c:v>23095</c:v>
                </c:pt>
                <c:pt idx="11">
                  <c:v>20621</c:v>
                </c:pt>
                <c:pt idx="12">
                  <c:v>16756</c:v>
                </c:pt>
                <c:pt idx="13">
                  <c:v>20786</c:v>
                </c:pt>
                <c:pt idx="14">
                  <c:v>26869</c:v>
                </c:pt>
                <c:pt idx="15">
                  <c:v>24567</c:v>
                </c:pt>
                <c:pt idx="16">
                  <c:v>22644</c:v>
                </c:pt>
                <c:pt idx="17">
                  <c:v>23309</c:v>
                </c:pt>
                <c:pt idx="18">
                  <c:v>21023</c:v>
                </c:pt>
                <c:pt idx="19">
                  <c:v>16306</c:v>
                </c:pt>
                <c:pt idx="20">
                  <c:v>15464</c:v>
                </c:pt>
                <c:pt idx="21">
                  <c:v>20657</c:v>
                </c:pt>
                <c:pt idx="22">
                  <c:v>25938</c:v>
                </c:pt>
                <c:pt idx="23">
                  <c:v>34736</c:v>
                </c:pt>
                <c:pt idx="24">
                  <c:v>46912</c:v>
                </c:pt>
                <c:pt idx="25">
                  <c:v>27782</c:v>
                </c:pt>
                <c:pt idx="26">
                  <c:v>20745</c:v>
                </c:pt>
                <c:pt idx="27">
                  <c:v>18899</c:v>
                </c:pt>
                <c:pt idx="28">
                  <c:v>27487</c:v>
                </c:pt>
                <c:pt idx="29">
                  <c:v>28155</c:v>
                </c:pt>
                <c:pt idx="30">
                  <c:v>26802</c:v>
                </c:pt>
                <c:pt idx="31">
                  <c:v>31579</c:v>
                </c:pt>
                <c:pt idx="32">
                  <c:v>26894</c:v>
                </c:pt>
                <c:pt idx="33">
                  <c:v>21399</c:v>
                </c:pt>
                <c:pt idx="34">
                  <c:v>21589</c:v>
                </c:pt>
                <c:pt idx="35">
                  <c:v>27022</c:v>
                </c:pt>
                <c:pt idx="36">
                  <c:v>33995</c:v>
                </c:pt>
                <c:pt idx="37">
                  <c:v>31627</c:v>
                </c:pt>
                <c:pt idx="38">
                  <c:v>32225</c:v>
                </c:pt>
                <c:pt idx="39">
                  <c:v>29230</c:v>
                </c:pt>
                <c:pt idx="40">
                  <c:v>21652</c:v>
                </c:pt>
                <c:pt idx="41">
                  <c:v>20463</c:v>
                </c:pt>
                <c:pt idx="42">
                  <c:v>33794</c:v>
                </c:pt>
                <c:pt idx="43">
                  <c:v>39850</c:v>
                </c:pt>
                <c:pt idx="44">
                  <c:v>39291</c:v>
                </c:pt>
                <c:pt idx="45">
                  <c:v>40669</c:v>
                </c:pt>
                <c:pt idx="46">
                  <c:v>34679</c:v>
                </c:pt>
                <c:pt idx="47">
                  <c:v>26161</c:v>
                </c:pt>
                <c:pt idx="48">
                  <c:v>28182</c:v>
                </c:pt>
                <c:pt idx="49">
                  <c:v>38097</c:v>
                </c:pt>
                <c:pt idx="50">
                  <c:v>49219</c:v>
                </c:pt>
                <c:pt idx="51">
                  <c:v>45738</c:v>
                </c:pt>
                <c:pt idx="52">
                  <c:v>51268</c:v>
                </c:pt>
                <c:pt idx="53">
                  <c:v>47765</c:v>
                </c:pt>
                <c:pt idx="54">
                  <c:v>39623</c:v>
                </c:pt>
                <c:pt idx="55">
                  <c:v>34679</c:v>
                </c:pt>
                <c:pt idx="56">
                  <c:v>37416</c:v>
                </c:pt>
                <c:pt idx="57">
                  <c:v>65245</c:v>
                </c:pt>
                <c:pt idx="58">
                  <c:v>67341</c:v>
                </c:pt>
                <c:pt idx="59">
                  <c:v>61251</c:v>
                </c:pt>
                <c:pt idx="60">
                  <c:v>58444</c:v>
                </c:pt>
                <c:pt idx="61">
                  <c:v>49952</c:v>
                </c:pt>
                <c:pt idx="62">
                  <c:v>54054</c:v>
                </c:pt>
                <c:pt idx="63">
                  <c:v>61642</c:v>
                </c:pt>
                <c:pt idx="64">
                  <c:v>63559</c:v>
                </c:pt>
                <c:pt idx="65">
                  <c:v>66480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B-8749-8808-369609B9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40194352"/>
        <c:axId val="1240065872"/>
      </c:barChart>
      <c:dateAx>
        <c:axId val="12401943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065872"/>
        <c:crosses val="autoZero"/>
        <c:auto val="1"/>
        <c:lblOffset val="100"/>
        <c:baseTimeUnit val="days"/>
      </c:dateAx>
      <c:valAx>
        <c:axId val="12400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Positive Tests of the Top 6 Counties vs. Total Tests in Massachusetts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Sheet1!$CK$177</c:f>
              <c:strCache>
                <c:ptCount val="1"/>
                <c:pt idx="0">
                  <c:v>POSITIVE 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Sheet1!$CI$178:$CJ$243</c:f>
              <c:strCache>
                <c:ptCount val="66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</c:strCache>
            </c:strRef>
          </c:cat>
          <c:val>
            <c:numRef>
              <c:f>Sheet1!$CK$178:$CK$243</c:f>
              <c:numCache>
                <c:formatCode>General</c:formatCode>
                <c:ptCount val="66"/>
                <c:pt idx="1">
                  <c:v>1228</c:v>
                </c:pt>
                <c:pt idx="2">
                  <c:v>1436</c:v>
                </c:pt>
                <c:pt idx="3">
                  <c:v>1334</c:v>
                </c:pt>
                <c:pt idx="4">
                  <c:v>764</c:v>
                </c:pt>
                <c:pt idx="5">
                  <c:v>1337</c:v>
                </c:pt>
                <c:pt idx="6">
                  <c:v>1365</c:v>
                </c:pt>
                <c:pt idx="7">
                  <c:v>1588</c:v>
                </c:pt>
                <c:pt idx="8">
                  <c:v>2151</c:v>
                </c:pt>
                <c:pt idx="9">
                  <c:v>2033</c:v>
                </c:pt>
                <c:pt idx="10">
                  <c:v>1886</c:v>
                </c:pt>
                <c:pt idx="11">
                  <c:v>2615</c:v>
                </c:pt>
                <c:pt idx="12">
                  <c:v>1392</c:v>
                </c:pt>
                <c:pt idx="13">
                  <c:v>1296</c:v>
                </c:pt>
                <c:pt idx="14">
                  <c:v>1755</c:v>
                </c:pt>
                <c:pt idx="15">
                  <c:v>2263</c:v>
                </c:pt>
                <c:pt idx="16">
                  <c:v>2221</c:v>
                </c:pt>
                <c:pt idx="17">
                  <c:v>1970</c:v>
                </c:pt>
                <c:pt idx="18">
                  <c:v>1705</c:v>
                </c:pt>
                <c:pt idx="19">
                  <c:v>1566</c:v>
                </c:pt>
                <c:pt idx="20">
                  <c:v>1556</c:v>
                </c:pt>
                <c:pt idx="21">
                  <c:v>1745</c:v>
                </c:pt>
                <c:pt idx="22">
                  <c:v>3079</c:v>
                </c:pt>
                <c:pt idx="23">
                  <c:v>4946</c:v>
                </c:pt>
                <c:pt idx="24">
                  <c:v>2379</c:v>
                </c:pt>
                <c:pt idx="25">
                  <c:v>1590</c:v>
                </c:pt>
                <c:pt idx="26">
                  <c:v>1524</c:v>
                </c:pt>
                <c:pt idx="27">
                  <c:v>1840</c:v>
                </c:pt>
                <c:pt idx="28">
                  <c:v>1963</c:v>
                </c:pt>
                <c:pt idx="29">
                  <c:v>1940</c:v>
                </c:pt>
                <c:pt idx="30">
                  <c:v>2106</c:v>
                </c:pt>
                <c:pt idx="31">
                  <c:v>1952</c:v>
                </c:pt>
                <c:pt idx="32">
                  <c:v>1824</c:v>
                </c:pt>
                <c:pt idx="33">
                  <c:v>1000</c:v>
                </c:pt>
                <c:pt idx="34">
                  <c:v>1184</c:v>
                </c:pt>
                <c:pt idx="35">
                  <c:v>1754</c:v>
                </c:pt>
                <c:pt idx="36">
                  <c:v>1696</c:v>
                </c:pt>
                <c:pt idx="37">
                  <c:v>1612</c:v>
                </c:pt>
                <c:pt idx="38">
                  <c:v>1410</c:v>
                </c:pt>
                <c:pt idx="39">
                  <c:v>1050</c:v>
                </c:pt>
                <c:pt idx="40">
                  <c:v>669</c:v>
                </c:pt>
                <c:pt idx="41">
                  <c:v>870</c:v>
                </c:pt>
                <c:pt idx="42">
                  <c:v>1165</c:v>
                </c:pt>
                <c:pt idx="43">
                  <c:v>1685</c:v>
                </c:pt>
                <c:pt idx="44">
                  <c:v>1239</c:v>
                </c:pt>
                <c:pt idx="45">
                  <c:v>1512</c:v>
                </c:pt>
                <c:pt idx="46">
                  <c:v>1077</c:v>
                </c:pt>
                <c:pt idx="47">
                  <c:v>1042</c:v>
                </c:pt>
                <c:pt idx="48">
                  <c:v>873</c:v>
                </c:pt>
                <c:pt idx="49">
                  <c:v>1045</c:v>
                </c:pt>
                <c:pt idx="50">
                  <c:v>1114</c:v>
                </c:pt>
                <c:pt idx="51">
                  <c:v>805</c:v>
                </c:pt>
                <c:pt idx="52">
                  <c:v>733</c:v>
                </c:pt>
                <c:pt idx="53">
                  <c:v>1053</c:v>
                </c:pt>
                <c:pt idx="54">
                  <c:v>596</c:v>
                </c:pt>
                <c:pt idx="55">
                  <c:v>422</c:v>
                </c:pt>
                <c:pt idx="56">
                  <c:v>527</c:v>
                </c:pt>
                <c:pt idx="57">
                  <c:v>674</c:v>
                </c:pt>
                <c:pt idx="58">
                  <c:v>618</c:v>
                </c:pt>
                <c:pt idx="59">
                  <c:v>789</c:v>
                </c:pt>
                <c:pt idx="60">
                  <c:v>664</c:v>
                </c:pt>
                <c:pt idx="61">
                  <c:v>3840</c:v>
                </c:pt>
                <c:pt idx="62">
                  <c:v>358</c:v>
                </c:pt>
                <c:pt idx="63">
                  <c:v>429</c:v>
                </c:pt>
                <c:pt idx="64">
                  <c:v>471</c:v>
                </c:pt>
                <c:pt idx="65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05-954A-86FE-FEA3A398C3C7}"/>
            </c:ext>
          </c:extLst>
        </c:ser>
        <c:ser>
          <c:idx val="1"/>
          <c:order val="1"/>
          <c:tx>
            <c:strRef>
              <c:f>Sheet1!$CL$177</c:f>
              <c:strCache>
                <c:ptCount val="1"/>
                <c:pt idx="0">
                  <c:v>TESTS CONDUCTED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Sheet1!$CI$178:$CJ$243</c:f>
              <c:strCache>
                <c:ptCount val="66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</c:strCache>
            </c:strRef>
          </c:cat>
          <c:val>
            <c:numRef>
              <c:f>Sheet1!$CL$178:$CL$243</c:f>
              <c:numCache>
                <c:formatCode>0</c:formatCode>
                <c:ptCount val="66"/>
                <c:pt idx="1">
                  <c:v>4870</c:v>
                </c:pt>
                <c:pt idx="2">
                  <c:v>6354</c:v>
                </c:pt>
                <c:pt idx="3">
                  <c:v>5838</c:v>
                </c:pt>
                <c:pt idx="4">
                  <c:v>3137</c:v>
                </c:pt>
                <c:pt idx="5">
                  <c:v>4492</c:v>
                </c:pt>
                <c:pt idx="6">
                  <c:v>4915</c:v>
                </c:pt>
                <c:pt idx="7">
                  <c:v>6167</c:v>
                </c:pt>
                <c:pt idx="8">
                  <c:v>7447</c:v>
                </c:pt>
                <c:pt idx="9">
                  <c:v>7414</c:v>
                </c:pt>
                <c:pt idx="10">
                  <c:v>6404</c:v>
                </c:pt>
                <c:pt idx="11">
                  <c:v>7954</c:v>
                </c:pt>
                <c:pt idx="12">
                  <c:v>5319</c:v>
                </c:pt>
                <c:pt idx="13">
                  <c:v>4502</c:v>
                </c:pt>
                <c:pt idx="14">
                  <c:v>5472</c:v>
                </c:pt>
                <c:pt idx="15">
                  <c:v>8750</c:v>
                </c:pt>
                <c:pt idx="16">
                  <c:v>7971</c:v>
                </c:pt>
                <c:pt idx="17">
                  <c:v>8062</c:v>
                </c:pt>
                <c:pt idx="18">
                  <c:v>5435</c:v>
                </c:pt>
                <c:pt idx="19">
                  <c:v>7157</c:v>
                </c:pt>
                <c:pt idx="20">
                  <c:v>5974</c:v>
                </c:pt>
                <c:pt idx="21">
                  <c:v>5090</c:v>
                </c:pt>
                <c:pt idx="22">
                  <c:v>14614</c:v>
                </c:pt>
                <c:pt idx="23">
                  <c:v>20137</c:v>
                </c:pt>
                <c:pt idx="24">
                  <c:v>11632</c:v>
                </c:pt>
                <c:pt idx="25">
                  <c:v>9255</c:v>
                </c:pt>
                <c:pt idx="26">
                  <c:v>8787</c:v>
                </c:pt>
                <c:pt idx="27">
                  <c:v>9613</c:v>
                </c:pt>
                <c:pt idx="28">
                  <c:v>11118</c:v>
                </c:pt>
                <c:pt idx="29">
                  <c:v>10029</c:v>
                </c:pt>
                <c:pt idx="30">
                  <c:v>13989</c:v>
                </c:pt>
                <c:pt idx="31">
                  <c:v>9358</c:v>
                </c:pt>
                <c:pt idx="32">
                  <c:v>15652</c:v>
                </c:pt>
                <c:pt idx="33">
                  <c:v>9622</c:v>
                </c:pt>
                <c:pt idx="34">
                  <c:v>9081</c:v>
                </c:pt>
                <c:pt idx="35">
                  <c:v>6290</c:v>
                </c:pt>
                <c:pt idx="36">
                  <c:v>11993</c:v>
                </c:pt>
                <c:pt idx="37">
                  <c:v>14400</c:v>
                </c:pt>
                <c:pt idx="38">
                  <c:v>10505</c:v>
                </c:pt>
                <c:pt idx="39">
                  <c:v>11852</c:v>
                </c:pt>
                <c:pt idx="40">
                  <c:v>6339</c:v>
                </c:pt>
                <c:pt idx="41">
                  <c:v>6768</c:v>
                </c:pt>
                <c:pt idx="42">
                  <c:v>8536</c:v>
                </c:pt>
                <c:pt idx="43">
                  <c:v>14329</c:v>
                </c:pt>
                <c:pt idx="44">
                  <c:v>11318</c:v>
                </c:pt>
                <c:pt idx="45">
                  <c:v>12410</c:v>
                </c:pt>
                <c:pt idx="46">
                  <c:v>12737</c:v>
                </c:pt>
                <c:pt idx="47">
                  <c:v>8373</c:v>
                </c:pt>
                <c:pt idx="48">
                  <c:v>7741</c:v>
                </c:pt>
                <c:pt idx="49">
                  <c:v>13013</c:v>
                </c:pt>
                <c:pt idx="50">
                  <c:v>11533</c:v>
                </c:pt>
                <c:pt idx="51">
                  <c:v>10158</c:v>
                </c:pt>
                <c:pt idx="52">
                  <c:v>9342</c:v>
                </c:pt>
                <c:pt idx="53">
                  <c:v>11387</c:v>
                </c:pt>
                <c:pt idx="54">
                  <c:v>8188</c:v>
                </c:pt>
                <c:pt idx="55">
                  <c:v>4920</c:v>
                </c:pt>
                <c:pt idx="56">
                  <c:v>6663</c:v>
                </c:pt>
                <c:pt idx="57">
                  <c:v>10179</c:v>
                </c:pt>
                <c:pt idx="58">
                  <c:v>9422</c:v>
                </c:pt>
                <c:pt idx="59">
                  <c:v>10774</c:v>
                </c:pt>
                <c:pt idx="60">
                  <c:v>10334</c:v>
                </c:pt>
                <c:pt idx="61">
                  <c:v>7066</c:v>
                </c:pt>
                <c:pt idx="62">
                  <c:v>5852</c:v>
                </c:pt>
                <c:pt idx="63">
                  <c:v>8362</c:v>
                </c:pt>
                <c:pt idx="64">
                  <c:v>7115</c:v>
                </c:pt>
                <c:pt idx="65">
                  <c:v>9760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05-954A-86FE-FEA3A398C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15478464"/>
        <c:axId val="1215480096"/>
      </c:barChart>
      <c:dateAx>
        <c:axId val="121547846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80096"/>
        <c:crosses val="autoZero"/>
        <c:auto val="1"/>
        <c:lblOffset val="100"/>
        <c:baseTimeUnit val="days"/>
      </c:dateAx>
      <c:valAx>
        <c:axId val="12154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47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Positive Tests of the Top 6 Counties vs. Total Tests in New Michigan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Sheet1!$CP$177</c:f>
              <c:strCache>
                <c:ptCount val="1"/>
                <c:pt idx="0">
                  <c:v>POSITIVE TESTS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Sheet1!$CN$178:$CO$243</c:f>
              <c:strCache>
                <c:ptCount val="66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</c:strCache>
            </c:strRef>
          </c:cat>
          <c:val>
            <c:numRef>
              <c:f>Sheet1!$CP$178:$CP$243</c:f>
              <c:numCache>
                <c:formatCode>General</c:formatCode>
                <c:ptCount val="66"/>
                <c:pt idx="1">
                  <c:v>1229</c:v>
                </c:pt>
                <c:pt idx="2">
                  <c:v>1135</c:v>
                </c:pt>
                <c:pt idx="3">
                  <c:v>1143</c:v>
                </c:pt>
                <c:pt idx="4">
                  <c:v>1172</c:v>
                </c:pt>
                <c:pt idx="5">
                  <c:v>1283</c:v>
                </c:pt>
                <c:pt idx="6">
                  <c:v>973</c:v>
                </c:pt>
                <c:pt idx="7">
                  <c:v>766</c:v>
                </c:pt>
                <c:pt idx="8">
                  <c:v>915</c:v>
                </c:pt>
                <c:pt idx="9">
                  <c:v>1279</c:v>
                </c:pt>
                <c:pt idx="10">
                  <c:v>1210</c:v>
                </c:pt>
                <c:pt idx="11">
                  <c:v>645</c:v>
                </c:pt>
                <c:pt idx="12">
                  <c:v>997</c:v>
                </c:pt>
                <c:pt idx="13">
                  <c:v>1366</c:v>
                </c:pt>
                <c:pt idx="14">
                  <c:v>1058</c:v>
                </c:pt>
                <c:pt idx="15">
                  <c:v>1204</c:v>
                </c:pt>
                <c:pt idx="16">
                  <c:v>760</c:v>
                </c:pt>
                <c:pt idx="17">
                  <c:v>768</c:v>
                </c:pt>
                <c:pt idx="18">
                  <c:v>633</c:v>
                </c:pt>
                <c:pt idx="19">
                  <c:v>576</c:v>
                </c:pt>
                <c:pt idx="20">
                  <c:v>967</c:v>
                </c:pt>
                <c:pt idx="21">
                  <c:v>999</c:v>
                </c:pt>
                <c:pt idx="22">
                  <c:v>1325</c:v>
                </c:pt>
                <c:pt idx="23">
                  <c:v>1350</c:v>
                </c:pt>
                <c:pt idx="24">
                  <c:v>562</c:v>
                </c:pt>
                <c:pt idx="25">
                  <c:v>575</c:v>
                </c:pt>
                <c:pt idx="26">
                  <c:v>432</c:v>
                </c:pt>
                <c:pt idx="27">
                  <c:v>1052</c:v>
                </c:pt>
                <c:pt idx="28">
                  <c:v>1137</c:v>
                </c:pt>
                <c:pt idx="29">
                  <c:v>980</c:v>
                </c:pt>
                <c:pt idx="30">
                  <c:v>977</c:v>
                </c:pt>
                <c:pt idx="31">
                  <c:v>851</c:v>
                </c:pt>
                <c:pt idx="32">
                  <c:v>547</c:v>
                </c:pt>
                <c:pt idx="33">
                  <c:v>196</c:v>
                </c:pt>
                <c:pt idx="34">
                  <c:v>447</c:v>
                </c:pt>
                <c:pt idx="35">
                  <c:v>657</c:v>
                </c:pt>
                <c:pt idx="36">
                  <c:v>592</c:v>
                </c:pt>
                <c:pt idx="37">
                  <c:v>680</c:v>
                </c:pt>
                <c:pt idx="38">
                  <c:v>430</c:v>
                </c:pt>
                <c:pt idx="39">
                  <c:v>382</c:v>
                </c:pt>
                <c:pt idx="40">
                  <c:v>414</c:v>
                </c:pt>
                <c:pt idx="41">
                  <c:v>469</c:v>
                </c:pt>
                <c:pt idx="42">
                  <c:v>370</c:v>
                </c:pt>
                <c:pt idx="43">
                  <c:v>1191</c:v>
                </c:pt>
                <c:pt idx="44">
                  <c:v>497</c:v>
                </c:pt>
                <c:pt idx="45">
                  <c:v>425</c:v>
                </c:pt>
                <c:pt idx="46">
                  <c:v>638</c:v>
                </c:pt>
                <c:pt idx="47">
                  <c:v>773</c:v>
                </c:pt>
                <c:pt idx="48">
                  <c:v>435</c:v>
                </c:pt>
                <c:pt idx="49">
                  <c:v>659</c:v>
                </c:pt>
                <c:pt idx="50">
                  <c:v>501</c:v>
                </c:pt>
                <c:pt idx="51">
                  <c:v>403</c:v>
                </c:pt>
                <c:pt idx="55">
                  <c:v>223</c:v>
                </c:pt>
                <c:pt idx="56">
                  <c:v>504</c:v>
                </c:pt>
                <c:pt idx="57">
                  <c:v>406</c:v>
                </c:pt>
                <c:pt idx="58">
                  <c:v>607</c:v>
                </c:pt>
                <c:pt idx="59">
                  <c:v>263</c:v>
                </c:pt>
                <c:pt idx="60">
                  <c:v>513</c:v>
                </c:pt>
                <c:pt idx="61">
                  <c:v>135</c:v>
                </c:pt>
                <c:pt idx="62">
                  <c:v>199</c:v>
                </c:pt>
                <c:pt idx="63">
                  <c:v>304</c:v>
                </c:pt>
                <c:pt idx="64">
                  <c:v>206</c:v>
                </c:pt>
                <c:pt idx="65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D-A248-A0A7-67F90176F267}"/>
            </c:ext>
          </c:extLst>
        </c:ser>
        <c:ser>
          <c:idx val="1"/>
          <c:order val="1"/>
          <c:tx>
            <c:strRef>
              <c:f>Sheet1!$CQ$177</c:f>
              <c:strCache>
                <c:ptCount val="1"/>
                <c:pt idx="0">
                  <c:v>TESTS CONDUCTED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Sheet1!$CN$178:$CO$243</c:f>
              <c:strCache>
                <c:ptCount val="66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</c:strCache>
            </c:strRef>
          </c:cat>
          <c:val>
            <c:numRef>
              <c:f>Sheet1!$CQ$178:$CQ$243</c:f>
              <c:numCache>
                <c:formatCode>0</c:formatCode>
                <c:ptCount val="66"/>
                <c:pt idx="1">
                  <c:v>4360</c:v>
                </c:pt>
                <c:pt idx="2">
                  <c:v>4437</c:v>
                </c:pt>
                <c:pt idx="3">
                  <c:v>4878</c:v>
                </c:pt>
                <c:pt idx="4">
                  <c:v>4098</c:v>
                </c:pt>
                <c:pt idx="5">
                  <c:v>4072</c:v>
                </c:pt>
                <c:pt idx="6">
                  <c:v>3403</c:v>
                </c:pt>
                <c:pt idx="7">
                  <c:v>766</c:v>
                </c:pt>
                <c:pt idx="8">
                  <c:v>915</c:v>
                </c:pt>
                <c:pt idx="9">
                  <c:v>4990</c:v>
                </c:pt>
                <c:pt idx="10">
                  <c:v>3970</c:v>
                </c:pt>
                <c:pt idx="11">
                  <c:v>3423</c:v>
                </c:pt>
                <c:pt idx="12">
                  <c:v>3207</c:v>
                </c:pt>
                <c:pt idx="13">
                  <c:v>3582</c:v>
                </c:pt>
                <c:pt idx="14">
                  <c:v>3471</c:v>
                </c:pt>
                <c:pt idx="15">
                  <c:v>4589</c:v>
                </c:pt>
                <c:pt idx="16">
                  <c:v>4673</c:v>
                </c:pt>
                <c:pt idx="17">
                  <c:v>768</c:v>
                </c:pt>
                <c:pt idx="18">
                  <c:v>9934</c:v>
                </c:pt>
                <c:pt idx="19">
                  <c:v>4137</c:v>
                </c:pt>
                <c:pt idx="20">
                  <c:v>3428</c:v>
                </c:pt>
                <c:pt idx="21">
                  <c:v>999</c:v>
                </c:pt>
                <c:pt idx="22">
                  <c:v>10096</c:v>
                </c:pt>
                <c:pt idx="23">
                  <c:v>7975</c:v>
                </c:pt>
                <c:pt idx="24">
                  <c:v>7748</c:v>
                </c:pt>
                <c:pt idx="25">
                  <c:v>6962</c:v>
                </c:pt>
                <c:pt idx="26">
                  <c:v>6754</c:v>
                </c:pt>
                <c:pt idx="27">
                  <c:v>7045</c:v>
                </c:pt>
                <c:pt idx="28">
                  <c:v>7547</c:v>
                </c:pt>
                <c:pt idx="29">
                  <c:v>7915</c:v>
                </c:pt>
                <c:pt idx="30">
                  <c:v>10238</c:v>
                </c:pt>
                <c:pt idx="31">
                  <c:v>11204</c:v>
                </c:pt>
                <c:pt idx="32">
                  <c:v>10823</c:v>
                </c:pt>
                <c:pt idx="33">
                  <c:v>9857</c:v>
                </c:pt>
                <c:pt idx="34">
                  <c:v>447</c:v>
                </c:pt>
                <c:pt idx="35">
                  <c:v>10395</c:v>
                </c:pt>
                <c:pt idx="36">
                  <c:v>13831</c:v>
                </c:pt>
                <c:pt idx="37">
                  <c:v>13191</c:v>
                </c:pt>
                <c:pt idx="38">
                  <c:v>13233</c:v>
                </c:pt>
                <c:pt idx="39">
                  <c:v>12192</c:v>
                </c:pt>
                <c:pt idx="40">
                  <c:v>13270</c:v>
                </c:pt>
                <c:pt idx="41">
                  <c:v>8942</c:v>
                </c:pt>
                <c:pt idx="42">
                  <c:v>370</c:v>
                </c:pt>
                <c:pt idx="43">
                  <c:v>27623</c:v>
                </c:pt>
                <c:pt idx="44">
                  <c:v>21613</c:v>
                </c:pt>
                <c:pt idx="45">
                  <c:v>425</c:v>
                </c:pt>
                <c:pt idx="46">
                  <c:v>39037</c:v>
                </c:pt>
                <c:pt idx="47">
                  <c:v>13220</c:v>
                </c:pt>
                <c:pt idx="48">
                  <c:v>12726</c:v>
                </c:pt>
                <c:pt idx="49">
                  <c:v>14168</c:v>
                </c:pt>
                <c:pt idx="50">
                  <c:v>17668</c:v>
                </c:pt>
                <c:pt idx="51">
                  <c:v>17044</c:v>
                </c:pt>
                <c:pt idx="55">
                  <c:v>11419</c:v>
                </c:pt>
                <c:pt idx="56">
                  <c:v>9973</c:v>
                </c:pt>
                <c:pt idx="57">
                  <c:v>9206</c:v>
                </c:pt>
                <c:pt idx="58">
                  <c:v>18149</c:v>
                </c:pt>
                <c:pt idx="59">
                  <c:v>17205</c:v>
                </c:pt>
                <c:pt idx="60">
                  <c:v>15818</c:v>
                </c:pt>
                <c:pt idx="61">
                  <c:v>13393</c:v>
                </c:pt>
                <c:pt idx="62">
                  <c:v>9245</c:v>
                </c:pt>
                <c:pt idx="63">
                  <c:v>16281</c:v>
                </c:pt>
                <c:pt idx="64">
                  <c:v>15434</c:v>
                </c:pt>
                <c:pt idx="65">
                  <c:v>18564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D-A248-A0A7-67F90176F267}"/>
            </c:ext>
          </c:extLst>
        </c:ser>
        <c:ser>
          <c:idx val="2"/>
          <c:order val="2"/>
          <c:tx>
            <c:strRef>
              <c:f>Sheet1!$CR$177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Sheet1!$CN$178:$CO$243</c:f>
              <c:strCache>
                <c:ptCount val="66"/>
                <c:pt idx="0">
                  <c:v>1-Apr</c:v>
                </c:pt>
                <c:pt idx="1">
                  <c:v>2-Apr</c:v>
                </c:pt>
                <c:pt idx="2">
                  <c:v>3-Apr</c:v>
                </c:pt>
                <c:pt idx="3">
                  <c:v>4-Apr</c:v>
                </c:pt>
                <c:pt idx="4">
                  <c:v>5-Apr</c:v>
                </c:pt>
                <c:pt idx="5">
                  <c:v>6-Apr</c:v>
                </c:pt>
                <c:pt idx="6">
                  <c:v>7-Apr</c:v>
                </c:pt>
                <c:pt idx="7">
                  <c:v>8-Apr</c:v>
                </c:pt>
                <c:pt idx="8">
                  <c:v>9-Apr</c:v>
                </c:pt>
                <c:pt idx="9">
                  <c:v>10-Apr</c:v>
                </c:pt>
                <c:pt idx="10">
                  <c:v>11-Apr</c:v>
                </c:pt>
                <c:pt idx="11">
                  <c:v>12-Apr</c:v>
                </c:pt>
                <c:pt idx="12">
                  <c:v>13-Apr</c:v>
                </c:pt>
                <c:pt idx="13">
                  <c:v>14-Apr</c:v>
                </c:pt>
                <c:pt idx="14">
                  <c:v>15-Apr</c:v>
                </c:pt>
                <c:pt idx="15">
                  <c:v>16-Apr</c:v>
                </c:pt>
                <c:pt idx="16">
                  <c:v>17-Apr</c:v>
                </c:pt>
                <c:pt idx="17">
                  <c:v>18-Apr</c:v>
                </c:pt>
                <c:pt idx="18">
                  <c:v>19-Apr</c:v>
                </c:pt>
                <c:pt idx="19">
                  <c:v>20-Apr</c:v>
                </c:pt>
                <c:pt idx="20">
                  <c:v>21-Apr</c:v>
                </c:pt>
                <c:pt idx="21">
                  <c:v>22-Apr</c:v>
                </c:pt>
                <c:pt idx="22">
                  <c:v>23-Apr</c:v>
                </c:pt>
                <c:pt idx="23">
                  <c:v>24-Apr</c:v>
                </c:pt>
                <c:pt idx="24">
                  <c:v>25-Apr</c:v>
                </c:pt>
                <c:pt idx="25">
                  <c:v>26-Apr</c:v>
                </c:pt>
                <c:pt idx="26">
                  <c:v>27-Apr</c:v>
                </c:pt>
                <c:pt idx="27">
                  <c:v>28-Apr</c:v>
                </c:pt>
                <c:pt idx="28">
                  <c:v>29-Apr</c:v>
                </c:pt>
                <c:pt idx="29">
                  <c:v>30-Apr</c:v>
                </c:pt>
                <c:pt idx="30">
                  <c:v>1-May</c:v>
                </c:pt>
                <c:pt idx="31">
                  <c:v>2-May</c:v>
                </c:pt>
                <c:pt idx="32">
                  <c:v>3-May</c:v>
                </c:pt>
                <c:pt idx="33">
                  <c:v>4-May</c:v>
                </c:pt>
                <c:pt idx="34">
                  <c:v>5-May</c:v>
                </c:pt>
                <c:pt idx="35">
                  <c:v>6-May</c:v>
                </c:pt>
                <c:pt idx="36">
                  <c:v>7-May</c:v>
                </c:pt>
                <c:pt idx="37">
                  <c:v>8-May</c:v>
                </c:pt>
                <c:pt idx="38">
                  <c:v>9-May</c:v>
                </c:pt>
                <c:pt idx="39">
                  <c:v>10-May</c:v>
                </c:pt>
                <c:pt idx="40">
                  <c:v>11-May</c:v>
                </c:pt>
                <c:pt idx="41">
                  <c:v>12-May</c:v>
                </c:pt>
                <c:pt idx="42">
                  <c:v>13-May</c:v>
                </c:pt>
                <c:pt idx="43">
                  <c:v>14-May</c:v>
                </c:pt>
                <c:pt idx="44">
                  <c:v>15-May</c:v>
                </c:pt>
                <c:pt idx="45">
                  <c:v>16-May</c:v>
                </c:pt>
                <c:pt idx="46">
                  <c:v>17-May</c:v>
                </c:pt>
                <c:pt idx="47">
                  <c:v>18-May</c:v>
                </c:pt>
                <c:pt idx="48">
                  <c:v>19-May</c:v>
                </c:pt>
                <c:pt idx="49">
                  <c:v>20-May</c:v>
                </c:pt>
                <c:pt idx="50">
                  <c:v>21-May</c:v>
                </c:pt>
                <c:pt idx="51">
                  <c:v>22-May</c:v>
                </c:pt>
                <c:pt idx="52">
                  <c:v>23-May</c:v>
                </c:pt>
                <c:pt idx="53">
                  <c:v>24-May</c:v>
                </c:pt>
                <c:pt idx="54">
                  <c:v>25-May</c:v>
                </c:pt>
                <c:pt idx="55">
                  <c:v>26-May</c:v>
                </c:pt>
                <c:pt idx="56">
                  <c:v>27-May</c:v>
                </c:pt>
                <c:pt idx="57">
                  <c:v>28-May</c:v>
                </c:pt>
                <c:pt idx="58">
                  <c:v>29-May</c:v>
                </c:pt>
                <c:pt idx="59">
                  <c:v>30-May</c:v>
                </c:pt>
                <c:pt idx="60">
                  <c:v>31-May</c:v>
                </c:pt>
                <c:pt idx="61">
                  <c:v>1-Jun</c:v>
                </c:pt>
                <c:pt idx="62">
                  <c:v>2-Jun</c:v>
                </c:pt>
                <c:pt idx="63">
                  <c:v>3-Jun</c:v>
                </c:pt>
                <c:pt idx="64">
                  <c:v>4-Jun</c:v>
                </c:pt>
                <c:pt idx="65">
                  <c:v>5-Jun</c:v>
                </c:pt>
              </c:strCache>
            </c:strRef>
          </c:cat>
          <c:val>
            <c:numRef>
              <c:f>Sheet1!$CR$178:$CR$243</c:f>
              <c:numCache>
                <c:formatCode>General</c:formatCode>
                <c:ptCount val="66"/>
              </c:numCache>
            </c:numRef>
          </c:val>
          <c:extLst>
            <c:ext xmlns:c16="http://schemas.microsoft.com/office/drawing/2014/chart" uri="{C3380CC4-5D6E-409C-BE32-E72D297353CC}">
              <c16:uniqueId val="{00000000-F009-224B-B9A2-A5F2F8B191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38491216"/>
        <c:axId val="1215538928"/>
      </c:barChart>
      <c:dateAx>
        <c:axId val="12384912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538928"/>
        <c:crosses val="autoZero"/>
        <c:auto val="1"/>
        <c:lblOffset val="100"/>
        <c:baseTimeUnit val="days"/>
      </c:dateAx>
      <c:valAx>
        <c:axId val="12155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9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79</xdr:row>
      <xdr:rowOff>85725</xdr:rowOff>
    </xdr:from>
    <xdr:to>
      <xdr:col>19</xdr:col>
      <xdr:colOff>602015</xdr:colOff>
      <xdr:row>118</xdr:row>
      <xdr:rowOff>174296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C4A2B-F946-234A-94E6-E34AF02EC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551120</xdr:colOff>
      <xdr:row>80</xdr:row>
      <xdr:rowOff>60842</xdr:rowOff>
    </xdr:from>
    <xdr:to>
      <xdr:col>40</xdr:col>
      <xdr:colOff>361112</xdr:colOff>
      <xdr:row>118</xdr:row>
      <xdr:rowOff>29535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02216B-6DE3-1F4A-8E18-05B9C09E85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342900</xdr:colOff>
      <xdr:row>80</xdr:row>
      <xdr:rowOff>38100</xdr:rowOff>
    </xdr:from>
    <xdr:to>
      <xdr:col>59</xdr:col>
      <xdr:colOff>76200</xdr:colOff>
      <xdr:row>119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EFFE8C-BD4B-514D-9908-C74C86315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59</xdr:col>
      <xdr:colOff>723900</xdr:colOff>
      <xdr:row>80</xdr:row>
      <xdr:rowOff>63500</xdr:rowOff>
    </xdr:from>
    <xdr:to>
      <xdr:col>75</xdr:col>
      <xdr:colOff>431800</xdr:colOff>
      <xdr:row>119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C3CB6F-FFAF-BB4D-9715-C00A191A0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317499</xdr:colOff>
      <xdr:row>80</xdr:row>
      <xdr:rowOff>139700</xdr:rowOff>
    </xdr:from>
    <xdr:to>
      <xdr:col>92</xdr:col>
      <xdr:colOff>135466</xdr:colOff>
      <xdr:row>119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8B83EE-F7CD-C146-99C9-79CAC662D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93</xdr:col>
      <xdr:colOff>74897</xdr:colOff>
      <xdr:row>82</xdr:row>
      <xdr:rowOff>113974</xdr:rowOff>
    </xdr:from>
    <xdr:to>
      <xdr:col>108</xdr:col>
      <xdr:colOff>651283</xdr:colOff>
      <xdr:row>121</xdr:row>
      <xdr:rowOff>166728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7D2972-A83E-1947-A979-3F6FD0C02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46482</xdr:colOff>
      <xdr:row>252</xdr:row>
      <xdr:rowOff>44851</xdr:rowOff>
    </xdr:from>
    <xdr:to>
      <xdr:col>75</xdr:col>
      <xdr:colOff>624537</xdr:colOff>
      <xdr:row>273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9D55E1-6859-7749-AF32-A38A4FF7AD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85</xdr:col>
      <xdr:colOff>88900</xdr:colOff>
      <xdr:row>251</xdr:row>
      <xdr:rowOff>131027</xdr:rowOff>
    </xdr:from>
    <xdr:to>
      <xdr:col>93</xdr:col>
      <xdr:colOff>681464</xdr:colOff>
      <xdr:row>273</xdr:row>
      <xdr:rowOff>22488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D8B42C-923A-DE47-8F9A-6D5753375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94</xdr:col>
      <xdr:colOff>260504</xdr:colOff>
      <xdr:row>251</xdr:row>
      <xdr:rowOff>100050</xdr:rowOff>
    </xdr:from>
    <xdr:to>
      <xdr:col>103</xdr:col>
      <xdr:colOff>154878</xdr:colOff>
      <xdr:row>273</xdr:row>
      <xdr:rowOff>79936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F24AA31-4948-B149-82E0-69FF09C61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103</xdr:col>
      <xdr:colOff>492821</xdr:colOff>
      <xdr:row>251</xdr:row>
      <xdr:rowOff>74651</xdr:rowOff>
    </xdr:from>
    <xdr:to>
      <xdr:col>112</xdr:col>
      <xdr:colOff>347375</xdr:colOff>
      <xdr:row>273</xdr:row>
      <xdr:rowOff>30975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F722B09-8F83-594A-ABEA-30613C037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112</xdr:col>
      <xdr:colOff>703496</xdr:colOff>
      <xdr:row>251</xdr:row>
      <xdr:rowOff>63134</xdr:rowOff>
    </xdr:from>
    <xdr:to>
      <xdr:col>121</xdr:col>
      <xdr:colOff>512437</xdr:colOff>
      <xdr:row>273</xdr:row>
      <xdr:rowOff>30975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08A30C0-5C67-0340-AA7D-ECDDAB5E6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76</xdr:col>
      <xdr:colOff>196076</xdr:colOff>
      <xdr:row>251</xdr:row>
      <xdr:rowOff>198554</xdr:rowOff>
    </xdr:from>
    <xdr:to>
      <xdr:col>84</xdr:col>
      <xdr:colOff>712439</xdr:colOff>
      <xdr:row>273</xdr:row>
      <xdr:rowOff>41243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3F38F3E-A98A-EA49-865E-D25510F26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117</xdr:col>
      <xdr:colOff>800100</xdr:colOff>
      <xdr:row>196</xdr:row>
      <xdr:rowOff>88900</xdr:rowOff>
    </xdr:from>
    <xdr:to>
      <xdr:col>130</xdr:col>
      <xdr:colOff>254000</xdr:colOff>
      <xdr:row>227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6CF328-AE99-E144-9C7E-5E41EB942C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38D56-529F-6943-948B-8ED18F113542}">
  <dimension ref="A1:DM248"/>
  <sheetViews>
    <sheetView tabSelected="1" topLeftCell="CK179" zoomScale="37" zoomScaleNormal="117" workbookViewId="0">
      <selection activeCell="DO187" sqref="DO187"/>
    </sheetView>
  </sheetViews>
  <sheetFormatPr baseColWidth="10" defaultRowHeight="16" x14ac:dyDescent="0.2"/>
  <sheetData>
    <row r="1" spans="1:5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K1" t="s">
        <v>7</v>
      </c>
      <c r="L1" t="s">
        <v>1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U1" t="s">
        <v>8</v>
      </c>
      <c r="V1" t="s">
        <v>1</v>
      </c>
      <c r="W1" t="s">
        <v>6</v>
      </c>
      <c r="X1" t="s">
        <v>16</v>
      </c>
      <c r="Y1" t="s">
        <v>13</v>
      </c>
      <c r="Z1" t="s">
        <v>17</v>
      </c>
      <c r="AA1" t="s">
        <v>18</v>
      </c>
      <c r="AE1" t="s">
        <v>29</v>
      </c>
      <c r="AF1" t="s">
        <v>1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O1" t="s">
        <v>9</v>
      </c>
      <c r="AP1" t="s">
        <v>1</v>
      </c>
      <c r="AQ1" t="s">
        <v>19</v>
      </c>
      <c r="AR1" t="s">
        <v>20</v>
      </c>
      <c r="AS1" t="s">
        <v>21</v>
      </c>
      <c r="AT1" t="s">
        <v>22</v>
      </c>
      <c r="AU1" t="s">
        <v>23</v>
      </c>
      <c r="AY1" t="s">
        <v>10</v>
      </c>
      <c r="AZ1" t="s">
        <v>1</v>
      </c>
      <c r="BA1" t="s">
        <v>24</v>
      </c>
      <c r="BB1" t="s">
        <v>25</v>
      </c>
      <c r="BC1" t="s">
        <v>26</v>
      </c>
      <c r="BD1" t="s">
        <v>27</v>
      </c>
      <c r="BE1" t="s">
        <v>28</v>
      </c>
    </row>
    <row r="2" spans="1:57" x14ac:dyDescent="0.2">
      <c r="B2" s="1">
        <v>43922</v>
      </c>
      <c r="G2" s="3"/>
      <c r="H2" s="3"/>
      <c r="L2" s="1">
        <v>43922</v>
      </c>
      <c r="M2" s="3"/>
      <c r="N2" s="3"/>
      <c r="O2" s="3"/>
      <c r="P2" s="3"/>
      <c r="Q2" s="3"/>
      <c r="R2" s="3"/>
      <c r="V2" s="1">
        <v>43922</v>
      </c>
      <c r="W2" s="3"/>
      <c r="AA2" s="3"/>
      <c r="AB2" s="3"/>
      <c r="AF2" s="1">
        <v>43922</v>
      </c>
      <c r="AG2" s="3"/>
      <c r="AH2" s="3"/>
      <c r="AI2" s="3"/>
      <c r="AJ2" s="3"/>
      <c r="AK2" s="3"/>
      <c r="AL2" s="3"/>
      <c r="AP2" s="1">
        <v>43922</v>
      </c>
      <c r="AQ2" s="3"/>
      <c r="AR2" s="3"/>
      <c r="AS2" s="3"/>
      <c r="AT2" s="3"/>
      <c r="AU2" s="3"/>
      <c r="AV2" s="3"/>
      <c r="AZ2" s="1">
        <v>43922</v>
      </c>
      <c r="BA2" s="3"/>
      <c r="BB2" s="3"/>
      <c r="BC2" s="3"/>
      <c r="BD2" s="3"/>
      <c r="BE2" s="3"/>
    </row>
    <row r="3" spans="1:57" x14ac:dyDescent="0.2">
      <c r="B3" s="1">
        <v>43923</v>
      </c>
      <c r="C3" s="3">
        <f t="shared" ref="C3:C19" si="0">SUM(A159-A158)</f>
        <v>1602</v>
      </c>
      <c r="D3" s="3">
        <v>1016</v>
      </c>
      <c r="E3" s="3">
        <f t="shared" ref="E3:E11" si="1">SUM(C147-C146)</f>
        <v>1011</v>
      </c>
      <c r="F3" s="3">
        <f t="shared" ref="F3:F41" si="2">SUM(D149-D148)</f>
        <v>736</v>
      </c>
      <c r="G3" s="3">
        <f t="shared" ref="G3:G34" si="3">SUM(E145-E144)</f>
        <v>1141</v>
      </c>
      <c r="L3" s="1">
        <v>43923</v>
      </c>
      <c r="M3" s="3">
        <f t="shared" ref="M3:M44" si="4">SUM(F140-F139)</f>
        <v>605</v>
      </c>
      <c r="N3" s="3">
        <f t="shared" ref="N3:N48" si="5">SUM(G138-G137)</f>
        <v>360</v>
      </c>
      <c r="O3" s="3">
        <f t="shared" ref="O3:O16" si="6">SUM(J134-J133)</f>
        <v>355</v>
      </c>
      <c r="P3" s="3">
        <f t="shared" ref="P3:P39" si="7">SUM(K139-K138)</f>
        <v>349</v>
      </c>
      <c r="Q3" s="3">
        <f t="shared" ref="Q3:Q34" si="8">SUM(L140-L139)</f>
        <v>256</v>
      </c>
      <c r="V3" s="1">
        <v>43923</v>
      </c>
      <c r="W3" s="3">
        <f t="shared" ref="W3:W34" si="9">SUM(M138-M137)</f>
        <v>272</v>
      </c>
      <c r="X3" s="3">
        <f t="shared" ref="X3:X50" si="10">SUM(N152-N151)</f>
        <v>288</v>
      </c>
      <c r="Y3" s="3">
        <f t="shared" ref="Y3:Y50" si="11">SUM(O152-O151)</f>
        <v>154</v>
      </c>
      <c r="Z3" s="3">
        <f t="shared" ref="Z3:Z38" si="12">SUM(P153-P152)</f>
        <v>109</v>
      </c>
      <c r="AA3" s="3">
        <f t="shared" ref="AA3:AA40" si="13">SUM(Q141-Q140)</f>
        <v>104</v>
      </c>
      <c r="AF3" s="1">
        <v>43923</v>
      </c>
      <c r="AG3" s="3">
        <f t="shared" ref="AG3:AG22" si="14">SUM(T147-T146)</f>
        <v>599</v>
      </c>
      <c r="AH3" s="3">
        <f t="shared" ref="AH3:AH22" si="15">SUM(U147-U146)</f>
        <v>592</v>
      </c>
      <c r="AI3" s="3">
        <f t="shared" ref="AI3:AI22" si="16">SUM(V147-V146)</f>
        <v>479</v>
      </c>
      <c r="AJ3" s="3">
        <f t="shared" ref="AJ3:AJ22" si="17">SUM(W147-W146)</f>
        <v>100</v>
      </c>
      <c r="AK3" s="3">
        <f t="shared" ref="AK3:AK22" si="18">SUM(X147-X146)</f>
        <v>37</v>
      </c>
      <c r="AP3" s="1">
        <v>43923</v>
      </c>
      <c r="AQ3" s="3">
        <f t="shared" ref="AQ3:AQ18" si="19">SUM(Y159-Y158)</f>
        <v>374</v>
      </c>
      <c r="AR3" s="3">
        <f t="shared" ref="AR3:AR18" si="20">SUM(Z159-Z158)</f>
        <v>86</v>
      </c>
      <c r="AS3" s="3">
        <f t="shared" ref="AS3:AS18" si="21">SUM(AA159-AA158)</f>
        <v>80</v>
      </c>
      <c r="AT3" s="3">
        <f t="shared" ref="AT3:AT18" si="22">SUM(AD159-AD158)</f>
        <v>105</v>
      </c>
      <c r="AU3" s="3">
        <f t="shared" ref="AU3:AU18" si="23">SUM(AE159-AE158)</f>
        <v>17</v>
      </c>
      <c r="AZ3" s="1">
        <v>43923</v>
      </c>
      <c r="BA3" s="3">
        <f t="shared" ref="BA3:BA18" si="24">SUM(AF156-AF155)</f>
        <v>538</v>
      </c>
      <c r="BB3" s="3">
        <f t="shared" ref="BB3:BB18" si="25">SUM(AG156-AG155)</f>
        <v>117</v>
      </c>
      <c r="BC3" s="3">
        <f t="shared" ref="BC3:BC18" si="26">SUM(AH156-AH155)</f>
        <v>132</v>
      </c>
      <c r="BD3" s="3">
        <f t="shared" ref="BD3:BD18" si="27">SUM(AI156-AI155)</f>
        <v>63</v>
      </c>
      <c r="BE3" s="3">
        <f t="shared" ref="BE3:BE18" si="28">SUM(AJ156-AJ155)</f>
        <v>50</v>
      </c>
    </row>
    <row r="4" spans="1:57" x14ac:dyDescent="0.2">
      <c r="B4" s="1">
        <v>43924</v>
      </c>
      <c r="C4" s="3">
        <f t="shared" si="0"/>
        <v>2004</v>
      </c>
      <c r="D4" s="3">
        <f t="shared" ref="D4:D19" si="29">SUM(B153-B152)</f>
        <v>2937</v>
      </c>
      <c r="E4" s="3">
        <f t="shared" si="1"/>
        <v>1032</v>
      </c>
      <c r="F4" s="3">
        <f t="shared" si="2"/>
        <v>1422</v>
      </c>
      <c r="G4" s="3">
        <f t="shared" si="3"/>
        <v>1408</v>
      </c>
      <c r="L4" s="1">
        <v>43924</v>
      </c>
      <c r="M4" s="3">
        <f t="shared" si="4"/>
        <v>767</v>
      </c>
      <c r="N4" s="3">
        <f t="shared" si="5"/>
        <v>565</v>
      </c>
      <c r="O4" s="3">
        <f t="shared" si="6"/>
        <v>450</v>
      </c>
      <c r="P4" s="3">
        <f t="shared" si="7"/>
        <v>477</v>
      </c>
      <c r="Q4" s="3">
        <f t="shared" si="8"/>
        <v>466</v>
      </c>
      <c r="V4" s="1">
        <v>43924</v>
      </c>
      <c r="W4" s="3">
        <f t="shared" si="9"/>
        <v>287</v>
      </c>
      <c r="X4" s="3">
        <f t="shared" si="10"/>
        <v>332</v>
      </c>
      <c r="Y4" s="3">
        <f t="shared" si="11"/>
        <v>199</v>
      </c>
      <c r="Z4" s="3">
        <f t="shared" si="12"/>
        <v>107</v>
      </c>
      <c r="AA4" s="3">
        <f t="shared" si="13"/>
        <v>158</v>
      </c>
      <c r="AF4" s="1">
        <v>43924</v>
      </c>
      <c r="AG4" s="3">
        <f t="shared" si="14"/>
        <v>1027</v>
      </c>
      <c r="AH4" s="3">
        <f t="shared" si="15"/>
        <v>357</v>
      </c>
      <c r="AI4" s="3">
        <f t="shared" si="16"/>
        <v>228</v>
      </c>
      <c r="AJ4" s="3">
        <f t="shared" si="17"/>
        <v>73</v>
      </c>
      <c r="AK4" s="3">
        <f t="shared" si="18"/>
        <v>39</v>
      </c>
      <c r="AP4" s="1">
        <v>43924</v>
      </c>
      <c r="AQ4" s="3">
        <f t="shared" si="19"/>
        <v>432</v>
      </c>
      <c r="AR4" s="3">
        <f t="shared" si="20"/>
        <v>140</v>
      </c>
      <c r="AS4" s="3">
        <f t="shared" si="21"/>
        <v>72</v>
      </c>
      <c r="AT4" s="3">
        <f t="shared" si="22"/>
        <v>105</v>
      </c>
      <c r="AU4" s="3">
        <f t="shared" si="23"/>
        <v>33</v>
      </c>
      <c r="AZ4" s="1">
        <v>43924</v>
      </c>
      <c r="BA4" s="3">
        <f t="shared" si="24"/>
        <v>526</v>
      </c>
      <c r="BB4" s="3">
        <f t="shared" si="25"/>
        <v>146</v>
      </c>
      <c r="BC4" s="3">
        <f t="shared" si="26"/>
        <v>102</v>
      </c>
      <c r="BD4" s="3">
        <f t="shared" si="27"/>
        <v>75</v>
      </c>
      <c r="BE4" s="3">
        <f t="shared" si="28"/>
        <v>55</v>
      </c>
    </row>
    <row r="5" spans="1:57" x14ac:dyDescent="0.2">
      <c r="B5" s="1">
        <v>43925</v>
      </c>
      <c r="C5" s="3">
        <f t="shared" si="0"/>
        <v>1548</v>
      </c>
      <c r="D5" s="3">
        <f t="shared" si="29"/>
        <v>1161</v>
      </c>
      <c r="E5" s="3">
        <f t="shared" si="1"/>
        <v>2759</v>
      </c>
      <c r="F5" s="3">
        <f t="shared" si="2"/>
        <v>1055</v>
      </c>
      <c r="G5" s="3">
        <f t="shared" si="3"/>
        <v>2174</v>
      </c>
      <c r="L5" s="1">
        <v>43925</v>
      </c>
      <c r="M5" s="3">
        <f t="shared" si="4"/>
        <v>894</v>
      </c>
      <c r="N5" s="3">
        <f t="shared" si="5"/>
        <v>656</v>
      </c>
      <c r="O5" s="3">
        <f t="shared" si="6"/>
        <v>517</v>
      </c>
      <c r="P5" s="3">
        <f t="shared" si="7"/>
        <v>429</v>
      </c>
      <c r="Q5" s="3">
        <f t="shared" si="8"/>
        <v>640</v>
      </c>
      <c r="V5" s="1">
        <v>43925</v>
      </c>
      <c r="W5" s="3">
        <f t="shared" si="9"/>
        <v>246</v>
      </c>
      <c r="X5" s="3">
        <f t="shared" si="10"/>
        <v>266</v>
      </c>
      <c r="Y5" s="3">
        <f t="shared" si="11"/>
        <v>162</v>
      </c>
      <c r="Z5" s="3">
        <f t="shared" si="12"/>
        <v>154</v>
      </c>
      <c r="AA5" s="3">
        <f t="shared" si="13"/>
        <v>90</v>
      </c>
      <c r="AF5" s="1">
        <v>43925</v>
      </c>
      <c r="AG5" s="3">
        <f t="shared" si="14"/>
        <v>666</v>
      </c>
      <c r="AH5" s="3">
        <f t="shared" si="15"/>
        <v>495</v>
      </c>
      <c r="AI5" s="3">
        <f t="shared" si="16"/>
        <v>443</v>
      </c>
      <c r="AJ5" s="3">
        <f t="shared" si="17"/>
        <v>42</v>
      </c>
      <c r="AK5" s="3">
        <f t="shared" si="18"/>
        <v>24</v>
      </c>
      <c r="AP5" s="1">
        <v>43925</v>
      </c>
      <c r="AQ5" s="3">
        <f t="shared" si="19"/>
        <v>326</v>
      </c>
      <c r="AR5" s="3">
        <f t="shared" si="20"/>
        <v>107</v>
      </c>
      <c r="AS5" s="3">
        <f t="shared" si="21"/>
        <v>74</v>
      </c>
      <c r="AT5" s="3">
        <f t="shared" si="22"/>
        <v>220</v>
      </c>
      <c r="AU5" s="3">
        <f t="shared" si="23"/>
        <v>34</v>
      </c>
      <c r="AZ5" s="1">
        <v>43925</v>
      </c>
      <c r="BA5" s="3">
        <f t="shared" si="24"/>
        <v>709</v>
      </c>
      <c r="BB5" s="3">
        <f t="shared" si="25"/>
        <v>97</v>
      </c>
      <c r="BC5" s="3">
        <f t="shared" si="26"/>
        <v>112</v>
      </c>
      <c r="BD5" s="3">
        <f t="shared" si="27"/>
        <v>54</v>
      </c>
      <c r="BE5" s="3">
        <f t="shared" si="28"/>
        <v>75</v>
      </c>
    </row>
    <row r="6" spans="1:57" x14ac:dyDescent="0.2">
      <c r="B6" s="1">
        <v>43926</v>
      </c>
      <c r="C6" s="3">
        <f t="shared" si="0"/>
        <v>1410</v>
      </c>
      <c r="D6" s="3">
        <f t="shared" si="29"/>
        <v>1032</v>
      </c>
      <c r="E6" s="3">
        <f t="shared" si="1"/>
        <v>1052</v>
      </c>
      <c r="F6" s="3">
        <f t="shared" si="2"/>
        <v>918</v>
      </c>
      <c r="G6" s="3">
        <f t="shared" si="3"/>
        <v>605</v>
      </c>
      <c r="L6" s="1">
        <v>43926</v>
      </c>
      <c r="M6" s="3">
        <f t="shared" si="4"/>
        <v>427</v>
      </c>
      <c r="N6" s="3">
        <f t="shared" si="5"/>
        <v>433</v>
      </c>
      <c r="O6" s="3">
        <f t="shared" si="6"/>
        <v>498</v>
      </c>
      <c r="P6" s="3">
        <f t="shared" si="7"/>
        <v>300</v>
      </c>
      <c r="Q6" s="3">
        <f t="shared" si="8"/>
        <v>371</v>
      </c>
      <c r="V6" s="1">
        <v>43926</v>
      </c>
      <c r="W6" s="3">
        <f t="shared" si="9"/>
        <v>229</v>
      </c>
      <c r="X6" s="3">
        <f t="shared" si="10"/>
        <v>164</v>
      </c>
      <c r="Y6" s="3">
        <f t="shared" si="11"/>
        <v>106</v>
      </c>
      <c r="Z6" s="3">
        <f t="shared" si="12"/>
        <v>72</v>
      </c>
      <c r="AA6" s="3">
        <f t="shared" si="13"/>
        <v>63</v>
      </c>
      <c r="AF6" s="1">
        <v>43926</v>
      </c>
      <c r="AG6" s="3">
        <f t="shared" si="14"/>
        <v>756</v>
      </c>
      <c r="AH6" s="3">
        <f t="shared" si="15"/>
        <v>39</v>
      </c>
      <c r="AI6" s="3"/>
      <c r="AJ6" s="3">
        <f t="shared" si="17"/>
        <v>40</v>
      </c>
      <c r="AK6" s="3">
        <f t="shared" si="18"/>
        <v>20</v>
      </c>
      <c r="AP6" s="1">
        <v>43926</v>
      </c>
      <c r="AQ6" s="3">
        <f t="shared" si="19"/>
        <v>525</v>
      </c>
      <c r="AR6" s="3">
        <f t="shared" si="20"/>
        <v>129</v>
      </c>
      <c r="AS6" s="3">
        <f t="shared" si="21"/>
        <v>92</v>
      </c>
      <c r="AT6" s="3">
        <f t="shared" si="22"/>
        <v>73</v>
      </c>
      <c r="AU6" s="3">
        <f t="shared" si="23"/>
        <v>41</v>
      </c>
      <c r="AZ6" s="1">
        <v>43926</v>
      </c>
      <c r="BA6" s="3">
        <f t="shared" si="24"/>
        <v>617</v>
      </c>
      <c r="BB6" s="3">
        <f t="shared" si="25"/>
        <v>117</v>
      </c>
      <c r="BC6" s="3">
        <f t="shared" si="26"/>
        <v>17</v>
      </c>
      <c r="BD6" s="3">
        <f t="shared" si="27"/>
        <v>59</v>
      </c>
      <c r="BE6" s="3">
        <f t="shared" si="28"/>
        <v>48</v>
      </c>
    </row>
    <row r="7" spans="1:57" x14ac:dyDescent="0.2">
      <c r="B7" s="1">
        <v>43927</v>
      </c>
      <c r="C7" s="3">
        <f t="shared" si="0"/>
        <v>1302</v>
      </c>
      <c r="D7" s="3">
        <f t="shared" si="29"/>
        <v>914</v>
      </c>
      <c r="E7" s="3"/>
      <c r="F7" s="3">
        <f t="shared" si="2"/>
        <v>942</v>
      </c>
      <c r="G7" s="3">
        <f t="shared" si="3"/>
        <v>1540</v>
      </c>
      <c r="L7" s="1">
        <v>43927</v>
      </c>
      <c r="M7" s="3">
        <f t="shared" si="4"/>
        <v>675</v>
      </c>
      <c r="N7" s="3">
        <f t="shared" si="5"/>
        <v>471</v>
      </c>
      <c r="O7" s="3">
        <f t="shared" si="6"/>
        <v>411</v>
      </c>
      <c r="P7" s="3">
        <f t="shared" si="7"/>
        <v>469</v>
      </c>
      <c r="Q7" s="3">
        <f t="shared" si="8"/>
        <v>529</v>
      </c>
      <c r="V7" s="1">
        <v>43927</v>
      </c>
      <c r="W7" s="3">
        <f t="shared" si="9"/>
        <v>271</v>
      </c>
      <c r="X7" s="3">
        <f t="shared" si="10"/>
        <v>318</v>
      </c>
      <c r="Y7" s="3">
        <f t="shared" si="11"/>
        <v>147</v>
      </c>
      <c r="Z7" s="3">
        <f t="shared" si="12"/>
        <v>111</v>
      </c>
      <c r="AA7" s="3">
        <f t="shared" si="13"/>
        <v>99</v>
      </c>
      <c r="AF7" s="1">
        <v>43927</v>
      </c>
      <c r="AG7" s="3">
        <f t="shared" si="14"/>
        <v>752</v>
      </c>
      <c r="AH7" s="3">
        <f t="shared" si="15"/>
        <v>306</v>
      </c>
      <c r="AI7" s="3">
        <f t="shared" si="16"/>
        <v>156</v>
      </c>
      <c r="AJ7" s="3">
        <f t="shared" si="17"/>
        <v>64</v>
      </c>
      <c r="AK7" s="3">
        <f t="shared" si="18"/>
        <v>22</v>
      </c>
      <c r="AP7" s="1">
        <v>43927</v>
      </c>
      <c r="AQ7" s="3">
        <f t="shared" si="19"/>
        <v>476</v>
      </c>
      <c r="AR7" s="3">
        <f t="shared" si="20"/>
        <v>119</v>
      </c>
      <c r="AS7" s="3">
        <f t="shared" si="21"/>
        <v>114</v>
      </c>
      <c r="AT7" s="3">
        <f t="shared" si="22"/>
        <v>129</v>
      </c>
      <c r="AU7" s="3">
        <f t="shared" si="23"/>
        <v>50</v>
      </c>
      <c r="AZ7" s="1">
        <v>43927</v>
      </c>
      <c r="BA7" s="3">
        <f t="shared" si="24"/>
        <v>454</v>
      </c>
      <c r="BB7" s="3">
        <f t="shared" si="25"/>
        <v>78</v>
      </c>
      <c r="BC7" s="3">
        <f t="shared" si="26"/>
        <v>185</v>
      </c>
      <c r="BD7" s="3">
        <f t="shared" si="27"/>
        <v>17</v>
      </c>
      <c r="BE7" s="3">
        <f t="shared" si="28"/>
        <v>48</v>
      </c>
    </row>
    <row r="8" spans="1:57" x14ac:dyDescent="0.2">
      <c r="B8" s="1">
        <v>43928</v>
      </c>
      <c r="C8" s="3">
        <f t="shared" si="0"/>
        <v>1726</v>
      </c>
      <c r="D8" s="3">
        <f t="shared" si="29"/>
        <v>1801</v>
      </c>
      <c r="E8" s="3">
        <f t="shared" si="1"/>
        <v>2212</v>
      </c>
      <c r="F8" s="3">
        <f t="shared" si="2"/>
        <v>1261</v>
      </c>
      <c r="G8" s="3">
        <f t="shared" si="3"/>
        <v>1088</v>
      </c>
      <c r="L8" s="1">
        <v>43928</v>
      </c>
      <c r="M8" s="3">
        <f t="shared" si="4"/>
        <v>671</v>
      </c>
      <c r="N8" s="3">
        <f t="shared" si="5"/>
        <v>554</v>
      </c>
      <c r="O8" s="3">
        <f t="shared" si="6"/>
        <v>585</v>
      </c>
      <c r="P8" s="3">
        <f t="shared" si="7"/>
        <v>673</v>
      </c>
      <c r="Q8" s="3">
        <f t="shared" si="8"/>
        <v>345</v>
      </c>
      <c r="V8" s="1">
        <v>43928</v>
      </c>
      <c r="W8" s="3">
        <f t="shared" si="9"/>
        <v>316</v>
      </c>
      <c r="X8" s="3">
        <f t="shared" si="10"/>
        <v>237</v>
      </c>
      <c r="Y8" s="3">
        <f t="shared" si="11"/>
        <v>188</v>
      </c>
      <c r="Z8" s="3">
        <f t="shared" si="12"/>
        <v>210</v>
      </c>
      <c r="AA8" s="3">
        <f t="shared" si="13"/>
        <v>95</v>
      </c>
      <c r="AF8" s="1">
        <v>43928</v>
      </c>
      <c r="AG8" s="3">
        <f t="shared" si="14"/>
        <v>775</v>
      </c>
      <c r="AH8" s="3">
        <f t="shared" si="15"/>
        <v>356</v>
      </c>
      <c r="AI8" s="3">
        <f t="shared" si="16"/>
        <v>255</v>
      </c>
      <c r="AJ8" s="3">
        <f t="shared" si="17"/>
        <v>70</v>
      </c>
      <c r="AK8" s="3">
        <f t="shared" si="18"/>
        <v>18</v>
      </c>
      <c r="AP8" s="1">
        <v>43928</v>
      </c>
      <c r="AQ8" s="3">
        <f t="shared" si="19"/>
        <v>401</v>
      </c>
      <c r="AR8" s="3">
        <f t="shared" si="20"/>
        <v>129</v>
      </c>
      <c r="AS8" s="3">
        <f t="shared" si="21"/>
        <v>76</v>
      </c>
      <c r="AT8" s="3">
        <f t="shared" si="22"/>
        <v>140</v>
      </c>
      <c r="AU8" s="3">
        <f t="shared" si="23"/>
        <v>43</v>
      </c>
      <c r="AZ8" s="1">
        <v>43928</v>
      </c>
      <c r="BA8" s="3">
        <f t="shared" si="24"/>
        <v>539</v>
      </c>
      <c r="BB8" s="3">
        <f t="shared" si="25"/>
        <v>50</v>
      </c>
      <c r="BC8" s="3">
        <f t="shared" si="26"/>
        <v>51</v>
      </c>
      <c r="BD8" s="3">
        <f t="shared" si="27"/>
        <v>61</v>
      </c>
      <c r="BE8" s="3">
        <f t="shared" si="28"/>
        <v>49</v>
      </c>
    </row>
    <row r="9" spans="1:57" x14ac:dyDescent="0.2">
      <c r="B9" s="1">
        <v>43929</v>
      </c>
      <c r="C9" s="3">
        <f t="shared" si="0"/>
        <v>1395</v>
      </c>
      <c r="D9" s="3">
        <f t="shared" si="29"/>
        <v>1345</v>
      </c>
      <c r="E9" s="3">
        <f t="shared" si="1"/>
        <v>1938</v>
      </c>
      <c r="F9" s="3">
        <f t="shared" si="2"/>
        <v>1478</v>
      </c>
      <c r="G9" s="3">
        <f t="shared" si="3"/>
        <v>283</v>
      </c>
      <c r="L9" s="1">
        <v>43929</v>
      </c>
      <c r="M9" s="3">
        <f t="shared" si="4"/>
        <v>341</v>
      </c>
      <c r="N9" s="3">
        <f t="shared" si="5"/>
        <v>488</v>
      </c>
      <c r="O9" s="3">
        <f t="shared" si="6"/>
        <v>520</v>
      </c>
      <c r="P9" s="3">
        <f t="shared" si="7"/>
        <v>473</v>
      </c>
      <c r="Q9" s="3">
        <f t="shared" si="8"/>
        <v>271</v>
      </c>
      <c r="V9" s="1">
        <v>43929</v>
      </c>
      <c r="W9" s="3">
        <f t="shared" si="9"/>
        <v>355</v>
      </c>
      <c r="X9" s="3">
        <f t="shared" si="10"/>
        <v>358</v>
      </c>
      <c r="Y9" s="3">
        <f t="shared" si="11"/>
        <v>262</v>
      </c>
      <c r="Z9" s="3">
        <f t="shared" si="12"/>
        <v>186</v>
      </c>
      <c r="AA9" s="3">
        <f t="shared" si="13"/>
        <v>124</v>
      </c>
      <c r="AF9" s="1">
        <v>43929</v>
      </c>
      <c r="AG9" s="3">
        <f t="shared" si="14"/>
        <v>581</v>
      </c>
      <c r="AH9" s="3">
        <f t="shared" si="15"/>
        <v>271</v>
      </c>
      <c r="AI9" s="3">
        <f t="shared" si="16"/>
        <v>212</v>
      </c>
      <c r="AJ9" s="3">
        <f t="shared" si="17"/>
        <v>75</v>
      </c>
      <c r="AK9" s="3">
        <f t="shared" si="18"/>
        <v>49</v>
      </c>
      <c r="AP9" s="1">
        <v>43929</v>
      </c>
      <c r="AQ9" s="3">
        <f t="shared" si="19"/>
        <v>444</v>
      </c>
      <c r="AR9" s="3">
        <f t="shared" si="20"/>
        <v>162</v>
      </c>
      <c r="AS9" s="3">
        <f t="shared" si="21"/>
        <v>136</v>
      </c>
      <c r="AT9" s="3">
        <f t="shared" si="22"/>
        <v>173</v>
      </c>
      <c r="AU9" s="3">
        <f t="shared" si="23"/>
        <v>47</v>
      </c>
      <c r="AZ9" s="1">
        <v>43929</v>
      </c>
      <c r="BA9" s="3">
        <f t="shared" si="24"/>
        <v>620</v>
      </c>
      <c r="BB9" s="3">
        <f t="shared" si="25"/>
        <v>76</v>
      </c>
      <c r="BC9" s="3">
        <f t="shared" si="26"/>
        <v>69</v>
      </c>
      <c r="BD9" s="3">
        <f t="shared" si="27"/>
        <v>95</v>
      </c>
      <c r="BE9" s="3">
        <f t="shared" si="28"/>
        <v>85</v>
      </c>
    </row>
    <row r="10" spans="1:57" x14ac:dyDescent="0.2">
      <c r="B10" s="1">
        <v>43930</v>
      </c>
      <c r="C10" s="3">
        <f t="shared" si="0"/>
        <v>1555</v>
      </c>
      <c r="D10" s="3">
        <f t="shared" si="29"/>
        <v>1828</v>
      </c>
      <c r="E10" s="3">
        <f t="shared" si="1"/>
        <v>1592</v>
      </c>
      <c r="F10" s="3">
        <f t="shared" si="2"/>
        <v>2317</v>
      </c>
      <c r="G10" s="3">
        <f t="shared" si="3"/>
        <v>1569</v>
      </c>
      <c r="L10" s="1">
        <v>43930</v>
      </c>
      <c r="M10" s="3">
        <f t="shared" si="4"/>
        <v>469</v>
      </c>
      <c r="N10" s="3">
        <f t="shared" si="5"/>
        <v>442</v>
      </c>
      <c r="O10" s="3">
        <f t="shared" si="6"/>
        <v>471</v>
      </c>
      <c r="P10" s="3">
        <f t="shared" si="7"/>
        <v>372</v>
      </c>
      <c r="Q10" s="3">
        <f t="shared" si="8"/>
        <v>318</v>
      </c>
      <c r="V10" s="1">
        <v>43930</v>
      </c>
      <c r="W10" s="3">
        <f t="shared" si="9"/>
        <v>441</v>
      </c>
      <c r="X10" s="3">
        <f t="shared" si="10"/>
        <v>500</v>
      </c>
      <c r="Y10" s="3">
        <f t="shared" si="11"/>
        <v>233</v>
      </c>
      <c r="Z10" s="3">
        <f t="shared" si="12"/>
        <v>229</v>
      </c>
      <c r="AA10" s="3">
        <f t="shared" si="13"/>
        <v>165</v>
      </c>
      <c r="AF10" s="1">
        <v>43930</v>
      </c>
      <c r="AG10" s="3">
        <f t="shared" si="14"/>
        <v>467</v>
      </c>
      <c r="AH10" s="3">
        <f t="shared" si="15"/>
        <v>240</v>
      </c>
      <c r="AI10" s="3">
        <f t="shared" si="16"/>
        <v>157</v>
      </c>
      <c r="AJ10" s="3">
        <f t="shared" si="17"/>
        <v>42</v>
      </c>
      <c r="AK10" s="3">
        <f t="shared" si="18"/>
        <v>27</v>
      </c>
      <c r="AP10" s="1">
        <v>43930</v>
      </c>
      <c r="AQ10" s="3">
        <f t="shared" si="19"/>
        <v>573</v>
      </c>
      <c r="AR10" s="3">
        <f t="shared" si="20"/>
        <v>172</v>
      </c>
      <c r="AS10" s="3">
        <f t="shared" si="21"/>
        <v>188</v>
      </c>
      <c r="AT10" s="3">
        <f t="shared" si="22"/>
        <v>147</v>
      </c>
      <c r="AU10" s="3">
        <f t="shared" si="23"/>
        <v>200</v>
      </c>
      <c r="AZ10" s="1">
        <v>43930</v>
      </c>
      <c r="BA10" s="3">
        <f t="shared" si="24"/>
        <v>414</v>
      </c>
      <c r="BB10" s="3">
        <f t="shared" si="25"/>
        <v>98</v>
      </c>
      <c r="BC10" s="3">
        <f t="shared" si="26"/>
        <v>109</v>
      </c>
      <c r="BD10" s="3">
        <f t="shared" si="27"/>
        <v>62</v>
      </c>
      <c r="BE10" s="3">
        <f t="shared" si="28"/>
        <v>63</v>
      </c>
    </row>
    <row r="11" spans="1:57" x14ac:dyDescent="0.2">
      <c r="B11" s="1">
        <v>43931</v>
      </c>
      <c r="C11" s="3">
        <f t="shared" si="0"/>
        <v>1995</v>
      </c>
      <c r="D11" s="3">
        <f t="shared" si="29"/>
        <v>1438</v>
      </c>
      <c r="E11" s="3">
        <f t="shared" si="1"/>
        <v>1372</v>
      </c>
      <c r="F11" s="3">
        <f t="shared" si="2"/>
        <v>1807</v>
      </c>
      <c r="G11" s="3">
        <f t="shared" si="3"/>
        <v>1279</v>
      </c>
      <c r="L11" s="1">
        <v>43931</v>
      </c>
      <c r="M11" s="3">
        <f t="shared" si="4"/>
        <v>585</v>
      </c>
      <c r="N11" s="3">
        <f t="shared" si="5"/>
        <v>532</v>
      </c>
      <c r="O11" s="3">
        <f t="shared" si="6"/>
        <v>511</v>
      </c>
      <c r="P11" s="3">
        <f t="shared" si="7"/>
        <v>372</v>
      </c>
      <c r="Q11" s="3">
        <f t="shared" si="8"/>
        <v>327</v>
      </c>
      <c r="V11" s="1">
        <v>43931</v>
      </c>
      <c r="W11" s="3">
        <f t="shared" si="9"/>
        <v>493</v>
      </c>
      <c r="X11" s="3">
        <f t="shared" si="10"/>
        <v>402</v>
      </c>
      <c r="Y11" s="3">
        <f t="shared" si="11"/>
        <v>334</v>
      </c>
      <c r="Z11" s="3">
        <f t="shared" si="12"/>
        <v>209</v>
      </c>
      <c r="AA11" s="3">
        <f t="shared" si="13"/>
        <v>217</v>
      </c>
      <c r="AF11" s="1">
        <v>43931</v>
      </c>
      <c r="AG11" s="3">
        <f t="shared" si="14"/>
        <v>446</v>
      </c>
      <c r="AH11" s="3">
        <f t="shared" si="15"/>
        <v>264</v>
      </c>
      <c r="AI11" s="3">
        <f t="shared" si="16"/>
        <v>190</v>
      </c>
      <c r="AJ11" s="3">
        <f t="shared" si="17"/>
        <v>73</v>
      </c>
      <c r="AK11" s="3">
        <f t="shared" si="18"/>
        <v>22</v>
      </c>
      <c r="AP11" s="1">
        <v>43931</v>
      </c>
      <c r="AQ11" s="3">
        <f t="shared" si="19"/>
        <v>492</v>
      </c>
      <c r="AR11" s="3">
        <f t="shared" si="20"/>
        <v>196</v>
      </c>
      <c r="AS11" s="3">
        <f t="shared" si="21"/>
        <v>155</v>
      </c>
      <c r="AT11" s="3">
        <f t="shared" si="22"/>
        <v>96</v>
      </c>
      <c r="AU11" s="3">
        <f t="shared" si="23"/>
        <v>104</v>
      </c>
      <c r="AZ11" s="1">
        <v>43931</v>
      </c>
      <c r="BA11" s="3">
        <f t="shared" si="24"/>
        <v>465</v>
      </c>
      <c r="BB11" s="3">
        <f t="shared" si="25"/>
        <v>65</v>
      </c>
      <c r="BC11" s="3">
        <f t="shared" si="26"/>
        <v>79</v>
      </c>
      <c r="BD11" s="3">
        <f t="shared" si="27"/>
        <v>42</v>
      </c>
      <c r="BE11" s="3">
        <f t="shared" si="28"/>
        <v>59</v>
      </c>
    </row>
    <row r="12" spans="1:57" x14ac:dyDescent="0.2">
      <c r="B12" s="1">
        <v>43932</v>
      </c>
      <c r="C12" s="3">
        <f t="shared" si="0"/>
        <v>1290</v>
      </c>
      <c r="D12" s="3">
        <f t="shared" si="29"/>
        <v>1196</v>
      </c>
      <c r="E12" s="3"/>
      <c r="F12" s="3">
        <f t="shared" si="2"/>
        <v>980</v>
      </c>
      <c r="G12" s="3">
        <f t="shared" si="3"/>
        <v>1191</v>
      </c>
      <c r="L12" s="1">
        <v>43932</v>
      </c>
      <c r="M12" s="3">
        <f t="shared" si="4"/>
        <v>434</v>
      </c>
      <c r="N12" s="3">
        <f t="shared" si="5"/>
        <v>596</v>
      </c>
      <c r="O12" s="3">
        <f t="shared" si="6"/>
        <v>271</v>
      </c>
      <c r="P12" s="3">
        <f t="shared" si="7"/>
        <v>290</v>
      </c>
      <c r="Q12" s="3">
        <f t="shared" si="8"/>
        <v>278</v>
      </c>
      <c r="V12" s="1">
        <v>43932</v>
      </c>
      <c r="W12" s="3">
        <f t="shared" si="9"/>
        <v>392</v>
      </c>
      <c r="X12" s="3">
        <f t="shared" si="10"/>
        <v>425</v>
      </c>
      <c r="Y12" s="3">
        <f t="shared" si="11"/>
        <v>226</v>
      </c>
      <c r="Z12" s="3">
        <f t="shared" si="12"/>
        <v>179</v>
      </c>
      <c r="AA12" s="3">
        <f t="shared" si="13"/>
        <v>144</v>
      </c>
      <c r="AF12" s="1">
        <v>43932</v>
      </c>
      <c r="AG12" s="3">
        <f t="shared" si="14"/>
        <v>412</v>
      </c>
      <c r="AH12" s="3">
        <f t="shared" si="15"/>
        <v>291</v>
      </c>
      <c r="AI12" s="3">
        <f t="shared" si="16"/>
        <v>191</v>
      </c>
      <c r="AJ12" s="3">
        <f t="shared" si="17"/>
        <v>91</v>
      </c>
      <c r="AK12" s="3">
        <f t="shared" si="18"/>
        <v>26</v>
      </c>
      <c r="AP12" s="1">
        <v>43932</v>
      </c>
      <c r="AQ12" s="3">
        <f t="shared" si="19"/>
        <v>501</v>
      </c>
      <c r="AR12" s="3">
        <f t="shared" si="20"/>
        <v>164</v>
      </c>
      <c r="AS12" s="3">
        <f t="shared" si="21"/>
        <v>133</v>
      </c>
      <c r="AT12" s="3">
        <f t="shared" si="22"/>
        <v>58</v>
      </c>
      <c r="AU12" s="3">
        <f t="shared" si="23"/>
        <v>210</v>
      </c>
      <c r="AZ12" s="1">
        <v>43932</v>
      </c>
      <c r="BA12" s="3">
        <f t="shared" si="24"/>
        <v>439</v>
      </c>
      <c r="BB12" s="3">
        <f t="shared" si="25"/>
        <v>68</v>
      </c>
      <c r="BC12" s="3">
        <f t="shared" si="26"/>
        <v>98</v>
      </c>
      <c r="BD12" s="3">
        <f t="shared" si="27"/>
        <v>82</v>
      </c>
      <c r="BE12" s="3">
        <f t="shared" si="28"/>
        <v>83</v>
      </c>
    </row>
    <row r="13" spans="1:57" x14ac:dyDescent="0.2">
      <c r="B13" s="1">
        <v>43933</v>
      </c>
      <c r="C13" s="3">
        <f t="shared" si="0"/>
        <v>1705</v>
      </c>
      <c r="D13" s="3">
        <f t="shared" si="29"/>
        <v>1420</v>
      </c>
      <c r="E13" s="3">
        <v>1072</v>
      </c>
      <c r="F13" s="3">
        <f t="shared" si="2"/>
        <v>1186</v>
      </c>
      <c r="G13" s="3">
        <f t="shared" si="3"/>
        <v>933</v>
      </c>
      <c r="L13" s="1">
        <v>43933</v>
      </c>
      <c r="M13" s="3">
        <f t="shared" si="4"/>
        <v>422</v>
      </c>
      <c r="N13" s="3">
        <f t="shared" si="5"/>
        <v>462</v>
      </c>
      <c r="O13" s="3">
        <f t="shared" si="6"/>
        <v>559</v>
      </c>
      <c r="P13" s="3">
        <f t="shared" si="7"/>
        <v>315</v>
      </c>
      <c r="Q13" s="3">
        <f t="shared" si="8"/>
        <v>295</v>
      </c>
      <c r="V13" s="1">
        <v>43933</v>
      </c>
      <c r="W13" s="3">
        <f t="shared" si="9"/>
        <v>433</v>
      </c>
      <c r="X13" s="3">
        <f t="shared" si="10"/>
        <v>788</v>
      </c>
      <c r="Y13" s="3">
        <f t="shared" si="11"/>
        <v>274</v>
      </c>
      <c r="Z13" s="3">
        <f t="shared" si="12"/>
        <v>254</v>
      </c>
      <c r="AA13" s="3">
        <f t="shared" si="13"/>
        <v>210</v>
      </c>
      <c r="AF13" s="1">
        <v>43933</v>
      </c>
      <c r="AG13" s="3">
        <f t="shared" si="14"/>
        <v>213</v>
      </c>
      <c r="AH13" s="3">
        <f t="shared" si="15"/>
        <v>113</v>
      </c>
      <c r="AI13" s="3">
        <f t="shared" si="16"/>
        <v>90</v>
      </c>
      <c r="AJ13" s="3">
        <f t="shared" si="17"/>
        <v>36</v>
      </c>
      <c r="AK13" s="3">
        <f t="shared" si="18"/>
        <v>31</v>
      </c>
      <c r="AP13" s="1">
        <v>43933</v>
      </c>
      <c r="AQ13" s="3">
        <f t="shared" si="19"/>
        <v>330</v>
      </c>
      <c r="AR13" s="3">
        <f t="shared" si="20"/>
        <v>111</v>
      </c>
      <c r="AS13" s="3">
        <f t="shared" si="21"/>
        <v>84</v>
      </c>
      <c r="AT13" s="3">
        <f t="shared" si="22"/>
        <v>64</v>
      </c>
      <c r="AU13" s="3">
        <f t="shared" si="23"/>
        <v>105</v>
      </c>
      <c r="AZ13" s="1">
        <v>43933</v>
      </c>
      <c r="BA13" s="3">
        <f t="shared" si="24"/>
        <v>310</v>
      </c>
      <c r="BB13" s="3">
        <f t="shared" si="25"/>
        <v>43</v>
      </c>
      <c r="BC13" s="3">
        <f t="shared" si="26"/>
        <v>70</v>
      </c>
      <c r="BD13" s="3">
        <f t="shared" si="27"/>
        <v>55</v>
      </c>
      <c r="BE13" s="3">
        <f t="shared" si="28"/>
        <v>56</v>
      </c>
    </row>
    <row r="14" spans="1:57" x14ac:dyDescent="0.2">
      <c r="B14" s="1">
        <v>43934</v>
      </c>
      <c r="C14" s="3">
        <f t="shared" si="0"/>
        <v>719</v>
      </c>
      <c r="D14" s="3">
        <f t="shared" si="29"/>
        <v>573</v>
      </c>
      <c r="E14" s="3">
        <f t="shared" ref="E14:E56" si="30">SUM(C158-C157)</f>
        <v>1774</v>
      </c>
      <c r="F14" s="3">
        <f t="shared" si="2"/>
        <v>643</v>
      </c>
      <c r="G14" s="3">
        <f t="shared" si="3"/>
        <v>827</v>
      </c>
      <c r="L14" s="1">
        <v>43934</v>
      </c>
      <c r="M14" s="3">
        <f t="shared" si="4"/>
        <v>308</v>
      </c>
      <c r="N14" s="3">
        <f t="shared" si="5"/>
        <v>410</v>
      </c>
      <c r="O14" s="3">
        <f t="shared" si="6"/>
        <v>224</v>
      </c>
      <c r="P14" s="3">
        <f t="shared" si="7"/>
        <v>456</v>
      </c>
      <c r="Q14" s="3">
        <f t="shared" si="8"/>
        <v>360</v>
      </c>
      <c r="V14" s="1">
        <v>43934</v>
      </c>
      <c r="W14" s="3">
        <f t="shared" si="9"/>
        <v>220</v>
      </c>
      <c r="X14" s="3">
        <f t="shared" si="10"/>
        <v>323</v>
      </c>
      <c r="Y14" s="3">
        <f t="shared" si="11"/>
        <v>243</v>
      </c>
      <c r="Z14" s="3">
        <f t="shared" si="12"/>
        <v>189</v>
      </c>
      <c r="AA14" s="3">
        <f t="shared" si="13"/>
        <v>96</v>
      </c>
      <c r="AF14" s="1">
        <v>43934</v>
      </c>
      <c r="AG14" s="3">
        <f t="shared" si="14"/>
        <v>484</v>
      </c>
      <c r="AH14" s="3">
        <f t="shared" si="15"/>
        <v>158</v>
      </c>
      <c r="AI14" s="3">
        <f t="shared" si="16"/>
        <v>164</v>
      </c>
      <c r="AJ14" s="3">
        <f t="shared" si="17"/>
        <v>33</v>
      </c>
      <c r="AK14" s="3">
        <f t="shared" si="18"/>
        <v>20</v>
      </c>
      <c r="AP14" s="1">
        <v>43934</v>
      </c>
      <c r="AQ14" s="3">
        <f t="shared" si="19"/>
        <v>458</v>
      </c>
      <c r="AR14" s="3">
        <f t="shared" si="20"/>
        <v>121</v>
      </c>
      <c r="AS14" s="3">
        <f t="shared" si="21"/>
        <v>118</v>
      </c>
      <c r="AT14" s="3">
        <f t="shared" si="22"/>
        <v>63</v>
      </c>
      <c r="AU14" s="3">
        <f t="shared" si="23"/>
        <v>115</v>
      </c>
      <c r="AZ14" s="1">
        <v>43934</v>
      </c>
      <c r="BA14" s="3">
        <f t="shared" si="24"/>
        <v>234</v>
      </c>
      <c r="BB14" s="3">
        <f t="shared" si="25"/>
        <v>43</v>
      </c>
      <c r="BC14" s="3">
        <f t="shared" si="26"/>
        <v>130</v>
      </c>
      <c r="BD14" s="3">
        <f t="shared" si="27"/>
        <v>45</v>
      </c>
      <c r="BE14" s="3">
        <f t="shared" si="28"/>
        <v>6</v>
      </c>
    </row>
    <row r="15" spans="1:57" x14ac:dyDescent="0.2">
      <c r="B15" s="1">
        <v>43935</v>
      </c>
      <c r="C15" s="3">
        <f t="shared" si="0"/>
        <v>148</v>
      </c>
      <c r="D15" s="3">
        <f t="shared" si="29"/>
        <v>103</v>
      </c>
      <c r="E15" s="3">
        <f t="shared" si="30"/>
        <v>892</v>
      </c>
      <c r="F15" s="3">
        <f t="shared" si="2"/>
        <v>74</v>
      </c>
      <c r="G15" s="3">
        <f t="shared" si="3"/>
        <v>819</v>
      </c>
      <c r="L15" s="1">
        <v>43935</v>
      </c>
      <c r="M15" s="3">
        <f t="shared" si="4"/>
        <v>334</v>
      </c>
      <c r="N15" s="3">
        <f t="shared" si="5"/>
        <v>363</v>
      </c>
      <c r="O15" s="3">
        <f t="shared" si="6"/>
        <v>578</v>
      </c>
      <c r="P15" s="3">
        <f t="shared" si="7"/>
        <v>629</v>
      </c>
      <c r="Q15" s="3">
        <f t="shared" si="8"/>
        <v>488</v>
      </c>
      <c r="V15" s="1">
        <v>43935</v>
      </c>
      <c r="W15" s="3">
        <f t="shared" si="9"/>
        <v>293</v>
      </c>
      <c r="X15" s="3">
        <f t="shared" si="10"/>
        <v>271</v>
      </c>
      <c r="Y15" s="3">
        <f t="shared" si="11"/>
        <v>181</v>
      </c>
      <c r="Z15" s="3">
        <f t="shared" si="12"/>
        <v>131</v>
      </c>
      <c r="AA15" s="3">
        <f t="shared" si="13"/>
        <v>118</v>
      </c>
      <c r="AF15" s="1">
        <v>43935</v>
      </c>
      <c r="AG15" s="3">
        <f t="shared" si="14"/>
        <v>561</v>
      </c>
      <c r="AH15" s="3">
        <f t="shared" si="15"/>
        <v>291</v>
      </c>
      <c r="AI15" s="3">
        <f t="shared" si="16"/>
        <v>202</v>
      </c>
      <c r="AJ15" s="3">
        <f t="shared" si="17"/>
        <v>42</v>
      </c>
      <c r="AK15" s="3">
        <f t="shared" si="18"/>
        <v>36</v>
      </c>
      <c r="AP15" s="1">
        <v>43935</v>
      </c>
      <c r="AQ15" s="3">
        <f t="shared" si="19"/>
        <v>311</v>
      </c>
      <c r="AR15" s="3">
        <f t="shared" si="20"/>
        <v>69</v>
      </c>
      <c r="AS15" s="3">
        <f t="shared" si="21"/>
        <v>94</v>
      </c>
      <c r="AT15" s="3">
        <f t="shared" si="22"/>
        <v>56</v>
      </c>
      <c r="AU15" s="3">
        <f t="shared" si="23"/>
        <v>97</v>
      </c>
      <c r="AZ15" s="1">
        <v>43935</v>
      </c>
      <c r="BA15" s="3">
        <f t="shared" si="24"/>
        <v>581</v>
      </c>
      <c r="BB15" s="3">
        <f t="shared" si="25"/>
        <v>83</v>
      </c>
      <c r="BC15" s="3">
        <f t="shared" si="26"/>
        <v>7</v>
      </c>
      <c r="BD15" s="3">
        <f t="shared" si="27"/>
        <v>0</v>
      </c>
      <c r="BE15" s="3">
        <f t="shared" si="28"/>
        <v>16</v>
      </c>
    </row>
    <row r="16" spans="1:57" x14ac:dyDescent="0.2">
      <c r="B16" s="1">
        <v>43936</v>
      </c>
      <c r="C16" s="3">
        <f t="shared" si="0"/>
        <v>3149</v>
      </c>
      <c r="D16" s="3">
        <f t="shared" si="29"/>
        <v>3831</v>
      </c>
      <c r="E16" s="3">
        <f t="shared" si="30"/>
        <v>1465</v>
      </c>
      <c r="F16" s="3">
        <f t="shared" si="2"/>
        <v>1161</v>
      </c>
      <c r="G16" s="3">
        <f t="shared" si="3"/>
        <v>816</v>
      </c>
      <c r="L16" s="1">
        <v>43936</v>
      </c>
      <c r="M16" s="3">
        <f t="shared" si="4"/>
        <v>422</v>
      </c>
      <c r="N16" s="3">
        <f t="shared" si="5"/>
        <v>269</v>
      </c>
      <c r="O16" s="3">
        <f t="shared" si="6"/>
        <v>367</v>
      </c>
      <c r="P16" s="3">
        <f t="shared" si="7"/>
        <v>173</v>
      </c>
      <c r="Q16" s="3">
        <f t="shared" si="8"/>
        <v>312</v>
      </c>
      <c r="V16" s="1">
        <v>43936</v>
      </c>
      <c r="W16" s="3">
        <f t="shared" si="9"/>
        <v>407</v>
      </c>
      <c r="X16" s="3">
        <f t="shared" si="10"/>
        <v>427</v>
      </c>
      <c r="Y16" s="3">
        <f t="shared" si="11"/>
        <v>300</v>
      </c>
      <c r="Z16" s="3">
        <f t="shared" si="12"/>
        <v>153</v>
      </c>
      <c r="AA16" s="3">
        <f t="shared" si="13"/>
        <v>104</v>
      </c>
      <c r="AF16" s="1">
        <v>43936</v>
      </c>
      <c r="AG16" s="3">
        <f t="shared" si="14"/>
        <v>335</v>
      </c>
      <c r="AH16" s="3">
        <f t="shared" si="15"/>
        <v>212</v>
      </c>
      <c r="AI16" s="3">
        <f t="shared" si="16"/>
        <v>172</v>
      </c>
      <c r="AJ16" s="3">
        <f t="shared" si="17"/>
        <v>54</v>
      </c>
      <c r="AK16" s="3">
        <f t="shared" si="18"/>
        <v>26</v>
      </c>
      <c r="AP16" s="1">
        <v>43936</v>
      </c>
      <c r="AQ16" s="3">
        <f t="shared" si="19"/>
        <v>320</v>
      </c>
      <c r="AR16" s="3">
        <f t="shared" si="20"/>
        <v>121</v>
      </c>
      <c r="AS16" s="3">
        <f t="shared" si="21"/>
        <v>129</v>
      </c>
      <c r="AT16" s="3">
        <f t="shared" si="22"/>
        <v>119</v>
      </c>
      <c r="AU16" s="3">
        <f t="shared" si="23"/>
        <v>88</v>
      </c>
      <c r="AZ16" s="1">
        <v>43936</v>
      </c>
      <c r="BA16" s="3">
        <f t="shared" si="24"/>
        <v>468</v>
      </c>
      <c r="BB16" s="3">
        <f t="shared" si="25"/>
        <v>82</v>
      </c>
      <c r="BC16" s="3">
        <f t="shared" si="26"/>
        <v>256</v>
      </c>
      <c r="BD16" s="3">
        <f t="shared" si="27"/>
        <v>127</v>
      </c>
      <c r="BE16" s="3">
        <f t="shared" si="28"/>
        <v>77</v>
      </c>
    </row>
    <row r="17" spans="2:57" x14ac:dyDescent="0.2">
      <c r="B17" s="2">
        <v>43937</v>
      </c>
      <c r="C17" s="3">
        <f t="shared" si="0"/>
        <v>1153</v>
      </c>
      <c r="D17" s="3">
        <f t="shared" si="29"/>
        <v>1552</v>
      </c>
      <c r="E17" s="3">
        <f t="shared" si="30"/>
        <v>1057</v>
      </c>
      <c r="F17" s="3">
        <f t="shared" si="2"/>
        <v>1051</v>
      </c>
      <c r="G17" s="3">
        <f t="shared" si="3"/>
        <v>904</v>
      </c>
      <c r="L17" s="2">
        <v>43937</v>
      </c>
      <c r="M17" s="3">
        <f t="shared" si="4"/>
        <v>561</v>
      </c>
      <c r="N17" s="3">
        <f t="shared" si="5"/>
        <v>654</v>
      </c>
      <c r="O17" s="3">
        <v>505</v>
      </c>
      <c r="P17" s="3">
        <f t="shared" si="7"/>
        <v>466</v>
      </c>
      <c r="Q17" s="3">
        <f t="shared" si="8"/>
        <v>567</v>
      </c>
      <c r="V17" s="2">
        <v>43937</v>
      </c>
      <c r="W17" s="3">
        <f t="shared" si="9"/>
        <v>541</v>
      </c>
      <c r="X17" s="3">
        <f t="shared" si="10"/>
        <v>525</v>
      </c>
      <c r="Y17" s="3">
        <f t="shared" si="11"/>
        <v>351</v>
      </c>
      <c r="Z17" s="3">
        <f t="shared" si="12"/>
        <v>220</v>
      </c>
      <c r="AA17" s="3">
        <f t="shared" si="13"/>
        <v>153</v>
      </c>
      <c r="AF17" s="2">
        <v>43937</v>
      </c>
      <c r="AG17" s="3">
        <f t="shared" si="14"/>
        <v>458</v>
      </c>
      <c r="AH17" s="3">
        <f t="shared" si="15"/>
        <v>202</v>
      </c>
      <c r="AI17" s="3">
        <f t="shared" si="16"/>
        <v>200</v>
      </c>
      <c r="AJ17" s="3">
        <f t="shared" si="17"/>
        <v>63</v>
      </c>
      <c r="AK17" s="3">
        <f t="shared" si="18"/>
        <v>28</v>
      </c>
      <c r="AP17" s="2">
        <v>43937</v>
      </c>
      <c r="AQ17" s="3">
        <f t="shared" si="19"/>
        <v>243</v>
      </c>
      <c r="AR17" s="3">
        <f t="shared" si="20"/>
        <v>69</v>
      </c>
      <c r="AS17" s="3">
        <f t="shared" si="21"/>
        <v>64</v>
      </c>
      <c r="AT17" s="3">
        <f t="shared" si="22"/>
        <v>77</v>
      </c>
      <c r="AU17" s="3">
        <f t="shared" si="23"/>
        <v>84</v>
      </c>
      <c r="AZ17" s="2">
        <v>43937</v>
      </c>
      <c r="BA17" s="3">
        <f t="shared" si="24"/>
        <v>370</v>
      </c>
      <c r="BB17" s="3">
        <f t="shared" si="25"/>
        <v>75</v>
      </c>
      <c r="BC17" s="3">
        <f t="shared" si="26"/>
        <v>190</v>
      </c>
      <c r="BD17" s="3">
        <f t="shared" si="27"/>
        <v>40</v>
      </c>
      <c r="BE17" s="3">
        <f t="shared" si="28"/>
        <v>49</v>
      </c>
    </row>
    <row r="18" spans="2:57" x14ac:dyDescent="0.2">
      <c r="B18" s="1">
        <v>43938</v>
      </c>
      <c r="C18" s="3">
        <f t="shared" si="0"/>
        <v>1173</v>
      </c>
      <c r="D18" s="3">
        <f t="shared" si="29"/>
        <v>1184</v>
      </c>
      <c r="E18" s="3">
        <f t="shared" si="30"/>
        <v>767</v>
      </c>
      <c r="F18" s="3">
        <f t="shared" si="2"/>
        <v>1376</v>
      </c>
      <c r="G18" s="3">
        <f t="shared" si="3"/>
        <v>853</v>
      </c>
      <c r="L18" s="1">
        <v>43938</v>
      </c>
      <c r="M18" s="3">
        <f t="shared" si="4"/>
        <v>454</v>
      </c>
      <c r="N18" s="3">
        <f t="shared" si="5"/>
        <v>471</v>
      </c>
      <c r="O18" s="3">
        <v>588</v>
      </c>
      <c r="P18" s="3">
        <f t="shared" si="7"/>
        <v>525</v>
      </c>
      <c r="Q18" s="3">
        <f t="shared" si="8"/>
        <v>287</v>
      </c>
      <c r="V18" s="1">
        <v>43938</v>
      </c>
      <c r="W18" s="3">
        <f t="shared" si="9"/>
        <v>452</v>
      </c>
      <c r="X18" s="3">
        <f t="shared" si="10"/>
        <v>538</v>
      </c>
      <c r="Y18" s="3">
        <f t="shared" si="11"/>
        <v>339</v>
      </c>
      <c r="Z18" s="3">
        <f t="shared" si="12"/>
        <v>157</v>
      </c>
      <c r="AA18" s="3">
        <f t="shared" si="13"/>
        <v>262</v>
      </c>
      <c r="AF18" s="1">
        <v>43938</v>
      </c>
      <c r="AG18" s="3">
        <f t="shared" si="14"/>
        <v>231</v>
      </c>
      <c r="AH18" s="3">
        <f t="shared" si="15"/>
        <v>123</v>
      </c>
      <c r="AI18" s="3">
        <f t="shared" si="16"/>
        <v>153</v>
      </c>
      <c r="AJ18" s="3">
        <f t="shared" si="17"/>
        <v>50</v>
      </c>
      <c r="AK18" s="3">
        <f t="shared" si="18"/>
        <v>29</v>
      </c>
      <c r="AP18" s="1">
        <v>43938</v>
      </c>
      <c r="AQ18" s="3">
        <f t="shared" si="19"/>
        <v>879</v>
      </c>
      <c r="AR18" s="3">
        <f t="shared" si="20"/>
        <v>140</v>
      </c>
      <c r="AS18" s="3">
        <f t="shared" si="21"/>
        <v>282</v>
      </c>
      <c r="AT18" s="3">
        <f t="shared" si="22"/>
        <v>93</v>
      </c>
      <c r="AU18" s="3">
        <f t="shared" si="23"/>
        <v>118</v>
      </c>
      <c r="AZ18" s="1">
        <v>43938</v>
      </c>
      <c r="BA18" s="3">
        <f t="shared" si="24"/>
        <v>568</v>
      </c>
      <c r="BB18" s="3">
        <f t="shared" si="25"/>
        <v>71</v>
      </c>
      <c r="BC18" s="3">
        <f t="shared" si="26"/>
        <v>167</v>
      </c>
      <c r="BD18" s="3">
        <f t="shared" si="27"/>
        <v>37</v>
      </c>
      <c r="BE18" s="3">
        <f t="shared" si="28"/>
        <v>76</v>
      </c>
    </row>
    <row r="19" spans="2:57" x14ac:dyDescent="0.2">
      <c r="B19" s="1">
        <v>43939</v>
      </c>
      <c r="C19" s="3">
        <f t="shared" si="0"/>
        <v>1125</v>
      </c>
      <c r="D19" s="3">
        <f t="shared" si="29"/>
        <v>1058</v>
      </c>
      <c r="E19" s="3">
        <f t="shared" si="30"/>
        <v>641</v>
      </c>
      <c r="F19" s="3">
        <f t="shared" si="2"/>
        <v>1002</v>
      </c>
      <c r="G19" s="3">
        <f t="shared" si="3"/>
        <v>1108</v>
      </c>
      <c r="L19" s="1">
        <v>43939</v>
      </c>
      <c r="M19" s="3">
        <f t="shared" si="4"/>
        <v>300</v>
      </c>
      <c r="N19" s="3">
        <f t="shared" si="5"/>
        <v>320</v>
      </c>
      <c r="O19" s="3">
        <v>229</v>
      </c>
      <c r="P19" s="3">
        <f t="shared" si="7"/>
        <v>530</v>
      </c>
      <c r="Q19" s="3">
        <f t="shared" si="8"/>
        <v>332</v>
      </c>
      <c r="V19" s="1">
        <v>43939</v>
      </c>
      <c r="W19" s="3">
        <f t="shared" si="9"/>
        <v>424</v>
      </c>
      <c r="X19" s="3">
        <f t="shared" si="10"/>
        <v>553</v>
      </c>
      <c r="Y19" s="3">
        <f t="shared" si="11"/>
        <v>330</v>
      </c>
      <c r="Z19" s="3">
        <f t="shared" si="12"/>
        <v>160</v>
      </c>
      <c r="AA19" s="3">
        <f t="shared" si="13"/>
        <v>187</v>
      </c>
      <c r="AF19" s="1">
        <v>43939</v>
      </c>
      <c r="AG19" s="3">
        <f t="shared" si="14"/>
        <v>238</v>
      </c>
      <c r="AH19" s="3">
        <f t="shared" si="15"/>
        <v>120</v>
      </c>
      <c r="AI19" s="3">
        <f t="shared" si="16"/>
        <v>106</v>
      </c>
      <c r="AJ19" s="3">
        <f t="shared" si="17"/>
        <v>31</v>
      </c>
      <c r="AK19" s="3">
        <f t="shared" si="18"/>
        <v>15</v>
      </c>
      <c r="AP19" s="1">
        <v>43939</v>
      </c>
      <c r="AQ19" s="3"/>
      <c r="AR19" s="3">
        <f t="shared" ref="AR19:AR56" si="31">SUM(Z175-Z174)</f>
        <v>97</v>
      </c>
      <c r="AS19" s="3">
        <f t="shared" ref="AS19:AS56" si="32">SUM(AA175-AA174)</f>
        <v>91</v>
      </c>
      <c r="AT19" s="3">
        <f t="shared" ref="AT19:AT56" si="33">SUM(AD175-AD174)</f>
        <v>49</v>
      </c>
      <c r="AU19" s="3">
        <f t="shared" ref="AU19:AU56" si="34">SUM(AE175-AE174)</f>
        <v>211</v>
      </c>
      <c r="AZ19" s="1">
        <v>43939</v>
      </c>
      <c r="BA19" s="3">
        <f t="shared" ref="BA19:BC25" si="35">SUM(AF172-AF171)</f>
        <v>630</v>
      </c>
      <c r="BB19" s="3">
        <f t="shared" si="35"/>
        <v>55</v>
      </c>
      <c r="BC19" s="3">
        <f t="shared" si="35"/>
        <v>177</v>
      </c>
      <c r="BD19" s="3"/>
      <c r="BE19" s="3">
        <v>55</v>
      </c>
    </row>
    <row r="20" spans="2:57" x14ac:dyDescent="0.2">
      <c r="B20" s="2">
        <v>43940</v>
      </c>
      <c r="C20" s="3"/>
      <c r="D20" s="3"/>
      <c r="E20" s="3">
        <f t="shared" si="30"/>
        <v>833</v>
      </c>
      <c r="F20" s="3">
        <f t="shared" si="2"/>
        <v>859</v>
      </c>
      <c r="G20" s="3">
        <f t="shared" si="3"/>
        <v>745</v>
      </c>
      <c r="L20" s="2">
        <v>43940</v>
      </c>
      <c r="M20" s="3">
        <f t="shared" si="4"/>
        <v>476</v>
      </c>
      <c r="N20" s="3">
        <f t="shared" si="5"/>
        <v>530</v>
      </c>
      <c r="O20" s="3">
        <v>403</v>
      </c>
      <c r="P20" s="3">
        <f t="shared" si="7"/>
        <v>650</v>
      </c>
      <c r="Q20" s="3">
        <f t="shared" si="8"/>
        <v>352</v>
      </c>
      <c r="V20" s="2">
        <v>43940</v>
      </c>
      <c r="W20" s="3">
        <f t="shared" si="9"/>
        <v>378</v>
      </c>
      <c r="X20" s="3">
        <f t="shared" si="10"/>
        <v>440</v>
      </c>
      <c r="Y20" s="3">
        <f t="shared" si="11"/>
        <v>239</v>
      </c>
      <c r="Z20" s="3">
        <f t="shared" si="12"/>
        <v>130</v>
      </c>
      <c r="AA20" s="3">
        <f t="shared" si="13"/>
        <v>117</v>
      </c>
      <c r="AF20" s="2">
        <v>43940</v>
      </c>
      <c r="AG20" s="3">
        <f t="shared" si="14"/>
        <v>221</v>
      </c>
      <c r="AH20" s="3">
        <f t="shared" si="15"/>
        <v>88</v>
      </c>
      <c r="AI20" s="3">
        <f t="shared" si="16"/>
        <v>109</v>
      </c>
      <c r="AJ20" s="3">
        <f t="shared" si="17"/>
        <v>12</v>
      </c>
      <c r="AK20" s="3">
        <f t="shared" si="18"/>
        <v>0</v>
      </c>
      <c r="AP20" s="2">
        <v>43940</v>
      </c>
      <c r="AQ20" s="3">
        <v>651</v>
      </c>
      <c r="AR20" s="3">
        <f t="shared" si="31"/>
        <v>132</v>
      </c>
      <c r="AS20" s="3">
        <f t="shared" si="32"/>
        <v>88</v>
      </c>
      <c r="AT20" s="3">
        <f t="shared" si="33"/>
        <v>62</v>
      </c>
      <c r="AU20" s="3">
        <f t="shared" si="34"/>
        <v>150</v>
      </c>
      <c r="AZ20" s="2">
        <v>43940</v>
      </c>
      <c r="BA20" s="3">
        <f t="shared" si="35"/>
        <v>315</v>
      </c>
      <c r="BB20" s="3">
        <f t="shared" si="35"/>
        <v>55</v>
      </c>
      <c r="BC20" s="3">
        <f t="shared" si="35"/>
        <v>59</v>
      </c>
      <c r="BD20" s="3"/>
      <c r="BE20" s="3">
        <v>35</v>
      </c>
    </row>
    <row r="21" spans="2:57" x14ac:dyDescent="0.2">
      <c r="B21" s="1">
        <v>43941</v>
      </c>
      <c r="C21" s="3"/>
      <c r="D21" s="3"/>
      <c r="E21" s="3">
        <f t="shared" si="30"/>
        <v>664</v>
      </c>
      <c r="F21" s="3">
        <f t="shared" si="2"/>
        <v>497</v>
      </c>
      <c r="G21" s="3">
        <f t="shared" si="3"/>
        <v>774</v>
      </c>
      <c r="L21" s="1">
        <v>43941</v>
      </c>
      <c r="M21" s="3">
        <f t="shared" si="4"/>
        <v>372</v>
      </c>
      <c r="N21" s="3">
        <f t="shared" si="5"/>
        <v>664</v>
      </c>
      <c r="O21" s="3">
        <v>425</v>
      </c>
      <c r="P21" s="3">
        <f t="shared" si="7"/>
        <v>363</v>
      </c>
      <c r="Q21" s="3">
        <f t="shared" si="8"/>
        <v>191</v>
      </c>
      <c r="V21" s="1">
        <v>43941</v>
      </c>
      <c r="W21" s="3">
        <f t="shared" si="9"/>
        <v>240</v>
      </c>
      <c r="X21" s="3">
        <f t="shared" si="10"/>
        <v>516</v>
      </c>
      <c r="Y21" s="3">
        <f t="shared" si="11"/>
        <v>143</v>
      </c>
      <c r="Z21" s="3">
        <f t="shared" si="12"/>
        <v>171</v>
      </c>
      <c r="AA21" s="3">
        <f t="shared" si="13"/>
        <v>110</v>
      </c>
      <c r="AF21" s="1">
        <v>43941</v>
      </c>
      <c r="AG21" s="3">
        <f t="shared" si="14"/>
        <v>220</v>
      </c>
      <c r="AH21" s="3">
        <f t="shared" si="15"/>
        <v>69</v>
      </c>
      <c r="AI21" s="3">
        <f t="shared" si="16"/>
        <v>65</v>
      </c>
      <c r="AJ21" s="3">
        <f t="shared" si="17"/>
        <v>16</v>
      </c>
      <c r="AK21" s="3">
        <f t="shared" si="18"/>
        <v>8</v>
      </c>
      <c r="AP21" s="1">
        <v>43941</v>
      </c>
      <c r="AQ21" s="3"/>
      <c r="AR21" s="3">
        <f t="shared" si="31"/>
        <v>127</v>
      </c>
      <c r="AS21" s="3">
        <f t="shared" si="32"/>
        <v>24</v>
      </c>
      <c r="AT21" s="3">
        <f t="shared" si="33"/>
        <v>42</v>
      </c>
      <c r="AU21" s="3">
        <f t="shared" si="34"/>
        <v>47</v>
      </c>
      <c r="AZ21" s="1">
        <v>43941</v>
      </c>
      <c r="BA21" s="3">
        <f t="shared" si="35"/>
        <v>1488</v>
      </c>
      <c r="BB21" s="3">
        <f t="shared" si="35"/>
        <v>57</v>
      </c>
      <c r="BC21" s="3">
        <f t="shared" si="35"/>
        <v>161</v>
      </c>
      <c r="BD21" s="3">
        <f t="shared" ref="BD21:BD56" si="36">SUM(AI174-AI173)</f>
        <v>42</v>
      </c>
      <c r="BE21" s="3">
        <v>88</v>
      </c>
    </row>
    <row r="22" spans="2:57" x14ac:dyDescent="0.2">
      <c r="B22" s="1">
        <v>43942</v>
      </c>
      <c r="C22" s="3">
        <f t="shared" ref="C22:C36" si="37">SUM(A178-A177)</f>
        <v>799</v>
      </c>
      <c r="D22" s="3">
        <f t="shared" ref="D22:D36" si="38">SUM(B171-B170)</f>
        <v>664</v>
      </c>
      <c r="E22" s="3">
        <f t="shared" si="30"/>
        <v>402</v>
      </c>
      <c r="F22" s="3">
        <f t="shared" si="2"/>
        <v>617</v>
      </c>
      <c r="G22" s="3">
        <f t="shared" si="3"/>
        <v>492</v>
      </c>
      <c r="L22" s="1">
        <v>43942</v>
      </c>
      <c r="M22" s="3">
        <f t="shared" si="4"/>
        <v>345</v>
      </c>
      <c r="N22" s="3">
        <f t="shared" si="5"/>
        <v>486</v>
      </c>
      <c r="O22" s="3">
        <f t="shared" ref="O22:O56" si="39">SUM(J153-J152)</f>
        <v>399</v>
      </c>
      <c r="P22" s="3">
        <f t="shared" si="7"/>
        <v>317</v>
      </c>
      <c r="Q22" s="3">
        <f t="shared" si="8"/>
        <v>462</v>
      </c>
      <c r="V22" s="1">
        <v>43942</v>
      </c>
      <c r="W22" s="3">
        <f t="shared" si="9"/>
        <v>355</v>
      </c>
      <c r="X22" s="3">
        <f t="shared" si="10"/>
        <v>368</v>
      </c>
      <c r="Y22" s="3">
        <f t="shared" si="11"/>
        <v>225</v>
      </c>
      <c r="Z22" s="3">
        <f t="shared" si="12"/>
        <v>102</v>
      </c>
      <c r="AA22" s="3">
        <f t="shared" si="13"/>
        <v>162</v>
      </c>
      <c r="AF22" s="1">
        <v>43942</v>
      </c>
      <c r="AG22" s="3">
        <f t="shared" si="14"/>
        <v>343</v>
      </c>
      <c r="AH22" s="3">
        <f t="shared" si="15"/>
        <v>128</v>
      </c>
      <c r="AI22" s="3">
        <f t="shared" si="16"/>
        <v>119</v>
      </c>
      <c r="AJ22" s="3">
        <f t="shared" si="17"/>
        <v>42</v>
      </c>
      <c r="AK22" s="3">
        <f t="shared" si="18"/>
        <v>22</v>
      </c>
      <c r="AP22" s="1">
        <v>43942</v>
      </c>
      <c r="AQ22" s="3"/>
      <c r="AR22" s="3">
        <f t="shared" si="31"/>
        <v>114</v>
      </c>
      <c r="AS22" s="3">
        <f t="shared" si="32"/>
        <v>170</v>
      </c>
      <c r="AT22" s="3">
        <f t="shared" si="33"/>
        <v>50</v>
      </c>
      <c r="AU22" s="3">
        <f t="shared" si="34"/>
        <v>43</v>
      </c>
      <c r="AZ22" s="1">
        <v>43942</v>
      </c>
      <c r="BA22" s="3">
        <f t="shared" si="35"/>
        <v>1309</v>
      </c>
      <c r="BB22" s="3">
        <f t="shared" si="35"/>
        <v>109</v>
      </c>
      <c r="BC22" s="3">
        <f t="shared" si="35"/>
        <v>154</v>
      </c>
      <c r="BD22" s="3">
        <f t="shared" si="36"/>
        <v>23</v>
      </c>
      <c r="BE22" s="3">
        <f t="shared" ref="BE22:BE56" si="40">SUM(AJ175-AJ174)</f>
        <v>38</v>
      </c>
    </row>
    <row r="23" spans="2:57" x14ac:dyDescent="0.2">
      <c r="B23" s="1">
        <v>43943</v>
      </c>
      <c r="C23" s="3">
        <f t="shared" si="37"/>
        <v>891</v>
      </c>
      <c r="D23" s="3">
        <f t="shared" si="38"/>
        <v>787</v>
      </c>
      <c r="E23" s="3">
        <f t="shared" si="30"/>
        <v>476</v>
      </c>
      <c r="F23" s="3">
        <f t="shared" si="2"/>
        <v>879</v>
      </c>
      <c r="G23" s="3">
        <f t="shared" si="3"/>
        <v>700</v>
      </c>
      <c r="L23" s="1">
        <v>43943</v>
      </c>
      <c r="M23" s="3">
        <f t="shared" si="4"/>
        <v>330</v>
      </c>
      <c r="N23" s="3">
        <f t="shared" si="5"/>
        <v>403</v>
      </c>
      <c r="O23" s="3">
        <f t="shared" si="39"/>
        <v>259</v>
      </c>
      <c r="P23" s="3">
        <f t="shared" si="7"/>
        <v>195</v>
      </c>
      <c r="Q23" s="3">
        <f t="shared" si="8"/>
        <v>451</v>
      </c>
      <c r="V23" s="1">
        <v>43943</v>
      </c>
      <c r="W23" s="3">
        <f t="shared" si="9"/>
        <v>391</v>
      </c>
      <c r="X23" s="3">
        <f t="shared" si="10"/>
        <v>473</v>
      </c>
      <c r="Y23" s="3">
        <f t="shared" si="11"/>
        <v>262</v>
      </c>
      <c r="Z23" s="3">
        <f t="shared" si="12"/>
        <v>150</v>
      </c>
      <c r="AA23" s="3">
        <f t="shared" si="13"/>
        <v>115</v>
      </c>
      <c r="AF23" s="1">
        <v>43943</v>
      </c>
      <c r="AG23" s="3">
        <v>306</v>
      </c>
      <c r="AH23" s="3">
        <f t="shared" ref="AH23:AK26" si="41">SUM(U167-U166)</f>
        <v>157</v>
      </c>
      <c r="AI23" s="3">
        <f t="shared" si="41"/>
        <v>84</v>
      </c>
      <c r="AJ23" s="3">
        <f t="shared" si="41"/>
        <v>64</v>
      </c>
      <c r="AK23" s="3">
        <f t="shared" si="41"/>
        <v>12</v>
      </c>
      <c r="AP23" s="1">
        <v>43943</v>
      </c>
      <c r="AQ23" s="3">
        <f t="shared" ref="AQ23:AQ34" si="42">SUM(Y179-Y178)</f>
        <v>305</v>
      </c>
      <c r="AR23" s="3">
        <f t="shared" si="31"/>
        <v>140</v>
      </c>
      <c r="AS23" s="3">
        <f t="shared" si="32"/>
        <v>103</v>
      </c>
      <c r="AT23" s="3">
        <f t="shared" si="33"/>
        <v>79</v>
      </c>
      <c r="AU23" s="3">
        <f t="shared" si="34"/>
        <v>81</v>
      </c>
      <c r="AZ23" s="1">
        <v>43943</v>
      </c>
      <c r="BA23" s="3">
        <f t="shared" si="35"/>
        <v>1304</v>
      </c>
      <c r="BB23" s="3">
        <f t="shared" si="35"/>
        <v>57</v>
      </c>
      <c r="BC23" s="3">
        <f t="shared" si="35"/>
        <v>191</v>
      </c>
      <c r="BD23" s="3">
        <f t="shared" si="36"/>
        <v>26</v>
      </c>
      <c r="BE23" s="3">
        <f t="shared" si="40"/>
        <v>68</v>
      </c>
    </row>
    <row r="24" spans="2:57" x14ac:dyDescent="0.2">
      <c r="B24" s="1">
        <v>43944</v>
      </c>
      <c r="C24" s="3">
        <f t="shared" si="37"/>
        <v>1191</v>
      </c>
      <c r="D24" s="3">
        <f t="shared" si="38"/>
        <v>873</v>
      </c>
      <c r="E24" s="3">
        <f t="shared" si="30"/>
        <v>569</v>
      </c>
      <c r="F24" s="3">
        <f t="shared" si="2"/>
        <v>791</v>
      </c>
      <c r="G24" s="3">
        <f t="shared" si="3"/>
        <v>713</v>
      </c>
      <c r="L24" s="1">
        <v>43944</v>
      </c>
      <c r="M24" s="3">
        <f t="shared" si="4"/>
        <v>363</v>
      </c>
      <c r="N24" s="3">
        <f t="shared" si="5"/>
        <v>606</v>
      </c>
      <c r="O24" s="3">
        <f t="shared" si="39"/>
        <v>424</v>
      </c>
      <c r="P24" s="3">
        <f t="shared" si="7"/>
        <v>451</v>
      </c>
      <c r="Q24" s="3">
        <f t="shared" si="8"/>
        <v>482</v>
      </c>
      <c r="V24" s="1">
        <v>43944</v>
      </c>
      <c r="W24" s="3">
        <f t="shared" si="9"/>
        <v>679</v>
      </c>
      <c r="X24" s="3">
        <f t="shared" si="10"/>
        <v>630</v>
      </c>
      <c r="Y24" s="3">
        <f t="shared" si="11"/>
        <v>436</v>
      </c>
      <c r="Z24" s="3">
        <f t="shared" si="12"/>
        <v>329</v>
      </c>
      <c r="AA24" s="3">
        <f t="shared" si="13"/>
        <v>342</v>
      </c>
      <c r="AF24" s="1">
        <v>43944</v>
      </c>
      <c r="AG24" s="3">
        <v>433</v>
      </c>
      <c r="AH24" s="3">
        <f t="shared" si="41"/>
        <v>171</v>
      </c>
      <c r="AI24" s="3">
        <f t="shared" si="41"/>
        <v>234</v>
      </c>
      <c r="AJ24" s="3">
        <f t="shared" si="41"/>
        <v>25</v>
      </c>
      <c r="AK24" s="3">
        <f t="shared" si="41"/>
        <v>48</v>
      </c>
      <c r="AP24" s="1">
        <v>43944</v>
      </c>
      <c r="AQ24" s="3">
        <f t="shared" si="42"/>
        <v>394</v>
      </c>
      <c r="AR24" s="3">
        <f t="shared" si="31"/>
        <v>101</v>
      </c>
      <c r="AS24" s="3">
        <f t="shared" si="32"/>
        <v>145</v>
      </c>
      <c r="AT24" s="3">
        <f t="shared" si="33"/>
        <v>44</v>
      </c>
      <c r="AU24" s="3">
        <f t="shared" si="34"/>
        <v>143</v>
      </c>
      <c r="AZ24" s="1">
        <v>43944</v>
      </c>
      <c r="BA24" s="3">
        <f t="shared" si="35"/>
        <v>1148</v>
      </c>
      <c r="BB24" s="3">
        <f t="shared" si="35"/>
        <v>152</v>
      </c>
      <c r="BC24" s="3">
        <f t="shared" si="35"/>
        <v>113</v>
      </c>
      <c r="BD24" s="3">
        <f t="shared" si="36"/>
        <v>27</v>
      </c>
      <c r="BE24" s="3">
        <f t="shared" si="40"/>
        <v>56</v>
      </c>
    </row>
    <row r="25" spans="2:57" x14ac:dyDescent="0.2">
      <c r="B25" s="1">
        <v>43945</v>
      </c>
      <c r="C25" s="3">
        <f t="shared" si="37"/>
        <v>1483</v>
      </c>
      <c r="D25" s="3">
        <f t="shared" si="38"/>
        <v>1294</v>
      </c>
      <c r="E25" s="3">
        <f t="shared" si="30"/>
        <v>641</v>
      </c>
      <c r="F25" s="3">
        <f t="shared" si="2"/>
        <v>1042</v>
      </c>
      <c r="G25" s="3">
        <f t="shared" si="3"/>
        <v>1039</v>
      </c>
      <c r="L25" s="1">
        <v>43945</v>
      </c>
      <c r="M25" s="3">
        <f t="shared" si="4"/>
        <v>314</v>
      </c>
      <c r="N25" s="3">
        <f t="shared" si="5"/>
        <v>366</v>
      </c>
      <c r="O25" s="3">
        <f t="shared" si="39"/>
        <v>299</v>
      </c>
      <c r="P25" s="3">
        <f t="shared" si="7"/>
        <v>273</v>
      </c>
      <c r="Q25" s="3">
        <f t="shared" si="8"/>
        <v>417</v>
      </c>
      <c r="V25" s="1">
        <v>43945</v>
      </c>
      <c r="W25" s="3">
        <f t="shared" si="9"/>
        <v>985</v>
      </c>
      <c r="X25" s="3">
        <f t="shared" si="10"/>
        <v>957</v>
      </c>
      <c r="Y25" s="3">
        <f t="shared" si="11"/>
        <v>622</v>
      </c>
      <c r="Z25" s="3">
        <f t="shared" si="12"/>
        <v>438</v>
      </c>
      <c r="AA25" s="3">
        <f t="shared" si="13"/>
        <v>429</v>
      </c>
      <c r="AF25" s="1">
        <v>43945</v>
      </c>
      <c r="AG25" s="3">
        <v>413</v>
      </c>
      <c r="AH25" s="3">
        <f t="shared" si="41"/>
        <v>170</v>
      </c>
      <c r="AI25" s="3">
        <f t="shared" si="41"/>
        <v>160</v>
      </c>
      <c r="AJ25" s="3">
        <f t="shared" si="41"/>
        <v>47</v>
      </c>
      <c r="AK25" s="3">
        <f t="shared" si="41"/>
        <v>14</v>
      </c>
      <c r="AP25" s="1">
        <v>43945</v>
      </c>
      <c r="AQ25" s="3">
        <f t="shared" si="42"/>
        <v>417</v>
      </c>
      <c r="AR25" s="3">
        <f t="shared" si="31"/>
        <v>130</v>
      </c>
      <c r="AS25" s="3">
        <f t="shared" si="32"/>
        <v>153</v>
      </c>
      <c r="AT25" s="3">
        <f t="shared" si="33"/>
        <v>60</v>
      </c>
      <c r="AU25" s="3">
        <f t="shared" si="34"/>
        <v>127</v>
      </c>
      <c r="AZ25" s="1">
        <v>43945</v>
      </c>
      <c r="BA25" s="3">
        <f t="shared" si="35"/>
        <v>1005</v>
      </c>
      <c r="BB25" s="3">
        <f t="shared" si="35"/>
        <v>183</v>
      </c>
      <c r="BC25" s="3">
        <v>283</v>
      </c>
      <c r="BD25" s="3">
        <f t="shared" si="36"/>
        <v>30</v>
      </c>
      <c r="BE25" s="3">
        <f t="shared" si="40"/>
        <v>104</v>
      </c>
    </row>
    <row r="26" spans="2:57" x14ac:dyDescent="0.2">
      <c r="B26" s="1">
        <v>43946</v>
      </c>
      <c r="C26" s="3">
        <f t="shared" si="37"/>
        <v>1474</v>
      </c>
      <c r="D26" s="3">
        <f t="shared" si="38"/>
        <v>1012</v>
      </c>
      <c r="E26" s="3">
        <f t="shared" si="30"/>
        <v>1033</v>
      </c>
      <c r="F26" s="3">
        <f t="shared" si="2"/>
        <v>1482</v>
      </c>
      <c r="G26" s="3">
        <f t="shared" si="3"/>
        <v>762</v>
      </c>
      <c r="L26" s="1">
        <v>43946</v>
      </c>
      <c r="M26" s="3">
        <f t="shared" si="4"/>
        <v>375</v>
      </c>
      <c r="N26" s="3">
        <f t="shared" si="5"/>
        <v>356</v>
      </c>
      <c r="O26" s="3">
        <f t="shared" si="39"/>
        <v>410</v>
      </c>
      <c r="P26" s="3">
        <f t="shared" si="7"/>
        <v>315</v>
      </c>
      <c r="Q26" s="3">
        <f t="shared" si="8"/>
        <v>447</v>
      </c>
      <c r="V26" s="1">
        <v>43946</v>
      </c>
      <c r="W26" s="3">
        <f t="shared" si="9"/>
        <v>494</v>
      </c>
      <c r="X26" s="3">
        <f t="shared" si="10"/>
        <v>572</v>
      </c>
      <c r="Y26" s="3">
        <f t="shared" si="11"/>
        <v>371</v>
      </c>
      <c r="Z26" s="3">
        <f t="shared" si="12"/>
        <v>193</v>
      </c>
      <c r="AA26" s="3">
        <f t="shared" si="13"/>
        <v>233</v>
      </c>
      <c r="AF26" s="1">
        <v>43946</v>
      </c>
      <c r="AG26" s="3">
        <f t="shared" ref="AG26:AG46" si="43">SUM(T170-T169)</f>
        <v>141</v>
      </c>
      <c r="AH26" s="3">
        <f t="shared" si="41"/>
        <v>77</v>
      </c>
      <c r="AI26" s="3">
        <f t="shared" si="41"/>
        <v>117</v>
      </c>
      <c r="AJ26" s="3">
        <f t="shared" si="41"/>
        <v>18</v>
      </c>
      <c r="AK26" s="3">
        <f t="shared" si="41"/>
        <v>28</v>
      </c>
      <c r="AP26" s="1">
        <v>43946</v>
      </c>
      <c r="AQ26" s="3">
        <f t="shared" si="42"/>
        <v>386</v>
      </c>
      <c r="AR26" s="3">
        <f t="shared" si="31"/>
        <v>102</v>
      </c>
      <c r="AS26" s="3">
        <f t="shared" si="32"/>
        <v>106</v>
      </c>
      <c r="AT26" s="3">
        <f t="shared" si="33"/>
        <v>73</v>
      </c>
      <c r="AU26" s="3">
        <f t="shared" si="34"/>
        <v>67</v>
      </c>
      <c r="AZ26" s="1">
        <v>43946</v>
      </c>
      <c r="BA26" s="3">
        <f t="shared" ref="BA26:BA56" si="44">SUM(AF179-AF178)</f>
        <v>591</v>
      </c>
      <c r="BB26" s="3">
        <f t="shared" ref="BB26:BB56" si="45">SUM(AG179-AG178)</f>
        <v>117</v>
      </c>
      <c r="BC26" s="3">
        <v>97</v>
      </c>
      <c r="BD26" s="3">
        <f t="shared" si="36"/>
        <v>19</v>
      </c>
      <c r="BE26" s="3">
        <f t="shared" si="40"/>
        <v>102</v>
      </c>
    </row>
    <row r="27" spans="2:57" x14ac:dyDescent="0.2">
      <c r="B27" s="1">
        <v>43947</v>
      </c>
      <c r="C27" s="3">
        <f t="shared" si="37"/>
        <v>884</v>
      </c>
      <c r="D27" s="3">
        <f t="shared" si="38"/>
        <v>827</v>
      </c>
      <c r="E27" s="3">
        <f t="shared" si="30"/>
        <v>724</v>
      </c>
      <c r="F27" s="3">
        <f t="shared" si="2"/>
        <v>787</v>
      </c>
      <c r="G27" s="3">
        <f t="shared" si="3"/>
        <v>691</v>
      </c>
      <c r="L27" s="1">
        <v>43947</v>
      </c>
      <c r="M27" s="3">
        <f t="shared" si="4"/>
        <v>227</v>
      </c>
      <c r="N27" s="3">
        <f t="shared" si="5"/>
        <v>341</v>
      </c>
      <c r="O27" s="3">
        <f t="shared" si="39"/>
        <v>343</v>
      </c>
      <c r="P27" s="3">
        <f t="shared" si="7"/>
        <v>330</v>
      </c>
      <c r="Q27" s="3">
        <f t="shared" si="8"/>
        <v>399</v>
      </c>
      <c r="V27" s="1">
        <v>43947</v>
      </c>
      <c r="W27" s="3">
        <f t="shared" si="9"/>
        <v>325</v>
      </c>
      <c r="X27" s="3">
        <f t="shared" si="10"/>
        <v>395</v>
      </c>
      <c r="Y27" s="3">
        <f t="shared" si="11"/>
        <v>277</v>
      </c>
      <c r="Z27" s="3">
        <f t="shared" si="12"/>
        <v>116</v>
      </c>
      <c r="AA27" s="3">
        <f t="shared" si="13"/>
        <v>112</v>
      </c>
      <c r="AF27" s="1">
        <v>43947</v>
      </c>
      <c r="AG27" s="3">
        <f t="shared" si="43"/>
        <v>200</v>
      </c>
      <c r="AH27" s="3">
        <f>SUM(U171-U170)</f>
        <v>47</v>
      </c>
      <c r="AI27" s="3">
        <f>SUM(V171-V170)</f>
        <v>64</v>
      </c>
      <c r="AJ27" s="3">
        <f>SUM(W171-W170)</f>
        <v>15</v>
      </c>
      <c r="AK27" s="3"/>
      <c r="AP27" s="1">
        <v>43947</v>
      </c>
      <c r="AQ27" s="3">
        <f t="shared" si="42"/>
        <v>259</v>
      </c>
      <c r="AR27" s="3">
        <f t="shared" si="31"/>
        <v>106</v>
      </c>
      <c r="AS27" s="3">
        <f t="shared" si="32"/>
        <v>120</v>
      </c>
      <c r="AT27" s="3">
        <f t="shared" si="33"/>
        <v>50</v>
      </c>
      <c r="AU27" s="3">
        <f t="shared" si="34"/>
        <v>85</v>
      </c>
      <c r="AZ27" s="1">
        <v>43947</v>
      </c>
      <c r="BA27" s="3">
        <f t="shared" si="44"/>
        <v>426</v>
      </c>
      <c r="BB27" s="3">
        <f t="shared" si="45"/>
        <v>100</v>
      </c>
      <c r="BC27" s="3">
        <v>248</v>
      </c>
      <c r="BD27" s="3">
        <f t="shared" si="36"/>
        <v>52</v>
      </c>
      <c r="BE27" s="3">
        <f t="shared" si="40"/>
        <v>77</v>
      </c>
    </row>
    <row r="28" spans="2:57" x14ac:dyDescent="0.2">
      <c r="B28" s="1">
        <v>43948</v>
      </c>
      <c r="C28" s="3">
        <f t="shared" si="37"/>
        <v>654</v>
      </c>
      <c r="D28" s="3">
        <f t="shared" si="38"/>
        <v>527</v>
      </c>
      <c r="E28" s="3">
        <f t="shared" si="30"/>
        <v>343</v>
      </c>
      <c r="F28" s="3">
        <f t="shared" si="2"/>
        <v>586</v>
      </c>
      <c r="G28" s="3">
        <f t="shared" si="3"/>
        <v>411</v>
      </c>
      <c r="L28" s="1">
        <v>43948</v>
      </c>
      <c r="M28" s="3">
        <f t="shared" si="4"/>
        <v>139</v>
      </c>
      <c r="N28" s="3">
        <f t="shared" si="5"/>
        <v>217</v>
      </c>
      <c r="O28" s="3">
        <f t="shared" si="39"/>
        <v>184</v>
      </c>
      <c r="P28" s="3">
        <f t="shared" si="7"/>
        <v>158</v>
      </c>
      <c r="Q28" s="3">
        <f t="shared" si="8"/>
        <v>212</v>
      </c>
      <c r="V28" s="1">
        <v>43948</v>
      </c>
      <c r="W28" s="3">
        <f t="shared" si="9"/>
        <v>340</v>
      </c>
      <c r="X28" s="3">
        <f t="shared" si="10"/>
        <v>305</v>
      </c>
      <c r="Y28" s="3">
        <f t="shared" si="11"/>
        <v>219</v>
      </c>
      <c r="Z28" s="3">
        <f t="shared" si="12"/>
        <v>110</v>
      </c>
      <c r="AA28" s="3">
        <f t="shared" si="13"/>
        <v>172</v>
      </c>
      <c r="AF28" s="1">
        <v>43948</v>
      </c>
      <c r="AG28" s="3">
        <f t="shared" si="43"/>
        <v>124</v>
      </c>
      <c r="AH28" s="3"/>
      <c r="AI28" s="3">
        <f t="shared" ref="AI28:AJ34" si="46">SUM(V172-V171)</f>
        <v>42</v>
      </c>
      <c r="AJ28" s="3">
        <f t="shared" si="46"/>
        <v>16</v>
      </c>
      <c r="AK28" s="3"/>
      <c r="AP28" s="1">
        <v>43948</v>
      </c>
      <c r="AQ28" s="3">
        <f t="shared" si="42"/>
        <v>209</v>
      </c>
      <c r="AR28" s="3">
        <f t="shared" si="31"/>
        <v>84</v>
      </c>
      <c r="AS28" s="3">
        <f t="shared" si="32"/>
        <v>80</v>
      </c>
      <c r="AT28" s="3">
        <f t="shared" si="33"/>
        <v>35</v>
      </c>
      <c r="AU28" s="3">
        <f t="shared" si="34"/>
        <v>35</v>
      </c>
      <c r="AZ28" s="1">
        <v>43948</v>
      </c>
      <c r="BA28" s="3">
        <f t="shared" si="44"/>
        <v>886</v>
      </c>
      <c r="BB28" s="3">
        <f t="shared" si="45"/>
        <v>98</v>
      </c>
      <c r="BC28" s="3"/>
      <c r="BD28" s="3">
        <f t="shared" si="36"/>
        <v>7</v>
      </c>
      <c r="BE28" s="3">
        <f t="shared" si="40"/>
        <v>74</v>
      </c>
    </row>
    <row r="29" spans="2:57" x14ac:dyDescent="0.2">
      <c r="B29" s="1">
        <v>43949</v>
      </c>
      <c r="C29" s="3">
        <f t="shared" si="37"/>
        <v>530</v>
      </c>
      <c r="D29" s="3">
        <f t="shared" si="38"/>
        <v>573</v>
      </c>
      <c r="E29" s="3">
        <f t="shared" si="30"/>
        <v>220</v>
      </c>
      <c r="F29" s="3">
        <f t="shared" si="2"/>
        <v>438</v>
      </c>
      <c r="G29" s="3">
        <f t="shared" si="3"/>
        <v>254</v>
      </c>
      <c r="L29" s="1">
        <v>43949</v>
      </c>
      <c r="M29" s="3">
        <f t="shared" si="4"/>
        <v>147</v>
      </c>
      <c r="N29" s="3">
        <f t="shared" si="5"/>
        <v>384</v>
      </c>
      <c r="O29" s="3">
        <f t="shared" si="39"/>
        <v>143</v>
      </c>
      <c r="P29" s="3">
        <f t="shared" si="7"/>
        <v>177</v>
      </c>
      <c r="Q29" s="3">
        <f t="shared" si="8"/>
        <v>406</v>
      </c>
      <c r="V29" s="1">
        <v>43949</v>
      </c>
      <c r="W29" s="3">
        <f t="shared" si="9"/>
        <v>257</v>
      </c>
      <c r="X29" s="3">
        <f t="shared" si="10"/>
        <v>464</v>
      </c>
      <c r="Y29" s="3">
        <f t="shared" si="11"/>
        <v>264</v>
      </c>
      <c r="Z29" s="3">
        <f t="shared" si="12"/>
        <v>169</v>
      </c>
      <c r="AA29" s="3">
        <f t="shared" si="13"/>
        <v>255</v>
      </c>
      <c r="AF29" s="1">
        <v>43949</v>
      </c>
      <c r="AG29" s="3">
        <f t="shared" si="43"/>
        <v>301</v>
      </c>
      <c r="AH29" s="3"/>
      <c r="AI29" s="3">
        <f t="shared" si="46"/>
        <v>94</v>
      </c>
      <c r="AJ29" s="3">
        <f t="shared" si="46"/>
        <v>50</v>
      </c>
      <c r="AK29" s="3">
        <f t="shared" ref="AK29:AK56" si="47">SUM(X173-X172)</f>
        <v>29</v>
      </c>
      <c r="AP29" s="1">
        <v>43949</v>
      </c>
      <c r="AQ29" s="3">
        <f t="shared" si="42"/>
        <v>243</v>
      </c>
      <c r="AR29" s="3">
        <f t="shared" si="31"/>
        <v>226</v>
      </c>
      <c r="AS29" s="3">
        <f t="shared" si="32"/>
        <v>102</v>
      </c>
      <c r="AT29" s="3">
        <f t="shared" si="33"/>
        <v>49</v>
      </c>
      <c r="AU29" s="3">
        <f t="shared" si="34"/>
        <v>79</v>
      </c>
      <c r="AZ29" s="1">
        <v>43949</v>
      </c>
      <c r="BA29" s="3">
        <f t="shared" si="44"/>
        <v>573</v>
      </c>
      <c r="BB29" s="3">
        <f t="shared" si="45"/>
        <v>173</v>
      </c>
      <c r="BC29" s="3"/>
      <c r="BD29" s="3">
        <f t="shared" si="36"/>
        <v>26</v>
      </c>
      <c r="BE29" s="3">
        <f t="shared" si="40"/>
        <v>126</v>
      </c>
    </row>
    <row r="30" spans="2:57" x14ac:dyDescent="0.2">
      <c r="B30" s="1">
        <v>43950</v>
      </c>
      <c r="C30" s="3">
        <f t="shared" si="37"/>
        <v>812</v>
      </c>
      <c r="D30" s="3">
        <f t="shared" si="38"/>
        <v>649</v>
      </c>
      <c r="E30" s="3">
        <f t="shared" si="30"/>
        <v>420</v>
      </c>
      <c r="F30" s="3">
        <f t="shared" si="2"/>
        <v>606</v>
      </c>
      <c r="G30" s="3">
        <f t="shared" si="3"/>
        <v>541</v>
      </c>
      <c r="L30" s="1">
        <v>43950</v>
      </c>
      <c r="M30" s="3">
        <f t="shared" si="4"/>
        <v>195</v>
      </c>
      <c r="N30" s="3">
        <f t="shared" si="5"/>
        <v>287</v>
      </c>
      <c r="O30" s="3">
        <f t="shared" si="39"/>
        <v>255</v>
      </c>
      <c r="P30" s="3">
        <f t="shared" si="7"/>
        <v>192</v>
      </c>
      <c r="Q30" s="3">
        <f t="shared" si="8"/>
        <v>430</v>
      </c>
      <c r="V30" s="1">
        <v>43950</v>
      </c>
      <c r="W30" s="3">
        <f t="shared" si="9"/>
        <v>399</v>
      </c>
      <c r="X30" s="3">
        <f t="shared" si="10"/>
        <v>382</v>
      </c>
      <c r="Y30" s="3">
        <f t="shared" si="11"/>
        <v>408</v>
      </c>
      <c r="Z30" s="3">
        <f t="shared" si="12"/>
        <v>133</v>
      </c>
      <c r="AA30" s="3">
        <f t="shared" si="13"/>
        <v>301</v>
      </c>
      <c r="AF30" s="1">
        <v>43950</v>
      </c>
      <c r="AG30" s="3">
        <f t="shared" si="43"/>
        <v>321</v>
      </c>
      <c r="AH30" s="3">
        <f>SUM(U174-U173)</f>
        <v>147</v>
      </c>
      <c r="AI30" s="3">
        <f t="shared" si="46"/>
        <v>91</v>
      </c>
      <c r="AJ30" s="3">
        <f t="shared" si="46"/>
        <v>31</v>
      </c>
      <c r="AK30" s="3">
        <f t="shared" si="47"/>
        <v>16</v>
      </c>
      <c r="AP30" s="1">
        <v>43950</v>
      </c>
      <c r="AQ30" s="3">
        <f t="shared" si="42"/>
        <v>281</v>
      </c>
      <c r="AR30" s="3">
        <f t="shared" si="31"/>
        <v>134</v>
      </c>
      <c r="AS30" s="3">
        <f t="shared" si="32"/>
        <v>156</v>
      </c>
      <c r="AT30" s="3">
        <f t="shared" si="33"/>
        <v>34</v>
      </c>
      <c r="AU30" s="3">
        <f t="shared" si="34"/>
        <v>32</v>
      </c>
      <c r="AZ30" s="1">
        <v>43950</v>
      </c>
      <c r="BA30" s="3">
        <f t="shared" si="44"/>
        <v>1531</v>
      </c>
      <c r="BB30" s="3">
        <f t="shared" si="45"/>
        <v>118</v>
      </c>
      <c r="BC30" s="3">
        <v>57</v>
      </c>
      <c r="BD30" s="3">
        <f t="shared" si="36"/>
        <v>16</v>
      </c>
      <c r="BE30" s="3">
        <f t="shared" si="40"/>
        <v>97</v>
      </c>
    </row>
    <row r="31" spans="2:57" x14ac:dyDescent="0.2">
      <c r="B31" s="1">
        <v>43951</v>
      </c>
      <c r="C31" s="3">
        <f t="shared" si="37"/>
        <v>890</v>
      </c>
      <c r="D31" s="3">
        <f t="shared" si="38"/>
        <v>636</v>
      </c>
      <c r="E31" s="3">
        <f t="shared" si="30"/>
        <v>349</v>
      </c>
      <c r="F31" s="3">
        <f t="shared" si="2"/>
        <v>644</v>
      </c>
      <c r="G31" s="3">
        <f t="shared" si="3"/>
        <v>399</v>
      </c>
      <c r="L31" s="1">
        <v>43951</v>
      </c>
      <c r="M31" s="3">
        <f t="shared" si="4"/>
        <v>164</v>
      </c>
      <c r="N31" s="3">
        <f t="shared" si="5"/>
        <v>320</v>
      </c>
      <c r="O31" s="3">
        <f t="shared" si="39"/>
        <v>237</v>
      </c>
      <c r="P31" s="3">
        <f t="shared" si="7"/>
        <v>198</v>
      </c>
      <c r="Q31" s="3">
        <f t="shared" si="8"/>
        <v>264</v>
      </c>
      <c r="V31" s="1">
        <v>43951</v>
      </c>
      <c r="W31" s="3">
        <f t="shared" si="9"/>
        <v>351</v>
      </c>
      <c r="X31" s="3">
        <f t="shared" si="10"/>
        <v>409</v>
      </c>
      <c r="Y31" s="3">
        <f t="shared" si="11"/>
        <v>293</v>
      </c>
      <c r="Z31" s="3">
        <f t="shared" si="12"/>
        <v>196</v>
      </c>
      <c r="AA31" s="3">
        <f t="shared" si="13"/>
        <v>250</v>
      </c>
      <c r="AF31" s="1">
        <v>43951</v>
      </c>
      <c r="AG31" s="3">
        <f t="shared" si="43"/>
        <v>235</v>
      </c>
      <c r="AH31" s="3">
        <f>SUM(U175-U174)</f>
        <v>108</v>
      </c>
      <c r="AI31" s="3">
        <f t="shared" si="46"/>
        <v>83</v>
      </c>
      <c r="AJ31" s="3">
        <f t="shared" si="46"/>
        <v>17</v>
      </c>
      <c r="AK31" s="3">
        <f t="shared" si="47"/>
        <v>26</v>
      </c>
      <c r="AP31" s="1">
        <v>43951</v>
      </c>
      <c r="AQ31" s="3">
        <f t="shared" si="42"/>
        <v>412</v>
      </c>
      <c r="AR31" s="3">
        <f t="shared" si="31"/>
        <v>130</v>
      </c>
      <c r="AS31" s="3">
        <f t="shared" si="32"/>
        <v>77</v>
      </c>
      <c r="AT31" s="3">
        <f t="shared" si="33"/>
        <v>77</v>
      </c>
      <c r="AU31" s="3">
        <f t="shared" si="34"/>
        <v>61</v>
      </c>
      <c r="AZ31" s="1">
        <v>43951</v>
      </c>
      <c r="BA31" s="3">
        <f t="shared" si="44"/>
        <v>724</v>
      </c>
      <c r="BB31" s="3">
        <f t="shared" si="45"/>
        <v>132</v>
      </c>
      <c r="BC31" s="3">
        <f t="shared" ref="BC31:BC56" si="48">SUM(AH184-AH183)</f>
        <v>120</v>
      </c>
      <c r="BD31" s="3">
        <f t="shared" si="36"/>
        <v>26</v>
      </c>
      <c r="BE31" s="3">
        <f t="shared" si="40"/>
        <v>170</v>
      </c>
    </row>
    <row r="32" spans="2:57" x14ac:dyDescent="0.2">
      <c r="B32" s="1">
        <v>43952</v>
      </c>
      <c r="C32" s="3">
        <f t="shared" si="37"/>
        <v>643</v>
      </c>
      <c r="D32" s="3">
        <f t="shared" si="38"/>
        <v>647</v>
      </c>
      <c r="E32" s="3">
        <f t="shared" si="30"/>
        <v>307</v>
      </c>
      <c r="F32" s="3">
        <f t="shared" si="2"/>
        <v>541</v>
      </c>
      <c r="G32" s="3">
        <f t="shared" si="3"/>
        <v>373</v>
      </c>
      <c r="L32" s="1">
        <v>43952</v>
      </c>
      <c r="M32" s="3">
        <f t="shared" si="4"/>
        <v>220</v>
      </c>
      <c r="N32" s="3">
        <f t="shared" si="5"/>
        <v>232</v>
      </c>
      <c r="O32" s="3">
        <f t="shared" si="39"/>
        <v>312</v>
      </c>
      <c r="P32" s="3">
        <f t="shared" si="7"/>
        <v>201</v>
      </c>
      <c r="Q32" s="3">
        <f t="shared" si="8"/>
        <v>365</v>
      </c>
      <c r="V32" s="1">
        <v>43952</v>
      </c>
      <c r="W32" s="3">
        <f t="shared" si="9"/>
        <v>405</v>
      </c>
      <c r="X32" s="3">
        <f t="shared" si="10"/>
        <v>399</v>
      </c>
      <c r="Y32" s="3">
        <f t="shared" si="11"/>
        <v>355</v>
      </c>
      <c r="Z32" s="3">
        <f t="shared" si="12"/>
        <v>169</v>
      </c>
      <c r="AA32" s="3">
        <f t="shared" si="13"/>
        <v>237</v>
      </c>
      <c r="AF32" s="1">
        <v>43952</v>
      </c>
      <c r="AG32" s="3">
        <f t="shared" si="43"/>
        <v>241</v>
      </c>
      <c r="AH32" s="3">
        <f>SUM(U176-U175)</f>
        <v>156</v>
      </c>
      <c r="AI32" s="3">
        <f t="shared" si="46"/>
        <v>110</v>
      </c>
      <c r="AJ32" s="3">
        <f t="shared" si="46"/>
        <v>19</v>
      </c>
      <c r="AK32" s="3">
        <f t="shared" si="47"/>
        <v>16</v>
      </c>
      <c r="AP32" s="1">
        <v>43952</v>
      </c>
      <c r="AQ32" s="3">
        <f t="shared" si="42"/>
        <v>247</v>
      </c>
      <c r="AR32" s="3">
        <f t="shared" si="31"/>
        <v>99</v>
      </c>
      <c r="AS32" s="3">
        <f t="shared" si="32"/>
        <v>152</v>
      </c>
      <c r="AT32" s="3">
        <f t="shared" si="33"/>
        <v>54</v>
      </c>
      <c r="AU32" s="3">
        <f t="shared" si="34"/>
        <v>50</v>
      </c>
      <c r="AZ32" s="1">
        <v>43952</v>
      </c>
      <c r="BA32" s="3">
        <f t="shared" si="44"/>
        <v>1022</v>
      </c>
      <c r="BB32" s="3">
        <f t="shared" si="45"/>
        <v>147</v>
      </c>
      <c r="BC32" s="3">
        <f t="shared" si="48"/>
        <v>73</v>
      </c>
      <c r="BD32" s="3">
        <f t="shared" si="36"/>
        <v>4</v>
      </c>
      <c r="BE32" s="3">
        <f t="shared" si="40"/>
        <v>69</v>
      </c>
    </row>
    <row r="33" spans="2:57" x14ac:dyDescent="0.2">
      <c r="B33" s="1">
        <v>43953</v>
      </c>
      <c r="C33" s="3">
        <f t="shared" si="37"/>
        <v>765</v>
      </c>
      <c r="D33" s="3">
        <f t="shared" si="38"/>
        <v>756</v>
      </c>
      <c r="E33" s="3">
        <f t="shared" si="30"/>
        <v>358</v>
      </c>
      <c r="F33" s="3">
        <f t="shared" si="2"/>
        <v>665</v>
      </c>
      <c r="G33" s="3">
        <f t="shared" si="3"/>
        <v>441</v>
      </c>
      <c r="L33" s="1">
        <v>43953</v>
      </c>
      <c r="M33" s="3">
        <f t="shared" si="4"/>
        <v>144</v>
      </c>
      <c r="N33" s="3">
        <f t="shared" si="5"/>
        <v>253</v>
      </c>
      <c r="O33" s="3">
        <f t="shared" si="39"/>
        <v>254</v>
      </c>
      <c r="P33" s="3">
        <f t="shared" si="7"/>
        <v>217</v>
      </c>
      <c r="Q33" s="3">
        <f t="shared" si="8"/>
        <v>268</v>
      </c>
      <c r="V33" s="1">
        <v>43953</v>
      </c>
      <c r="W33" s="3">
        <f t="shared" si="9"/>
        <v>311</v>
      </c>
      <c r="X33" s="3">
        <f t="shared" si="10"/>
        <v>441</v>
      </c>
      <c r="Y33" s="3">
        <f t="shared" si="11"/>
        <v>334</v>
      </c>
      <c r="Z33" s="3">
        <f t="shared" si="12"/>
        <v>122</v>
      </c>
      <c r="AA33" s="3">
        <f t="shared" si="13"/>
        <v>342</v>
      </c>
      <c r="AF33" s="1">
        <v>43953</v>
      </c>
      <c r="AG33" s="3">
        <f t="shared" si="43"/>
        <v>136</v>
      </c>
      <c r="AH33" s="3">
        <f>SUM(U177-U176)</f>
        <v>52</v>
      </c>
      <c r="AI33" s="3">
        <f t="shared" si="46"/>
        <v>43</v>
      </c>
      <c r="AJ33" s="3">
        <f t="shared" si="46"/>
        <v>20</v>
      </c>
      <c r="AK33" s="3">
        <f t="shared" si="47"/>
        <v>10</v>
      </c>
      <c r="AP33" s="1">
        <v>43953</v>
      </c>
      <c r="AQ33" s="3">
        <f t="shared" si="42"/>
        <v>404</v>
      </c>
      <c r="AR33" s="3">
        <f t="shared" si="31"/>
        <v>81</v>
      </c>
      <c r="AS33" s="3">
        <f t="shared" si="32"/>
        <v>151</v>
      </c>
      <c r="AT33" s="3">
        <f t="shared" si="33"/>
        <v>46</v>
      </c>
      <c r="AU33" s="3">
        <f t="shared" si="34"/>
        <v>62</v>
      </c>
      <c r="AZ33" s="1">
        <v>43953</v>
      </c>
      <c r="BA33" s="3">
        <f t="shared" si="44"/>
        <v>649</v>
      </c>
      <c r="BB33" s="3">
        <f t="shared" si="45"/>
        <v>131</v>
      </c>
      <c r="BC33" s="3">
        <f t="shared" si="48"/>
        <v>104</v>
      </c>
      <c r="BD33" s="3">
        <f t="shared" si="36"/>
        <v>27</v>
      </c>
      <c r="BE33" s="3">
        <f t="shared" si="40"/>
        <v>114</v>
      </c>
    </row>
    <row r="34" spans="2:57" x14ac:dyDescent="0.2">
      <c r="B34" s="1">
        <v>43954</v>
      </c>
      <c r="C34" s="3">
        <f t="shared" si="37"/>
        <v>601</v>
      </c>
      <c r="D34" s="3">
        <f t="shared" si="38"/>
        <v>564</v>
      </c>
      <c r="E34" s="3">
        <f t="shared" si="30"/>
        <v>261</v>
      </c>
      <c r="F34" s="3">
        <f t="shared" si="2"/>
        <v>466</v>
      </c>
      <c r="G34" s="3">
        <f t="shared" si="3"/>
        <v>377</v>
      </c>
      <c r="L34" s="1">
        <v>43954</v>
      </c>
      <c r="M34" s="3">
        <f t="shared" si="4"/>
        <v>211</v>
      </c>
      <c r="N34" s="3">
        <f t="shared" si="5"/>
        <v>368</v>
      </c>
      <c r="O34" s="3">
        <f t="shared" si="39"/>
        <v>273</v>
      </c>
      <c r="P34" s="3">
        <f t="shared" si="7"/>
        <v>229</v>
      </c>
      <c r="Q34" s="3">
        <f t="shared" si="8"/>
        <v>282</v>
      </c>
      <c r="V34" s="1">
        <v>43954</v>
      </c>
      <c r="W34" s="3">
        <f t="shared" si="9"/>
        <v>171</v>
      </c>
      <c r="X34" s="3">
        <f t="shared" si="10"/>
        <v>322</v>
      </c>
      <c r="Y34" s="3">
        <f t="shared" si="11"/>
        <v>180</v>
      </c>
      <c r="Z34" s="3">
        <f t="shared" si="12"/>
        <v>93</v>
      </c>
      <c r="AA34" s="3">
        <f t="shared" si="13"/>
        <v>159</v>
      </c>
      <c r="AF34" s="1">
        <v>43954</v>
      </c>
      <c r="AG34" s="3">
        <f t="shared" si="43"/>
        <v>192</v>
      </c>
      <c r="AH34" s="3">
        <f>SUM(U178-U177)</f>
        <v>43</v>
      </c>
      <c r="AI34" s="3">
        <f t="shared" si="46"/>
        <v>90</v>
      </c>
      <c r="AJ34" s="3">
        <f t="shared" si="46"/>
        <v>14</v>
      </c>
      <c r="AK34" s="3">
        <f t="shared" si="47"/>
        <v>12</v>
      </c>
      <c r="AP34" s="1">
        <v>43954</v>
      </c>
      <c r="AQ34" s="3">
        <f t="shared" si="42"/>
        <v>231</v>
      </c>
      <c r="AR34" s="3">
        <f t="shared" si="31"/>
        <v>65</v>
      </c>
      <c r="AS34" s="3">
        <f t="shared" si="32"/>
        <v>114</v>
      </c>
      <c r="AT34" s="3">
        <f t="shared" si="33"/>
        <v>28</v>
      </c>
      <c r="AU34" s="3">
        <f t="shared" si="34"/>
        <v>76</v>
      </c>
      <c r="AZ34" s="1">
        <v>43954</v>
      </c>
      <c r="BA34" s="3">
        <f t="shared" si="44"/>
        <v>753</v>
      </c>
      <c r="BB34" s="3">
        <f t="shared" si="45"/>
        <v>85</v>
      </c>
      <c r="BC34" s="3">
        <f t="shared" si="48"/>
        <v>37</v>
      </c>
      <c r="BD34" s="3">
        <f t="shared" si="36"/>
        <v>32</v>
      </c>
      <c r="BE34" s="3">
        <f t="shared" si="40"/>
        <v>85</v>
      </c>
    </row>
    <row r="35" spans="2:57" x14ac:dyDescent="0.2">
      <c r="B35" s="1">
        <v>43955</v>
      </c>
      <c r="C35" s="3">
        <f t="shared" si="37"/>
        <v>450</v>
      </c>
      <c r="D35" s="3">
        <f t="shared" si="38"/>
        <v>344</v>
      </c>
      <c r="E35" s="3">
        <f t="shared" si="30"/>
        <v>185</v>
      </c>
      <c r="F35" s="3">
        <f t="shared" si="2"/>
        <v>307</v>
      </c>
      <c r="G35" s="3">
        <f t="shared" ref="G35:G56" si="49">SUM(E177-E176)</f>
        <v>222</v>
      </c>
      <c r="L35" s="1">
        <v>43955</v>
      </c>
      <c r="M35" s="3">
        <f t="shared" si="4"/>
        <v>97</v>
      </c>
      <c r="N35" s="3">
        <f t="shared" si="5"/>
        <v>112</v>
      </c>
      <c r="O35" s="3">
        <f t="shared" si="39"/>
        <v>100</v>
      </c>
      <c r="P35" s="3">
        <f t="shared" si="7"/>
        <v>132</v>
      </c>
      <c r="Q35" s="3">
        <f t="shared" ref="Q35:Q56" si="50">SUM(L172-L171)</f>
        <v>132</v>
      </c>
      <c r="V35" s="1">
        <v>43955</v>
      </c>
      <c r="W35" s="3">
        <f t="shared" ref="W35:W56" si="51">SUM(M170-M169)</f>
        <v>164</v>
      </c>
      <c r="X35" s="3">
        <f t="shared" si="10"/>
        <v>387</v>
      </c>
      <c r="Y35" s="3">
        <f t="shared" si="11"/>
        <v>231</v>
      </c>
      <c r="Z35" s="3">
        <f t="shared" si="12"/>
        <v>102</v>
      </c>
      <c r="AA35" s="3">
        <f t="shared" si="13"/>
        <v>183</v>
      </c>
      <c r="AF35" s="1">
        <v>43955</v>
      </c>
      <c r="AG35" s="3">
        <f t="shared" si="43"/>
        <v>16</v>
      </c>
      <c r="AH35" s="3"/>
      <c r="AI35" s="3"/>
      <c r="AJ35" s="3">
        <f t="shared" ref="AJ35:AJ56" si="52">SUM(W179-W178)</f>
        <v>13</v>
      </c>
      <c r="AK35" s="3">
        <f t="shared" si="47"/>
        <v>5</v>
      </c>
      <c r="AP35" s="1">
        <v>43955</v>
      </c>
      <c r="AQ35" s="3"/>
      <c r="AR35" s="3">
        <f t="shared" si="31"/>
        <v>93</v>
      </c>
      <c r="AS35" s="3">
        <f t="shared" si="32"/>
        <v>143</v>
      </c>
      <c r="AT35" s="3">
        <f t="shared" si="33"/>
        <v>39</v>
      </c>
      <c r="AU35" s="3">
        <f t="shared" si="34"/>
        <v>62</v>
      </c>
      <c r="AZ35" s="1">
        <v>43955</v>
      </c>
      <c r="BA35" s="3">
        <f t="shared" si="44"/>
        <v>535</v>
      </c>
      <c r="BB35" s="3">
        <f t="shared" si="45"/>
        <v>93</v>
      </c>
      <c r="BC35" s="3">
        <f t="shared" si="48"/>
        <v>187</v>
      </c>
      <c r="BD35" s="3">
        <f t="shared" si="36"/>
        <v>3</v>
      </c>
      <c r="BE35" s="3">
        <f t="shared" si="40"/>
        <v>72</v>
      </c>
    </row>
    <row r="36" spans="2:57" x14ac:dyDescent="0.2">
      <c r="B36" s="1">
        <v>43956</v>
      </c>
      <c r="C36" s="3">
        <f t="shared" si="37"/>
        <v>358</v>
      </c>
      <c r="D36" s="3">
        <f t="shared" si="38"/>
        <v>396</v>
      </c>
      <c r="E36" s="3">
        <f t="shared" si="30"/>
        <v>187</v>
      </c>
      <c r="F36" s="3">
        <f t="shared" si="2"/>
        <v>253</v>
      </c>
      <c r="G36" s="3">
        <f t="shared" si="49"/>
        <v>198</v>
      </c>
      <c r="L36" s="1">
        <v>43956</v>
      </c>
      <c r="M36" s="3">
        <f t="shared" si="4"/>
        <v>178</v>
      </c>
      <c r="N36" s="3">
        <f t="shared" si="5"/>
        <v>218</v>
      </c>
      <c r="O36" s="3">
        <f t="shared" si="39"/>
        <v>219</v>
      </c>
      <c r="P36" s="3">
        <f t="shared" si="7"/>
        <v>146</v>
      </c>
      <c r="Q36" s="3">
        <f t="shared" si="50"/>
        <v>301</v>
      </c>
      <c r="V36" s="1">
        <v>43956</v>
      </c>
      <c r="W36" s="3">
        <f t="shared" si="51"/>
        <v>232</v>
      </c>
      <c r="X36" s="3">
        <f t="shared" si="10"/>
        <v>223</v>
      </c>
      <c r="Y36" s="3">
        <f t="shared" si="11"/>
        <v>206</v>
      </c>
      <c r="Z36" s="3">
        <f t="shared" si="12"/>
        <v>84</v>
      </c>
      <c r="AA36" s="3">
        <f t="shared" si="13"/>
        <v>126</v>
      </c>
      <c r="AF36" s="1">
        <v>43956</v>
      </c>
      <c r="AG36" s="3">
        <f t="shared" si="43"/>
        <v>77</v>
      </c>
      <c r="AH36" s="3"/>
      <c r="AI36" s="3"/>
      <c r="AJ36" s="3">
        <f t="shared" si="52"/>
        <v>21</v>
      </c>
      <c r="AK36" s="3">
        <f t="shared" si="47"/>
        <v>5</v>
      </c>
      <c r="AP36" s="1">
        <v>43956</v>
      </c>
      <c r="AQ36" s="3"/>
      <c r="AR36" s="3">
        <f t="shared" si="31"/>
        <v>42</v>
      </c>
      <c r="AS36" s="3">
        <f t="shared" si="32"/>
        <v>70</v>
      </c>
      <c r="AT36" s="3">
        <f t="shared" si="33"/>
        <v>36</v>
      </c>
      <c r="AU36" s="3">
        <f t="shared" si="34"/>
        <v>56</v>
      </c>
      <c r="AZ36" s="1">
        <v>43956</v>
      </c>
      <c r="BA36" s="3">
        <f t="shared" si="44"/>
        <v>1572</v>
      </c>
      <c r="BB36" s="3">
        <f t="shared" si="45"/>
        <v>61</v>
      </c>
      <c r="BC36" s="3">
        <f t="shared" si="48"/>
        <v>133</v>
      </c>
      <c r="BD36" s="3">
        <f t="shared" si="36"/>
        <v>17</v>
      </c>
      <c r="BE36" s="3">
        <f t="shared" si="40"/>
        <v>0</v>
      </c>
    </row>
    <row r="37" spans="2:57" x14ac:dyDescent="0.2">
      <c r="B37" s="1">
        <v>43957</v>
      </c>
      <c r="C37" s="3"/>
      <c r="D37" s="3"/>
      <c r="E37" s="3">
        <f t="shared" si="30"/>
        <v>198</v>
      </c>
      <c r="F37" s="3">
        <f t="shared" si="2"/>
        <v>402</v>
      </c>
      <c r="G37" s="3">
        <f t="shared" si="49"/>
        <v>268</v>
      </c>
      <c r="L37" s="1">
        <v>43957</v>
      </c>
      <c r="M37" s="3">
        <f t="shared" si="4"/>
        <v>60</v>
      </c>
      <c r="N37" s="3">
        <f t="shared" si="5"/>
        <v>98</v>
      </c>
      <c r="O37" s="3">
        <f t="shared" si="39"/>
        <v>111</v>
      </c>
      <c r="P37" s="3">
        <f t="shared" si="7"/>
        <v>101</v>
      </c>
      <c r="Q37" s="3">
        <f t="shared" si="50"/>
        <v>174</v>
      </c>
      <c r="V37" s="1">
        <v>43957</v>
      </c>
      <c r="W37" s="3">
        <f t="shared" si="51"/>
        <v>303</v>
      </c>
      <c r="X37" s="3">
        <f t="shared" si="10"/>
        <v>347</v>
      </c>
      <c r="Y37" s="3">
        <f t="shared" si="11"/>
        <v>365</v>
      </c>
      <c r="Z37" s="3">
        <f t="shared" si="12"/>
        <v>144</v>
      </c>
      <c r="AA37" s="3">
        <f t="shared" si="13"/>
        <v>395</v>
      </c>
      <c r="AF37" s="1">
        <v>43957</v>
      </c>
      <c r="AG37" s="3">
        <f t="shared" si="43"/>
        <v>180</v>
      </c>
      <c r="AH37" s="3">
        <f t="shared" ref="AH37:AH56" si="53">SUM(U181-U180)</f>
        <v>51</v>
      </c>
      <c r="AI37" s="3">
        <f t="shared" ref="AI37:AI56" si="54">SUM(V181-V180)</f>
        <v>43</v>
      </c>
      <c r="AJ37" s="3">
        <f t="shared" si="52"/>
        <v>42</v>
      </c>
      <c r="AK37" s="3">
        <f t="shared" si="47"/>
        <v>6</v>
      </c>
      <c r="AP37" s="1">
        <v>43957</v>
      </c>
      <c r="AQ37" s="3"/>
      <c r="AR37" s="3">
        <f t="shared" si="31"/>
        <v>140</v>
      </c>
      <c r="AS37" s="3">
        <f t="shared" si="32"/>
        <v>104</v>
      </c>
      <c r="AT37" s="3">
        <f t="shared" si="33"/>
        <v>64</v>
      </c>
      <c r="AU37" s="3">
        <f t="shared" si="34"/>
        <v>44</v>
      </c>
      <c r="AZ37" s="1">
        <v>43957</v>
      </c>
      <c r="BA37" s="3">
        <f t="shared" si="44"/>
        <v>872</v>
      </c>
      <c r="BB37" s="3">
        <f t="shared" si="45"/>
        <v>238</v>
      </c>
      <c r="BC37" s="3">
        <f t="shared" si="48"/>
        <v>181</v>
      </c>
      <c r="BD37" s="3">
        <f t="shared" si="36"/>
        <v>15</v>
      </c>
      <c r="BE37" s="3">
        <f t="shared" si="40"/>
        <v>225</v>
      </c>
    </row>
    <row r="38" spans="2:57" x14ac:dyDescent="0.2">
      <c r="B38" s="1">
        <v>43958</v>
      </c>
      <c r="C38" s="3"/>
      <c r="D38" s="3"/>
      <c r="E38" s="3">
        <f t="shared" si="30"/>
        <v>243</v>
      </c>
      <c r="F38" s="3">
        <f t="shared" si="2"/>
        <v>303</v>
      </c>
      <c r="G38" s="3">
        <f t="shared" si="49"/>
        <v>349</v>
      </c>
      <c r="L38" s="1">
        <v>43958</v>
      </c>
      <c r="M38" s="3">
        <f t="shared" si="4"/>
        <v>89</v>
      </c>
      <c r="N38" s="3">
        <f t="shared" si="5"/>
        <v>157</v>
      </c>
      <c r="O38" s="3">
        <f t="shared" si="39"/>
        <v>144</v>
      </c>
      <c r="P38" s="3">
        <f t="shared" si="7"/>
        <v>177</v>
      </c>
      <c r="Q38" s="3">
        <f t="shared" si="50"/>
        <v>162</v>
      </c>
      <c r="V38" s="1">
        <v>43958</v>
      </c>
      <c r="W38" s="3">
        <f t="shared" si="51"/>
        <v>256</v>
      </c>
      <c r="X38" s="3">
        <f t="shared" si="10"/>
        <v>349</v>
      </c>
      <c r="Y38" s="3">
        <f t="shared" si="11"/>
        <v>266</v>
      </c>
      <c r="Z38" s="3">
        <f t="shared" si="12"/>
        <v>119</v>
      </c>
      <c r="AA38" s="3">
        <f t="shared" si="13"/>
        <v>205</v>
      </c>
      <c r="AF38" s="1">
        <v>43958</v>
      </c>
      <c r="AG38" s="3">
        <f t="shared" si="43"/>
        <v>96</v>
      </c>
      <c r="AH38" s="3">
        <f t="shared" si="53"/>
        <v>51</v>
      </c>
      <c r="AI38" s="3">
        <f t="shared" si="54"/>
        <v>44</v>
      </c>
      <c r="AJ38" s="3">
        <f t="shared" si="52"/>
        <v>21</v>
      </c>
      <c r="AK38" s="3">
        <f t="shared" si="47"/>
        <v>11</v>
      </c>
      <c r="AP38" s="1">
        <v>43958</v>
      </c>
      <c r="AQ38" s="3"/>
      <c r="AR38" s="3">
        <f t="shared" si="31"/>
        <v>88</v>
      </c>
      <c r="AS38" s="3">
        <f t="shared" si="32"/>
        <v>67</v>
      </c>
      <c r="AT38" s="3">
        <f t="shared" si="33"/>
        <v>39</v>
      </c>
      <c r="AU38" s="3">
        <f t="shared" si="34"/>
        <v>47</v>
      </c>
      <c r="AZ38" s="1">
        <v>43958</v>
      </c>
      <c r="BA38" s="3">
        <f t="shared" si="44"/>
        <v>857</v>
      </c>
      <c r="BB38" s="3">
        <f t="shared" si="45"/>
        <v>110</v>
      </c>
      <c r="BC38" s="3">
        <f t="shared" si="48"/>
        <v>73</v>
      </c>
      <c r="BD38" s="3">
        <f t="shared" si="36"/>
        <v>11</v>
      </c>
      <c r="BE38" s="3">
        <f t="shared" si="40"/>
        <v>127</v>
      </c>
    </row>
    <row r="39" spans="2:57" x14ac:dyDescent="0.2">
      <c r="B39" s="1">
        <v>43959</v>
      </c>
      <c r="C39" s="3">
        <f t="shared" ref="C39:C54" si="55">SUM(A195-A194)</f>
        <v>494</v>
      </c>
      <c r="D39" s="3">
        <f t="shared" ref="D39:D52" si="56">SUM(B188-B187)</f>
        <v>448</v>
      </c>
      <c r="E39" s="3">
        <f t="shared" si="30"/>
        <v>219</v>
      </c>
      <c r="F39" s="3">
        <f t="shared" si="2"/>
        <v>352</v>
      </c>
      <c r="G39" s="3">
        <f t="shared" si="49"/>
        <v>331</v>
      </c>
      <c r="L39" s="1">
        <v>43959</v>
      </c>
      <c r="M39" s="3">
        <f t="shared" si="4"/>
        <v>100</v>
      </c>
      <c r="N39" s="3">
        <f t="shared" si="5"/>
        <v>166</v>
      </c>
      <c r="O39" s="3">
        <f t="shared" si="39"/>
        <v>161</v>
      </c>
      <c r="P39" s="3">
        <f t="shared" si="7"/>
        <v>136</v>
      </c>
      <c r="Q39" s="3">
        <f t="shared" si="50"/>
        <v>147</v>
      </c>
      <c r="V39" s="1">
        <v>43959</v>
      </c>
      <c r="W39" s="3">
        <f t="shared" si="51"/>
        <v>212</v>
      </c>
      <c r="X39" s="3">
        <f t="shared" si="10"/>
        <v>338</v>
      </c>
      <c r="Y39" s="3">
        <f t="shared" si="11"/>
        <v>385</v>
      </c>
      <c r="Z39" s="3">
        <v>72</v>
      </c>
      <c r="AA39" s="3">
        <f t="shared" si="13"/>
        <v>213</v>
      </c>
      <c r="AF39" s="1">
        <v>43959</v>
      </c>
      <c r="AG39" s="3">
        <f t="shared" si="43"/>
        <v>157</v>
      </c>
      <c r="AH39" s="3">
        <f t="shared" si="53"/>
        <v>40</v>
      </c>
      <c r="AI39" s="3">
        <f t="shared" si="54"/>
        <v>87</v>
      </c>
      <c r="AJ39" s="3">
        <f t="shared" si="52"/>
        <v>8</v>
      </c>
      <c r="AK39" s="3">
        <f t="shared" si="47"/>
        <v>20</v>
      </c>
      <c r="AP39" s="1">
        <v>43959</v>
      </c>
      <c r="AQ39" s="3">
        <v>378</v>
      </c>
      <c r="AR39" s="3">
        <f t="shared" si="31"/>
        <v>122</v>
      </c>
      <c r="AS39" s="3">
        <f t="shared" si="32"/>
        <v>183</v>
      </c>
      <c r="AT39" s="3">
        <f t="shared" si="33"/>
        <v>38</v>
      </c>
      <c r="AU39" s="3">
        <f t="shared" si="34"/>
        <v>95</v>
      </c>
      <c r="AZ39" s="1">
        <v>43959</v>
      </c>
      <c r="BA39" s="3">
        <f t="shared" si="44"/>
        <v>813</v>
      </c>
      <c r="BB39" s="3">
        <f t="shared" si="45"/>
        <v>233</v>
      </c>
      <c r="BC39" s="3">
        <f t="shared" si="48"/>
        <v>64</v>
      </c>
      <c r="BD39" s="3">
        <f t="shared" si="36"/>
        <v>4</v>
      </c>
      <c r="BE39" s="3">
        <f t="shared" si="40"/>
        <v>112</v>
      </c>
    </row>
    <row r="40" spans="2:57" x14ac:dyDescent="0.2">
      <c r="B40" s="1">
        <v>43960</v>
      </c>
      <c r="C40" s="3">
        <f t="shared" si="55"/>
        <v>549</v>
      </c>
      <c r="D40" s="3">
        <f t="shared" si="56"/>
        <v>463</v>
      </c>
      <c r="E40" s="3">
        <f t="shared" si="30"/>
        <v>216</v>
      </c>
      <c r="F40" s="3">
        <f t="shared" si="2"/>
        <v>271</v>
      </c>
      <c r="G40" s="3">
        <f t="shared" si="49"/>
        <v>238</v>
      </c>
      <c r="L40" s="1">
        <v>43960</v>
      </c>
      <c r="M40" s="3">
        <f t="shared" si="4"/>
        <v>95</v>
      </c>
      <c r="N40" s="3">
        <f t="shared" si="5"/>
        <v>155</v>
      </c>
      <c r="O40" s="3">
        <f t="shared" si="39"/>
        <v>109</v>
      </c>
      <c r="P40" s="3"/>
      <c r="Q40" s="3">
        <f t="shared" si="50"/>
        <v>148</v>
      </c>
      <c r="V40" s="1">
        <v>43960</v>
      </c>
      <c r="W40" s="3">
        <f t="shared" si="51"/>
        <v>175</v>
      </c>
      <c r="X40" s="3">
        <f t="shared" si="10"/>
        <v>293</v>
      </c>
      <c r="Y40" s="3">
        <f t="shared" si="11"/>
        <v>216</v>
      </c>
      <c r="Z40" s="3">
        <v>86</v>
      </c>
      <c r="AA40" s="3">
        <f t="shared" si="13"/>
        <v>201</v>
      </c>
      <c r="AF40" s="1">
        <v>43960</v>
      </c>
      <c r="AG40" s="3">
        <f t="shared" si="43"/>
        <v>136</v>
      </c>
      <c r="AH40" s="3">
        <f t="shared" si="53"/>
        <v>28</v>
      </c>
      <c r="AI40" s="3">
        <f t="shared" si="54"/>
        <v>56</v>
      </c>
      <c r="AJ40" s="3">
        <f t="shared" si="52"/>
        <v>11</v>
      </c>
      <c r="AK40" s="3">
        <f t="shared" si="47"/>
        <v>16</v>
      </c>
      <c r="AP40" s="1">
        <v>43960</v>
      </c>
      <c r="AQ40" s="3">
        <f t="shared" ref="AQ40:AQ56" si="57">SUM(Y196-Y195)</f>
        <v>253</v>
      </c>
      <c r="AR40" s="3">
        <f t="shared" si="31"/>
        <v>79</v>
      </c>
      <c r="AS40" s="3">
        <f t="shared" si="32"/>
        <v>156</v>
      </c>
      <c r="AT40" s="3">
        <f t="shared" si="33"/>
        <v>29</v>
      </c>
      <c r="AU40" s="3">
        <f t="shared" si="34"/>
        <v>67</v>
      </c>
      <c r="AZ40" s="1">
        <v>43960</v>
      </c>
      <c r="BA40" s="3">
        <f t="shared" si="44"/>
        <v>911</v>
      </c>
      <c r="BB40" s="3">
        <f t="shared" si="45"/>
        <v>114</v>
      </c>
      <c r="BC40" s="3">
        <f t="shared" si="48"/>
        <v>199</v>
      </c>
      <c r="BD40" s="3">
        <f t="shared" si="36"/>
        <v>32</v>
      </c>
      <c r="BE40" s="3">
        <f t="shared" si="40"/>
        <v>111</v>
      </c>
    </row>
    <row r="41" spans="2:57" x14ac:dyDescent="0.2">
      <c r="B41" s="1">
        <v>43961</v>
      </c>
      <c r="C41" s="3">
        <f t="shared" si="55"/>
        <v>369</v>
      </c>
      <c r="D41" s="3">
        <f t="shared" si="56"/>
        <v>356</v>
      </c>
      <c r="E41" s="3">
        <f t="shared" si="30"/>
        <v>189</v>
      </c>
      <c r="F41" s="3">
        <f t="shared" si="2"/>
        <v>255</v>
      </c>
      <c r="G41" s="3">
        <f t="shared" si="49"/>
        <v>241</v>
      </c>
      <c r="L41" s="1">
        <v>43961</v>
      </c>
      <c r="M41" s="3">
        <f t="shared" si="4"/>
        <v>125</v>
      </c>
      <c r="N41" s="3">
        <f t="shared" si="5"/>
        <v>147</v>
      </c>
      <c r="O41" s="3">
        <f t="shared" si="39"/>
        <v>159</v>
      </c>
      <c r="P41" s="3"/>
      <c r="Q41" s="3">
        <f t="shared" si="50"/>
        <v>115</v>
      </c>
      <c r="V41" s="1">
        <v>43961</v>
      </c>
      <c r="W41" s="3">
        <f t="shared" si="51"/>
        <v>160</v>
      </c>
      <c r="X41" s="3">
        <f t="shared" si="10"/>
        <v>282</v>
      </c>
      <c r="Y41" s="3">
        <f t="shared" si="11"/>
        <v>142</v>
      </c>
      <c r="Z41" s="3">
        <f t="shared" ref="Z41:Z55" si="58">SUM(P191-P190)</f>
        <v>65</v>
      </c>
      <c r="AA41" s="3">
        <v>132</v>
      </c>
      <c r="AF41" s="1">
        <v>43961</v>
      </c>
      <c r="AG41" s="3">
        <f t="shared" si="43"/>
        <v>115</v>
      </c>
      <c r="AH41" s="3">
        <f t="shared" si="53"/>
        <v>44</v>
      </c>
      <c r="AI41" s="3">
        <f t="shared" si="54"/>
        <v>23</v>
      </c>
      <c r="AJ41" s="3">
        <f t="shared" si="52"/>
        <v>8</v>
      </c>
      <c r="AK41" s="3">
        <f t="shared" si="47"/>
        <v>6</v>
      </c>
      <c r="AP41" s="1">
        <v>43961</v>
      </c>
      <c r="AQ41" s="3">
        <f t="shared" si="57"/>
        <v>246</v>
      </c>
      <c r="AR41" s="3">
        <f t="shared" si="31"/>
        <v>144</v>
      </c>
      <c r="AS41" s="3">
        <f t="shared" si="32"/>
        <v>140</v>
      </c>
      <c r="AT41" s="3">
        <f t="shared" si="33"/>
        <v>72</v>
      </c>
      <c r="AU41" s="3">
        <f t="shared" si="34"/>
        <v>114</v>
      </c>
      <c r="AZ41" s="1">
        <v>43961</v>
      </c>
      <c r="BA41" s="3">
        <f t="shared" si="44"/>
        <v>443</v>
      </c>
      <c r="BB41" s="3">
        <f t="shared" si="45"/>
        <v>150</v>
      </c>
      <c r="BC41" s="3">
        <f t="shared" si="48"/>
        <v>80</v>
      </c>
      <c r="BD41" s="3">
        <f t="shared" si="36"/>
        <v>14</v>
      </c>
      <c r="BE41" s="3">
        <f t="shared" si="40"/>
        <v>121</v>
      </c>
    </row>
    <row r="42" spans="2:57" x14ac:dyDescent="0.2">
      <c r="B42" s="1">
        <v>43962</v>
      </c>
      <c r="C42" s="3">
        <f t="shared" si="55"/>
        <v>318</v>
      </c>
      <c r="D42" s="3">
        <f t="shared" si="56"/>
        <v>255</v>
      </c>
      <c r="E42" s="3">
        <f t="shared" si="30"/>
        <v>120</v>
      </c>
      <c r="F42" s="3"/>
      <c r="G42" s="3">
        <f t="shared" si="49"/>
        <v>209</v>
      </c>
      <c r="L42" s="1">
        <v>43962</v>
      </c>
      <c r="M42" s="3">
        <f t="shared" si="4"/>
        <v>99</v>
      </c>
      <c r="N42" s="3">
        <f t="shared" si="5"/>
        <v>114</v>
      </c>
      <c r="O42" s="3">
        <f t="shared" si="39"/>
        <v>78</v>
      </c>
      <c r="P42" s="3">
        <f t="shared" ref="P42:P53" si="59">SUM(K178-K177)</f>
        <v>107</v>
      </c>
      <c r="Q42" s="3">
        <f t="shared" si="50"/>
        <v>102</v>
      </c>
      <c r="V42" s="1">
        <v>43962</v>
      </c>
      <c r="W42" s="3">
        <f t="shared" si="51"/>
        <v>77</v>
      </c>
      <c r="X42" s="3">
        <f t="shared" si="10"/>
        <v>185</v>
      </c>
      <c r="Y42" s="3">
        <f t="shared" si="11"/>
        <v>79</v>
      </c>
      <c r="Z42" s="3">
        <f t="shared" si="58"/>
        <v>52</v>
      </c>
      <c r="AA42" s="3">
        <v>75</v>
      </c>
      <c r="AF42" s="1">
        <v>43962</v>
      </c>
      <c r="AG42" s="3">
        <f t="shared" si="43"/>
        <v>119</v>
      </c>
      <c r="AH42" s="3">
        <f t="shared" si="53"/>
        <v>16</v>
      </c>
      <c r="AI42" s="3">
        <f t="shared" si="54"/>
        <v>22</v>
      </c>
      <c r="AJ42" s="3">
        <f t="shared" si="52"/>
        <v>7</v>
      </c>
      <c r="AK42" s="3">
        <f t="shared" si="47"/>
        <v>10</v>
      </c>
      <c r="AP42" s="1">
        <v>43962</v>
      </c>
      <c r="AQ42" s="3">
        <f t="shared" si="57"/>
        <v>125</v>
      </c>
      <c r="AR42" s="3">
        <f t="shared" si="31"/>
        <v>32</v>
      </c>
      <c r="AS42" s="3">
        <f t="shared" si="32"/>
        <v>70</v>
      </c>
      <c r="AT42" s="3">
        <f t="shared" si="33"/>
        <v>18</v>
      </c>
      <c r="AU42" s="3">
        <f t="shared" si="34"/>
        <v>46</v>
      </c>
      <c r="AZ42" s="1">
        <v>43962</v>
      </c>
      <c r="BA42" s="3">
        <f t="shared" si="44"/>
        <v>568</v>
      </c>
      <c r="BB42" s="3">
        <f t="shared" si="45"/>
        <v>139</v>
      </c>
      <c r="BC42" s="3">
        <f t="shared" si="48"/>
        <v>131</v>
      </c>
      <c r="BD42" s="3">
        <f t="shared" si="36"/>
        <v>9</v>
      </c>
      <c r="BE42" s="3">
        <f t="shared" si="40"/>
        <v>72</v>
      </c>
    </row>
    <row r="43" spans="2:57" x14ac:dyDescent="0.2">
      <c r="B43" s="1">
        <v>43963</v>
      </c>
      <c r="C43" s="3">
        <f t="shared" si="55"/>
        <v>211</v>
      </c>
      <c r="D43" s="3">
        <f t="shared" si="56"/>
        <v>259</v>
      </c>
      <c r="E43" s="3">
        <f t="shared" si="30"/>
        <v>97</v>
      </c>
      <c r="F43" s="3"/>
      <c r="G43" s="3">
        <f t="shared" si="49"/>
        <v>151</v>
      </c>
      <c r="L43" s="1">
        <v>43963</v>
      </c>
      <c r="M43" s="3">
        <f t="shared" si="4"/>
        <v>63</v>
      </c>
      <c r="N43" s="3">
        <f t="shared" si="5"/>
        <v>39</v>
      </c>
      <c r="O43" s="3">
        <f t="shared" si="39"/>
        <v>83</v>
      </c>
      <c r="P43" s="3">
        <f t="shared" si="59"/>
        <v>39</v>
      </c>
      <c r="Q43" s="3">
        <f t="shared" si="50"/>
        <v>71</v>
      </c>
      <c r="V43" s="1">
        <v>43963</v>
      </c>
      <c r="W43" s="3">
        <f t="shared" si="51"/>
        <v>98</v>
      </c>
      <c r="X43" s="3">
        <f t="shared" si="10"/>
        <v>179</v>
      </c>
      <c r="Y43" s="3">
        <f t="shared" si="11"/>
        <v>140</v>
      </c>
      <c r="Z43" s="3">
        <f t="shared" si="58"/>
        <v>42</v>
      </c>
      <c r="AA43" s="3">
        <f t="shared" ref="AA43:AA51" si="60">SUM(Q181-Q180)</f>
        <v>141</v>
      </c>
      <c r="AF43" s="1">
        <v>43963</v>
      </c>
      <c r="AG43" s="3">
        <f t="shared" si="43"/>
        <v>80</v>
      </c>
      <c r="AH43" s="3">
        <f t="shared" si="53"/>
        <v>32</v>
      </c>
      <c r="AI43" s="3">
        <f t="shared" si="54"/>
        <v>33</v>
      </c>
      <c r="AJ43" s="3">
        <f t="shared" si="52"/>
        <v>17</v>
      </c>
      <c r="AK43" s="3">
        <f t="shared" si="47"/>
        <v>14</v>
      </c>
      <c r="AP43" s="1">
        <v>43963</v>
      </c>
      <c r="AQ43" s="3">
        <f t="shared" si="57"/>
        <v>210</v>
      </c>
      <c r="AR43" s="3">
        <f t="shared" si="31"/>
        <v>150</v>
      </c>
      <c r="AS43" s="3">
        <f t="shared" si="32"/>
        <v>38</v>
      </c>
      <c r="AT43" s="3">
        <f t="shared" si="33"/>
        <v>27</v>
      </c>
      <c r="AU43" s="3">
        <f t="shared" si="34"/>
        <v>36</v>
      </c>
      <c r="AZ43" s="1">
        <v>43963</v>
      </c>
      <c r="BA43" s="3">
        <f t="shared" si="44"/>
        <v>1002</v>
      </c>
      <c r="BB43" s="3">
        <f t="shared" si="45"/>
        <v>96</v>
      </c>
      <c r="BC43" s="3">
        <f t="shared" si="48"/>
        <v>52</v>
      </c>
      <c r="BD43" s="3">
        <f t="shared" si="36"/>
        <v>22</v>
      </c>
      <c r="BE43" s="3">
        <f t="shared" si="40"/>
        <v>144</v>
      </c>
    </row>
    <row r="44" spans="2:57" x14ac:dyDescent="0.2">
      <c r="B44" s="1">
        <v>43964</v>
      </c>
      <c r="C44" s="3">
        <f t="shared" si="55"/>
        <v>357</v>
      </c>
      <c r="D44" s="3">
        <f t="shared" si="56"/>
        <v>336</v>
      </c>
      <c r="E44" s="3">
        <f t="shared" si="30"/>
        <v>153</v>
      </c>
      <c r="F44" s="3">
        <f t="shared" ref="F44:F56" si="61">SUM(D190-D189)</f>
        <v>236</v>
      </c>
      <c r="G44" s="3">
        <f t="shared" si="49"/>
        <v>243</v>
      </c>
      <c r="L44" s="1">
        <v>43964</v>
      </c>
      <c r="M44" s="3">
        <f t="shared" si="4"/>
        <v>59</v>
      </c>
      <c r="N44" s="3">
        <f t="shared" si="5"/>
        <v>60</v>
      </c>
      <c r="O44" s="3">
        <f t="shared" si="39"/>
        <v>64</v>
      </c>
      <c r="P44" s="3">
        <f t="shared" si="59"/>
        <v>103</v>
      </c>
      <c r="Q44" s="3">
        <f t="shared" si="50"/>
        <v>41</v>
      </c>
      <c r="V44" s="1">
        <v>43964</v>
      </c>
      <c r="W44" s="3">
        <f t="shared" si="51"/>
        <v>133</v>
      </c>
      <c r="X44" s="3">
        <f t="shared" si="10"/>
        <v>248</v>
      </c>
      <c r="Y44" s="3">
        <f t="shared" si="11"/>
        <v>131</v>
      </c>
      <c r="Z44" s="3">
        <f t="shared" si="58"/>
        <v>83</v>
      </c>
      <c r="AA44" s="3">
        <f t="shared" si="60"/>
        <v>282</v>
      </c>
      <c r="AF44" s="1">
        <v>43964</v>
      </c>
      <c r="AG44" s="3">
        <f t="shared" si="43"/>
        <v>115</v>
      </c>
      <c r="AH44" s="3">
        <f t="shared" si="53"/>
        <v>46</v>
      </c>
      <c r="AI44" s="3">
        <f t="shared" si="54"/>
        <v>40</v>
      </c>
      <c r="AJ44" s="3">
        <f t="shared" si="52"/>
        <v>2</v>
      </c>
      <c r="AK44" s="3">
        <f t="shared" si="47"/>
        <v>4</v>
      </c>
      <c r="AP44" s="1">
        <v>43964</v>
      </c>
      <c r="AQ44" s="3">
        <f t="shared" si="57"/>
        <v>158</v>
      </c>
      <c r="AR44" s="3">
        <f t="shared" si="31"/>
        <v>71</v>
      </c>
      <c r="AS44" s="3">
        <f t="shared" si="32"/>
        <v>73</v>
      </c>
      <c r="AT44" s="3">
        <f t="shared" si="33"/>
        <v>32</v>
      </c>
      <c r="AU44" s="3">
        <f t="shared" si="34"/>
        <v>32</v>
      </c>
      <c r="AZ44" s="1">
        <v>43964</v>
      </c>
      <c r="BA44" s="3">
        <f t="shared" si="44"/>
        <v>1293</v>
      </c>
      <c r="BB44" s="3">
        <f t="shared" si="45"/>
        <v>117</v>
      </c>
      <c r="BC44" s="3">
        <f t="shared" si="48"/>
        <v>70</v>
      </c>
      <c r="BD44" s="3">
        <f t="shared" si="36"/>
        <v>8</v>
      </c>
      <c r="BE44" s="3">
        <f t="shared" si="40"/>
        <v>182</v>
      </c>
    </row>
    <row r="45" spans="2:57" x14ac:dyDescent="0.2">
      <c r="B45" s="1">
        <v>43965</v>
      </c>
      <c r="C45" s="3">
        <f t="shared" si="55"/>
        <v>336</v>
      </c>
      <c r="D45" s="3">
        <f t="shared" si="56"/>
        <v>428</v>
      </c>
      <c r="E45" s="3">
        <f t="shared" si="30"/>
        <v>156</v>
      </c>
      <c r="F45" s="3">
        <f t="shared" si="61"/>
        <v>303</v>
      </c>
      <c r="G45" s="3">
        <f t="shared" si="49"/>
        <v>239</v>
      </c>
      <c r="L45" s="1">
        <v>43965</v>
      </c>
      <c r="M45" s="3"/>
      <c r="N45" s="3">
        <f t="shared" si="5"/>
        <v>99</v>
      </c>
      <c r="O45" s="3">
        <f t="shared" si="39"/>
        <v>75</v>
      </c>
      <c r="P45" s="3">
        <f t="shared" si="59"/>
        <v>79</v>
      </c>
      <c r="Q45" s="3">
        <f t="shared" si="50"/>
        <v>130</v>
      </c>
      <c r="V45" s="1">
        <v>43965</v>
      </c>
      <c r="W45" s="3">
        <f t="shared" si="51"/>
        <v>294</v>
      </c>
      <c r="X45" s="3">
        <f t="shared" si="10"/>
        <v>180</v>
      </c>
      <c r="Y45" s="3">
        <f t="shared" si="11"/>
        <v>247</v>
      </c>
      <c r="Z45" s="3">
        <f t="shared" si="58"/>
        <v>129</v>
      </c>
      <c r="AA45" s="3">
        <f t="shared" si="60"/>
        <v>314</v>
      </c>
      <c r="AF45" s="1">
        <v>43965</v>
      </c>
      <c r="AG45" s="3">
        <f t="shared" si="43"/>
        <v>381</v>
      </c>
      <c r="AH45" s="3">
        <f t="shared" si="53"/>
        <v>122</v>
      </c>
      <c r="AI45" s="3">
        <f t="shared" si="54"/>
        <v>95</v>
      </c>
      <c r="AJ45" s="3">
        <f t="shared" si="52"/>
        <v>29</v>
      </c>
      <c r="AK45" s="3">
        <f t="shared" si="47"/>
        <v>21</v>
      </c>
      <c r="AP45" s="1">
        <v>43965</v>
      </c>
      <c r="AQ45" s="3">
        <f t="shared" si="57"/>
        <v>248</v>
      </c>
      <c r="AR45" s="3">
        <f t="shared" si="31"/>
        <v>70</v>
      </c>
      <c r="AS45" s="3">
        <f t="shared" si="32"/>
        <v>95</v>
      </c>
      <c r="AT45" s="3">
        <f t="shared" si="33"/>
        <v>60</v>
      </c>
      <c r="AU45" s="3">
        <f t="shared" si="34"/>
        <v>45</v>
      </c>
      <c r="AZ45" s="1">
        <v>43965</v>
      </c>
      <c r="BA45" s="3">
        <f t="shared" si="44"/>
        <v>853</v>
      </c>
      <c r="BB45" s="3">
        <f t="shared" si="45"/>
        <v>113</v>
      </c>
      <c r="BC45" s="3">
        <f t="shared" si="48"/>
        <v>135</v>
      </c>
      <c r="BD45" s="3">
        <f t="shared" si="36"/>
        <v>10</v>
      </c>
      <c r="BE45" s="3">
        <f t="shared" si="40"/>
        <v>138</v>
      </c>
    </row>
    <row r="46" spans="2:57" x14ac:dyDescent="0.2">
      <c r="B46" s="1">
        <v>43966</v>
      </c>
      <c r="C46" s="3">
        <f t="shared" si="55"/>
        <v>432</v>
      </c>
      <c r="D46" s="3">
        <f t="shared" si="56"/>
        <v>486</v>
      </c>
      <c r="E46" s="3">
        <f t="shared" si="30"/>
        <v>121</v>
      </c>
      <c r="F46" s="3">
        <f t="shared" si="61"/>
        <v>539</v>
      </c>
      <c r="G46" s="3">
        <f t="shared" si="49"/>
        <v>175</v>
      </c>
      <c r="L46" s="1">
        <v>43966</v>
      </c>
      <c r="M46" s="3"/>
      <c r="N46" s="3">
        <f t="shared" si="5"/>
        <v>103</v>
      </c>
      <c r="O46" s="3">
        <f t="shared" si="39"/>
        <v>129</v>
      </c>
      <c r="P46" s="3">
        <f t="shared" si="59"/>
        <v>107</v>
      </c>
      <c r="Q46" s="3">
        <f t="shared" si="50"/>
        <v>43</v>
      </c>
      <c r="V46" s="1">
        <v>43966</v>
      </c>
      <c r="W46" s="3">
        <f t="shared" si="51"/>
        <v>115</v>
      </c>
      <c r="X46" s="3">
        <f t="shared" si="10"/>
        <v>302</v>
      </c>
      <c r="Y46" s="3">
        <f t="shared" si="11"/>
        <v>181</v>
      </c>
      <c r="Z46" s="3">
        <f t="shared" si="58"/>
        <v>73</v>
      </c>
      <c r="AA46" s="3">
        <f t="shared" si="60"/>
        <v>231</v>
      </c>
      <c r="AF46" s="1">
        <v>43966</v>
      </c>
      <c r="AG46" s="3">
        <f t="shared" si="43"/>
        <v>112</v>
      </c>
      <c r="AH46" s="3">
        <f t="shared" si="53"/>
        <v>42</v>
      </c>
      <c r="AI46" s="3">
        <f t="shared" si="54"/>
        <v>42</v>
      </c>
      <c r="AJ46" s="3">
        <f t="shared" si="52"/>
        <v>22</v>
      </c>
      <c r="AK46" s="3">
        <f t="shared" si="47"/>
        <v>5</v>
      </c>
      <c r="AP46" s="1">
        <v>43966</v>
      </c>
      <c r="AQ46" s="3">
        <f t="shared" si="57"/>
        <v>211</v>
      </c>
      <c r="AR46" s="3">
        <f t="shared" si="31"/>
        <v>114</v>
      </c>
      <c r="AS46" s="3">
        <f t="shared" si="32"/>
        <v>157</v>
      </c>
      <c r="AT46" s="3">
        <f t="shared" si="33"/>
        <v>18</v>
      </c>
      <c r="AU46" s="3">
        <f t="shared" si="34"/>
        <v>63</v>
      </c>
      <c r="AZ46" s="1">
        <v>43966</v>
      </c>
      <c r="BA46" s="3">
        <f t="shared" si="44"/>
        <v>890</v>
      </c>
      <c r="BB46" s="3">
        <f t="shared" si="45"/>
        <v>132</v>
      </c>
      <c r="BC46" s="3">
        <f t="shared" si="48"/>
        <v>157</v>
      </c>
      <c r="BD46" s="3">
        <f t="shared" si="36"/>
        <v>15</v>
      </c>
      <c r="BE46" s="3">
        <f t="shared" si="40"/>
        <v>118</v>
      </c>
    </row>
    <row r="47" spans="2:57" x14ac:dyDescent="0.2">
      <c r="B47" s="1">
        <v>43967</v>
      </c>
      <c r="C47" s="3">
        <f t="shared" si="55"/>
        <v>325</v>
      </c>
      <c r="D47" s="3">
        <f t="shared" si="56"/>
        <v>410</v>
      </c>
      <c r="E47" s="3">
        <f t="shared" si="30"/>
        <v>169</v>
      </c>
      <c r="F47" s="3">
        <f t="shared" si="61"/>
        <v>293</v>
      </c>
      <c r="G47" s="3">
        <f t="shared" si="49"/>
        <v>223</v>
      </c>
      <c r="L47" s="1">
        <v>43967</v>
      </c>
      <c r="M47" s="3">
        <f t="shared" ref="M47:M56" si="62">SUM(F184-F183)</f>
        <v>51</v>
      </c>
      <c r="N47" s="3">
        <f t="shared" si="5"/>
        <v>89</v>
      </c>
      <c r="O47" s="3">
        <f t="shared" si="39"/>
        <v>79</v>
      </c>
      <c r="P47" s="3">
        <f t="shared" si="59"/>
        <v>77</v>
      </c>
      <c r="Q47" s="3">
        <f t="shared" si="50"/>
        <v>101</v>
      </c>
      <c r="V47" s="1">
        <v>43967</v>
      </c>
      <c r="W47" s="3">
        <f t="shared" si="51"/>
        <v>350</v>
      </c>
      <c r="X47" s="3">
        <f t="shared" si="10"/>
        <v>200</v>
      </c>
      <c r="Y47" s="3">
        <f t="shared" si="11"/>
        <v>183</v>
      </c>
      <c r="Z47" s="3">
        <f t="shared" si="58"/>
        <v>81</v>
      </c>
      <c r="AA47" s="3">
        <f t="shared" si="60"/>
        <v>281</v>
      </c>
      <c r="AF47" s="1">
        <v>43967</v>
      </c>
      <c r="AG47" s="3">
        <v>134</v>
      </c>
      <c r="AH47" s="3">
        <f t="shared" si="53"/>
        <v>29</v>
      </c>
      <c r="AI47" s="3">
        <f t="shared" si="54"/>
        <v>30</v>
      </c>
      <c r="AJ47" s="3">
        <f t="shared" si="52"/>
        <v>10</v>
      </c>
      <c r="AK47" s="3">
        <f t="shared" si="47"/>
        <v>5</v>
      </c>
      <c r="AP47" s="1">
        <v>43967</v>
      </c>
      <c r="AQ47" s="3">
        <f t="shared" si="57"/>
        <v>197</v>
      </c>
      <c r="AR47" s="3">
        <f t="shared" si="31"/>
        <v>100</v>
      </c>
      <c r="AS47" s="3">
        <f t="shared" si="32"/>
        <v>146</v>
      </c>
      <c r="AT47" s="3">
        <f t="shared" si="33"/>
        <v>44</v>
      </c>
      <c r="AU47" s="3">
        <f t="shared" si="34"/>
        <v>50</v>
      </c>
      <c r="AZ47" s="1">
        <v>43967</v>
      </c>
      <c r="BA47" s="3">
        <f t="shared" si="44"/>
        <v>1035</v>
      </c>
      <c r="BB47" s="3">
        <f t="shared" si="45"/>
        <v>139</v>
      </c>
      <c r="BC47" s="3">
        <f t="shared" si="48"/>
        <v>137</v>
      </c>
      <c r="BD47" s="3">
        <f t="shared" si="36"/>
        <v>25</v>
      </c>
      <c r="BE47" s="3">
        <f t="shared" si="40"/>
        <v>115</v>
      </c>
    </row>
    <row r="48" spans="2:57" x14ac:dyDescent="0.2">
      <c r="B48" s="1">
        <v>43968</v>
      </c>
      <c r="C48" s="3">
        <f t="shared" si="55"/>
        <v>291</v>
      </c>
      <c r="D48" s="3">
        <f t="shared" si="56"/>
        <v>307</v>
      </c>
      <c r="E48" s="3">
        <f t="shared" si="30"/>
        <v>103</v>
      </c>
      <c r="F48" s="3">
        <f t="shared" si="61"/>
        <v>210</v>
      </c>
      <c r="G48" s="3">
        <f t="shared" si="49"/>
        <v>175</v>
      </c>
      <c r="L48" s="1">
        <v>43968</v>
      </c>
      <c r="M48" s="3">
        <f t="shared" si="62"/>
        <v>115</v>
      </c>
      <c r="N48" s="3">
        <f t="shared" si="5"/>
        <v>121</v>
      </c>
      <c r="O48" s="3">
        <f t="shared" si="39"/>
        <v>108</v>
      </c>
      <c r="P48" s="3">
        <f t="shared" si="59"/>
        <v>133</v>
      </c>
      <c r="Q48" s="3">
        <f t="shared" si="50"/>
        <v>174</v>
      </c>
      <c r="V48" s="1">
        <v>43968</v>
      </c>
      <c r="W48" s="3">
        <f t="shared" si="51"/>
        <v>133</v>
      </c>
      <c r="X48" s="3">
        <f t="shared" si="10"/>
        <v>246</v>
      </c>
      <c r="Y48" s="3">
        <f t="shared" si="11"/>
        <v>148</v>
      </c>
      <c r="Z48" s="3">
        <f t="shared" si="58"/>
        <v>62</v>
      </c>
      <c r="AA48" s="3">
        <f t="shared" si="60"/>
        <v>185</v>
      </c>
      <c r="AF48" s="1">
        <v>43968</v>
      </c>
      <c r="AG48" s="3">
        <v>49</v>
      </c>
      <c r="AH48" s="3">
        <f t="shared" si="53"/>
        <v>20</v>
      </c>
      <c r="AI48" s="3">
        <f t="shared" si="54"/>
        <v>41</v>
      </c>
      <c r="AJ48" s="3">
        <f t="shared" si="52"/>
        <v>21</v>
      </c>
      <c r="AK48" s="3">
        <f t="shared" si="47"/>
        <v>1</v>
      </c>
      <c r="AP48" s="1">
        <v>43968</v>
      </c>
      <c r="AQ48" s="3">
        <f t="shared" si="57"/>
        <v>108</v>
      </c>
      <c r="AR48" s="3">
        <f t="shared" si="31"/>
        <v>75</v>
      </c>
      <c r="AS48" s="3">
        <f t="shared" si="32"/>
        <v>64</v>
      </c>
      <c r="AT48" s="3">
        <f t="shared" si="33"/>
        <v>30</v>
      </c>
      <c r="AU48" s="3">
        <f t="shared" si="34"/>
        <v>34</v>
      </c>
      <c r="AZ48" s="1">
        <v>43968</v>
      </c>
      <c r="BA48" s="3">
        <f t="shared" si="44"/>
        <v>644</v>
      </c>
      <c r="BB48" s="3">
        <f t="shared" si="45"/>
        <v>174</v>
      </c>
      <c r="BC48" s="3">
        <f t="shared" si="48"/>
        <v>143</v>
      </c>
      <c r="BD48" s="3">
        <f t="shared" si="36"/>
        <v>33</v>
      </c>
      <c r="BE48" s="3">
        <f t="shared" si="40"/>
        <v>70</v>
      </c>
    </row>
    <row r="49" spans="2:58" x14ac:dyDescent="0.2">
      <c r="B49" s="1">
        <v>43969</v>
      </c>
      <c r="C49" s="3">
        <f t="shared" si="55"/>
        <v>192</v>
      </c>
      <c r="D49" s="3">
        <f t="shared" si="56"/>
        <v>187</v>
      </c>
      <c r="E49" s="3">
        <f t="shared" si="30"/>
        <v>89</v>
      </c>
      <c r="F49" s="3">
        <f t="shared" si="61"/>
        <v>136</v>
      </c>
      <c r="G49" s="3">
        <f t="shared" si="49"/>
        <v>107</v>
      </c>
      <c r="L49" s="1">
        <v>43969</v>
      </c>
      <c r="M49" s="3">
        <f t="shared" si="62"/>
        <v>98</v>
      </c>
      <c r="N49" s="3"/>
      <c r="O49" s="3">
        <f t="shared" si="39"/>
        <v>460</v>
      </c>
      <c r="P49" s="3">
        <f t="shared" si="59"/>
        <v>201</v>
      </c>
      <c r="Q49" s="3">
        <f t="shared" si="50"/>
        <v>73</v>
      </c>
      <c r="V49" s="1">
        <v>43969</v>
      </c>
      <c r="W49" s="3">
        <f t="shared" si="51"/>
        <v>192</v>
      </c>
      <c r="X49" s="3">
        <f t="shared" si="10"/>
        <v>216</v>
      </c>
      <c r="Y49" s="3">
        <f t="shared" si="11"/>
        <v>125</v>
      </c>
      <c r="Z49" s="3">
        <f t="shared" si="58"/>
        <v>50</v>
      </c>
      <c r="AA49" s="3">
        <f t="shared" si="60"/>
        <v>190</v>
      </c>
      <c r="AF49" s="1">
        <v>43969</v>
      </c>
      <c r="AG49" s="3">
        <f t="shared" ref="AG49:AG56" si="63">SUM(T193-T192)</f>
        <v>63</v>
      </c>
      <c r="AH49" s="3">
        <f t="shared" si="53"/>
        <v>7</v>
      </c>
      <c r="AI49" s="3">
        <f t="shared" si="54"/>
        <v>12</v>
      </c>
      <c r="AJ49" s="3">
        <f t="shared" si="52"/>
        <v>3</v>
      </c>
      <c r="AK49" s="3">
        <f t="shared" si="47"/>
        <v>3</v>
      </c>
      <c r="AP49" s="1">
        <v>43969</v>
      </c>
      <c r="AQ49" s="3">
        <f t="shared" si="57"/>
        <v>200</v>
      </c>
      <c r="AR49" s="3">
        <f t="shared" si="31"/>
        <v>140</v>
      </c>
      <c r="AS49" s="3">
        <f t="shared" si="32"/>
        <v>70</v>
      </c>
      <c r="AT49" s="3">
        <f t="shared" si="33"/>
        <v>21</v>
      </c>
      <c r="AU49" s="3">
        <f t="shared" si="34"/>
        <v>42</v>
      </c>
      <c r="AZ49" s="1">
        <v>43969</v>
      </c>
      <c r="BA49" s="3">
        <f t="shared" si="44"/>
        <v>481</v>
      </c>
      <c r="BB49" s="3">
        <f t="shared" si="45"/>
        <v>110</v>
      </c>
      <c r="BC49" s="3">
        <f t="shared" si="48"/>
        <v>97</v>
      </c>
      <c r="BD49" s="3">
        <f t="shared" si="36"/>
        <v>15</v>
      </c>
      <c r="BE49" s="3">
        <f t="shared" si="40"/>
        <v>92</v>
      </c>
    </row>
    <row r="50" spans="2:58" x14ac:dyDescent="0.2">
      <c r="B50" s="1">
        <v>43970</v>
      </c>
      <c r="C50" s="3">
        <f t="shared" si="55"/>
        <v>184</v>
      </c>
      <c r="D50" s="3">
        <f t="shared" si="56"/>
        <v>196</v>
      </c>
      <c r="E50" s="3">
        <f t="shared" si="30"/>
        <v>70</v>
      </c>
      <c r="F50" s="3">
        <f t="shared" si="61"/>
        <v>112</v>
      </c>
      <c r="G50" s="3">
        <f t="shared" si="49"/>
        <v>103</v>
      </c>
      <c r="L50" s="1">
        <v>43970</v>
      </c>
      <c r="M50" s="3">
        <f t="shared" si="62"/>
        <v>63</v>
      </c>
      <c r="N50" s="3"/>
      <c r="O50" s="3">
        <f t="shared" si="39"/>
        <v>86</v>
      </c>
      <c r="P50" s="3">
        <f t="shared" si="59"/>
        <v>128</v>
      </c>
      <c r="Q50" s="3">
        <f t="shared" si="50"/>
        <v>93</v>
      </c>
      <c r="V50" s="1">
        <v>43970</v>
      </c>
      <c r="W50" s="3">
        <f t="shared" si="51"/>
        <v>154</v>
      </c>
      <c r="X50" s="3">
        <f t="shared" si="10"/>
        <v>159</v>
      </c>
      <c r="Y50" s="3">
        <f t="shared" si="11"/>
        <v>161</v>
      </c>
      <c r="Z50" s="3">
        <f t="shared" si="58"/>
        <v>41</v>
      </c>
      <c r="AA50" s="3">
        <f t="shared" si="60"/>
        <v>140</v>
      </c>
      <c r="AF50" s="1">
        <v>43970</v>
      </c>
      <c r="AG50" s="3">
        <f t="shared" si="63"/>
        <v>164</v>
      </c>
      <c r="AH50" s="3">
        <f t="shared" si="53"/>
        <v>28</v>
      </c>
      <c r="AI50" s="3">
        <f t="shared" si="54"/>
        <v>10</v>
      </c>
      <c r="AJ50" s="3">
        <f t="shared" si="52"/>
        <v>22</v>
      </c>
      <c r="AK50" s="3">
        <f t="shared" si="47"/>
        <v>6</v>
      </c>
      <c r="AP50" s="1">
        <v>43970</v>
      </c>
      <c r="AQ50" s="3">
        <f t="shared" si="57"/>
        <v>147</v>
      </c>
      <c r="AR50" s="3">
        <f t="shared" si="31"/>
        <v>51</v>
      </c>
      <c r="AS50" s="3">
        <f t="shared" si="32"/>
        <v>65</v>
      </c>
      <c r="AT50" s="3">
        <f t="shared" si="33"/>
        <v>22</v>
      </c>
      <c r="AU50" s="3">
        <f t="shared" si="34"/>
        <v>16</v>
      </c>
      <c r="AZ50" s="1">
        <v>43970</v>
      </c>
      <c r="BA50" s="3">
        <f t="shared" si="44"/>
        <v>1193</v>
      </c>
      <c r="BB50" s="3">
        <f t="shared" si="45"/>
        <v>80</v>
      </c>
      <c r="BC50" s="3">
        <f t="shared" si="48"/>
        <v>90</v>
      </c>
      <c r="BD50" s="3">
        <f t="shared" si="36"/>
        <v>12</v>
      </c>
      <c r="BE50" s="3">
        <f t="shared" si="40"/>
        <v>209</v>
      </c>
    </row>
    <row r="51" spans="2:58" x14ac:dyDescent="0.2">
      <c r="B51" s="1">
        <v>43971</v>
      </c>
      <c r="C51" s="3">
        <f t="shared" si="55"/>
        <v>244</v>
      </c>
      <c r="D51" s="3">
        <f t="shared" si="56"/>
        <v>208</v>
      </c>
      <c r="E51" s="3">
        <f t="shared" si="30"/>
        <v>73</v>
      </c>
      <c r="F51" s="3">
        <f t="shared" si="61"/>
        <v>148</v>
      </c>
      <c r="G51" s="3">
        <f t="shared" si="49"/>
        <v>84</v>
      </c>
      <c r="L51" s="1">
        <v>43971</v>
      </c>
      <c r="M51" s="3"/>
      <c r="N51" s="3">
        <f t="shared" ref="N51:N56" si="64">SUM(G186-G185)</f>
        <v>127</v>
      </c>
      <c r="O51" s="3">
        <f t="shared" si="39"/>
        <v>166</v>
      </c>
      <c r="P51" s="3">
        <f t="shared" si="59"/>
        <v>91</v>
      </c>
      <c r="Q51" s="3">
        <f t="shared" si="50"/>
        <v>55</v>
      </c>
      <c r="V51" s="1">
        <v>43971</v>
      </c>
      <c r="W51" s="3">
        <f t="shared" si="51"/>
        <v>137</v>
      </c>
      <c r="X51" s="3">
        <v>204</v>
      </c>
      <c r="Y51" s="3">
        <f t="shared" ref="Y51:Y56" si="65">SUM(O200-O199)</f>
        <v>172</v>
      </c>
      <c r="Z51" s="3">
        <f t="shared" si="58"/>
        <v>42</v>
      </c>
      <c r="AA51" s="3">
        <f t="shared" si="60"/>
        <v>198</v>
      </c>
      <c r="AF51" s="1">
        <v>43971</v>
      </c>
      <c r="AG51" s="3">
        <f t="shared" si="63"/>
        <v>140</v>
      </c>
      <c r="AH51" s="3">
        <f t="shared" si="53"/>
        <v>39</v>
      </c>
      <c r="AI51" s="3">
        <f t="shared" si="54"/>
        <v>25</v>
      </c>
      <c r="AJ51" s="3">
        <f t="shared" si="52"/>
        <v>24</v>
      </c>
      <c r="AK51" s="3">
        <f t="shared" si="47"/>
        <v>10</v>
      </c>
      <c r="AP51" s="1">
        <v>43971</v>
      </c>
      <c r="AQ51" s="3">
        <f t="shared" si="57"/>
        <v>158</v>
      </c>
      <c r="AR51" s="3">
        <f t="shared" si="31"/>
        <v>91</v>
      </c>
      <c r="AS51" s="3">
        <f t="shared" si="32"/>
        <v>90</v>
      </c>
      <c r="AT51" s="3">
        <f t="shared" si="33"/>
        <v>37</v>
      </c>
      <c r="AU51" s="3">
        <f t="shared" si="34"/>
        <v>28</v>
      </c>
      <c r="AZ51" s="1">
        <v>43971</v>
      </c>
      <c r="BA51" s="3">
        <f t="shared" si="44"/>
        <v>1262</v>
      </c>
      <c r="BB51" s="3">
        <f t="shared" si="45"/>
        <v>114</v>
      </c>
      <c r="BC51" s="3">
        <f t="shared" si="48"/>
        <v>127</v>
      </c>
      <c r="BD51" s="3">
        <f t="shared" si="36"/>
        <v>28</v>
      </c>
      <c r="BE51" s="3">
        <f t="shared" si="40"/>
        <v>99</v>
      </c>
    </row>
    <row r="52" spans="2:58" x14ac:dyDescent="0.2">
      <c r="B52" s="1">
        <v>43972</v>
      </c>
      <c r="C52" s="3">
        <f t="shared" si="55"/>
        <v>273</v>
      </c>
      <c r="D52" s="3">
        <f t="shared" si="56"/>
        <v>496</v>
      </c>
      <c r="E52" s="3">
        <f t="shared" si="30"/>
        <v>119</v>
      </c>
      <c r="F52" s="3">
        <f t="shared" si="61"/>
        <v>185</v>
      </c>
      <c r="G52" s="3">
        <f t="shared" si="49"/>
        <v>142</v>
      </c>
      <c r="L52" s="1">
        <v>43972</v>
      </c>
      <c r="M52" s="3"/>
      <c r="N52" s="3">
        <f t="shared" si="64"/>
        <v>66</v>
      </c>
      <c r="O52" s="3">
        <f t="shared" si="39"/>
        <v>54</v>
      </c>
      <c r="P52" s="3">
        <f t="shared" si="59"/>
        <v>54</v>
      </c>
      <c r="Q52" s="3">
        <f t="shared" si="50"/>
        <v>71</v>
      </c>
      <c r="V52" s="1">
        <v>43972</v>
      </c>
      <c r="W52" s="3">
        <f t="shared" si="51"/>
        <v>127</v>
      </c>
      <c r="X52" s="3">
        <v>222</v>
      </c>
      <c r="Y52" s="3">
        <f t="shared" si="65"/>
        <v>143</v>
      </c>
      <c r="Z52" s="3">
        <f t="shared" si="58"/>
        <v>84</v>
      </c>
      <c r="AA52" s="3">
        <v>217</v>
      </c>
      <c r="AF52" s="1">
        <v>43972</v>
      </c>
      <c r="AG52" s="3">
        <f t="shared" si="63"/>
        <v>106</v>
      </c>
      <c r="AH52" s="3">
        <f t="shared" si="53"/>
        <v>8</v>
      </c>
      <c r="AI52" s="3">
        <f t="shared" si="54"/>
        <v>28</v>
      </c>
      <c r="AJ52" s="3">
        <f t="shared" si="52"/>
        <v>11</v>
      </c>
      <c r="AK52" s="3">
        <f t="shared" si="47"/>
        <v>4</v>
      </c>
      <c r="AP52" s="1">
        <v>43972</v>
      </c>
      <c r="AQ52" s="3">
        <f t="shared" si="57"/>
        <v>195</v>
      </c>
      <c r="AR52" s="3">
        <f t="shared" si="31"/>
        <v>114</v>
      </c>
      <c r="AS52" s="3">
        <f t="shared" si="32"/>
        <v>125</v>
      </c>
      <c r="AT52" s="3">
        <f t="shared" si="33"/>
        <v>36</v>
      </c>
      <c r="AU52" s="3">
        <f t="shared" si="34"/>
        <v>21</v>
      </c>
      <c r="AZ52" s="1">
        <v>43972</v>
      </c>
      <c r="BA52" s="3">
        <f t="shared" si="44"/>
        <v>1131</v>
      </c>
      <c r="BB52" s="3">
        <f t="shared" si="45"/>
        <v>175</v>
      </c>
      <c r="BC52" s="3">
        <f t="shared" si="48"/>
        <v>155</v>
      </c>
      <c r="BD52" s="3">
        <f t="shared" si="36"/>
        <v>12</v>
      </c>
      <c r="BE52" s="3">
        <f t="shared" si="40"/>
        <v>109</v>
      </c>
    </row>
    <row r="53" spans="2:58" x14ac:dyDescent="0.2">
      <c r="B53" s="1">
        <v>43973</v>
      </c>
      <c r="C53" s="3">
        <f t="shared" si="55"/>
        <v>211</v>
      </c>
      <c r="D53">
        <v>254</v>
      </c>
      <c r="E53" s="3">
        <f t="shared" si="30"/>
        <v>121</v>
      </c>
      <c r="F53" s="3">
        <f t="shared" si="61"/>
        <v>163</v>
      </c>
      <c r="G53" s="3">
        <f t="shared" si="49"/>
        <v>119</v>
      </c>
      <c r="L53" s="1">
        <v>43973</v>
      </c>
      <c r="M53" s="3">
        <f t="shared" si="62"/>
        <v>70</v>
      </c>
      <c r="N53" s="3">
        <f t="shared" si="64"/>
        <v>83</v>
      </c>
      <c r="O53" s="3">
        <f t="shared" si="39"/>
        <v>108</v>
      </c>
      <c r="P53" s="3">
        <f t="shared" si="59"/>
        <v>15</v>
      </c>
      <c r="Q53" s="3">
        <f t="shared" si="50"/>
        <v>107</v>
      </c>
      <c r="V53" s="1">
        <v>43973</v>
      </c>
      <c r="W53" s="3">
        <f t="shared" si="51"/>
        <v>91</v>
      </c>
      <c r="X53" s="3">
        <f>SUM(N202-N201)</f>
        <v>155</v>
      </c>
      <c r="Y53" s="3">
        <f t="shared" si="65"/>
        <v>158</v>
      </c>
      <c r="Z53" s="3">
        <f t="shared" si="58"/>
        <v>33</v>
      </c>
      <c r="AA53" s="3">
        <v>104</v>
      </c>
      <c r="AF53" s="1">
        <v>43973</v>
      </c>
      <c r="AG53" s="3">
        <f t="shared" si="63"/>
        <v>64</v>
      </c>
      <c r="AH53" s="3">
        <f t="shared" si="53"/>
        <v>6</v>
      </c>
      <c r="AI53" s="3">
        <f t="shared" si="54"/>
        <v>25</v>
      </c>
      <c r="AJ53" s="3">
        <f t="shared" si="52"/>
        <v>3</v>
      </c>
      <c r="AK53" s="3">
        <f t="shared" si="47"/>
        <v>10</v>
      </c>
      <c r="AP53" s="1">
        <v>43973</v>
      </c>
      <c r="AQ53" s="3">
        <f t="shared" si="57"/>
        <v>217</v>
      </c>
      <c r="AR53" s="3">
        <f t="shared" si="31"/>
        <v>98</v>
      </c>
      <c r="AS53" s="3">
        <f t="shared" si="32"/>
        <v>91</v>
      </c>
      <c r="AT53" s="3">
        <f t="shared" si="33"/>
        <v>27</v>
      </c>
      <c r="AU53" s="3">
        <f t="shared" si="34"/>
        <v>54</v>
      </c>
      <c r="AZ53" s="1">
        <v>43973</v>
      </c>
      <c r="BA53" s="3">
        <f t="shared" si="44"/>
        <v>962</v>
      </c>
      <c r="BB53" s="3">
        <f t="shared" si="45"/>
        <v>119</v>
      </c>
      <c r="BC53" s="3">
        <f t="shared" si="48"/>
        <v>106</v>
      </c>
      <c r="BD53" s="3">
        <f t="shared" si="36"/>
        <v>17</v>
      </c>
      <c r="BE53" s="3">
        <f t="shared" si="40"/>
        <v>169</v>
      </c>
    </row>
    <row r="54" spans="2:58" x14ac:dyDescent="0.2">
      <c r="B54" s="1">
        <v>43974</v>
      </c>
      <c r="C54" s="3">
        <f t="shared" si="55"/>
        <v>186</v>
      </c>
      <c r="D54" s="3">
        <v>263</v>
      </c>
      <c r="E54" s="3">
        <f t="shared" si="30"/>
        <v>118</v>
      </c>
      <c r="F54" s="3">
        <f t="shared" si="61"/>
        <v>155</v>
      </c>
      <c r="G54" s="3">
        <f t="shared" si="49"/>
        <v>130</v>
      </c>
      <c r="L54" s="1">
        <v>43974</v>
      </c>
      <c r="M54" s="3">
        <f t="shared" si="62"/>
        <v>15</v>
      </c>
      <c r="N54" s="3">
        <f t="shared" si="64"/>
        <v>13</v>
      </c>
      <c r="O54" s="3">
        <f t="shared" si="39"/>
        <v>51</v>
      </c>
      <c r="P54" s="3"/>
      <c r="Q54" s="3">
        <f t="shared" si="50"/>
        <v>6</v>
      </c>
      <c r="V54" s="1">
        <v>43974</v>
      </c>
      <c r="W54" s="3">
        <f t="shared" si="51"/>
        <v>111</v>
      </c>
      <c r="X54" s="3">
        <f>SUM(N203-N202)</f>
        <v>147</v>
      </c>
      <c r="Y54" s="3">
        <f t="shared" si="65"/>
        <v>113</v>
      </c>
      <c r="Z54" s="3">
        <f t="shared" si="58"/>
        <v>35</v>
      </c>
      <c r="AA54" s="3">
        <f>SUM(Q192-Q191)</f>
        <v>150</v>
      </c>
      <c r="AF54" s="1">
        <v>43974</v>
      </c>
      <c r="AG54" s="3">
        <f t="shared" si="63"/>
        <v>95</v>
      </c>
      <c r="AH54" s="3">
        <f t="shared" si="53"/>
        <v>61</v>
      </c>
      <c r="AI54" s="3">
        <f t="shared" si="54"/>
        <v>37</v>
      </c>
      <c r="AJ54" s="3">
        <f t="shared" si="52"/>
        <v>7</v>
      </c>
      <c r="AK54" s="3">
        <f t="shared" si="47"/>
        <v>7</v>
      </c>
      <c r="AP54" s="1">
        <v>43974</v>
      </c>
      <c r="AQ54" s="3">
        <f t="shared" si="57"/>
        <v>151</v>
      </c>
      <c r="AR54" s="3">
        <f t="shared" si="31"/>
        <v>98</v>
      </c>
      <c r="AS54" s="3">
        <f t="shared" si="32"/>
        <v>54</v>
      </c>
      <c r="AT54" s="3">
        <f t="shared" si="33"/>
        <v>15</v>
      </c>
      <c r="AU54" s="3">
        <f t="shared" si="34"/>
        <v>7</v>
      </c>
      <c r="AZ54" s="1">
        <v>43974</v>
      </c>
      <c r="BA54" s="3">
        <f t="shared" si="44"/>
        <v>1004</v>
      </c>
      <c r="BB54" s="3">
        <f t="shared" si="45"/>
        <v>125</v>
      </c>
      <c r="BC54" s="3">
        <f t="shared" si="48"/>
        <v>109</v>
      </c>
      <c r="BD54" s="3">
        <f t="shared" si="36"/>
        <v>56</v>
      </c>
      <c r="BE54" s="3">
        <f t="shared" si="40"/>
        <v>169</v>
      </c>
    </row>
    <row r="55" spans="2:58" x14ac:dyDescent="0.2">
      <c r="B55" s="1">
        <v>43975</v>
      </c>
      <c r="C55">
        <v>214</v>
      </c>
      <c r="D55" s="3">
        <v>273</v>
      </c>
      <c r="E55" s="3">
        <f t="shared" si="30"/>
        <v>111</v>
      </c>
      <c r="F55" s="3">
        <f t="shared" si="61"/>
        <v>216</v>
      </c>
      <c r="G55" s="3">
        <f t="shared" si="49"/>
        <v>162</v>
      </c>
      <c r="L55" s="1">
        <v>43975</v>
      </c>
      <c r="M55" s="3">
        <f t="shared" si="62"/>
        <v>136</v>
      </c>
      <c r="N55" s="3">
        <f t="shared" si="64"/>
        <v>67</v>
      </c>
      <c r="O55" s="3">
        <f t="shared" si="39"/>
        <v>77</v>
      </c>
      <c r="P55" s="3"/>
      <c r="Q55" s="3">
        <f t="shared" si="50"/>
        <v>76</v>
      </c>
      <c r="V55" s="1">
        <v>43975</v>
      </c>
      <c r="W55" s="3">
        <f t="shared" si="51"/>
        <v>126</v>
      </c>
      <c r="X55" s="3">
        <f>SUM(N204-N203)</f>
        <v>205</v>
      </c>
      <c r="Y55" s="3">
        <f t="shared" si="65"/>
        <v>123</v>
      </c>
      <c r="Z55" s="3">
        <f t="shared" si="58"/>
        <v>53</v>
      </c>
      <c r="AA55" s="3">
        <f>SUM(Q193-Q192)</f>
        <v>180</v>
      </c>
      <c r="AF55" s="1">
        <v>43975</v>
      </c>
      <c r="AG55" s="3">
        <f t="shared" si="63"/>
        <v>74</v>
      </c>
      <c r="AH55" s="3">
        <f t="shared" si="53"/>
        <v>23</v>
      </c>
      <c r="AI55" s="3">
        <f t="shared" si="54"/>
        <v>17</v>
      </c>
      <c r="AJ55" s="3">
        <f t="shared" si="52"/>
        <v>12</v>
      </c>
      <c r="AK55" s="3">
        <f t="shared" si="47"/>
        <v>12</v>
      </c>
      <c r="AP55" s="1">
        <v>43975</v>
      </c>
      <c r="AQ55" s="3">
        <f t="shared" si="57"/>
        <v>176</v>
      </c>
      <c r="AR55" s="3">
        <f t="shared" si="31"/>
        <v>61</v>
      </c>
      <c r="AS55" s="3">
        <f t="shared" si="32"/>
        <v>65</v>
      </c>
      <c r="AT55" s="3">
        <f t="shared" si="33"/>
        <v>23</v>
      </c>
      <c r="AU55" s="3">
        <f t="shared" si="34"/>
        <v>40</v>
      </c>
      <c r="AZ55" s="1">
        <v>43975</v>
      </c>
      <c r="BA55" s="3">
        <f t="shared" si="44"/>
        <v>925</v>
      </c>
      <c r="BB55" s="3">
        <f t="shared" si="45"/>
        <v>142</v>
      </c>
      <c r="BC55" s="3">
        <f t="shared" si="48"/>
        <v>111</v>
      </c>
      <c r="BD55" s="3">
        <f t="shared" si="36"/>
        <v>30</v>
      </c>
      <c r="BE55" s="3">
        <f t="shared" si="40"/>
        <v>126</v>
      </c>
    </row>
    <row r="56" spans="2:58" x14ac:dyDescent="0.2">
      <c r="B56" s="1">
        <v>43976</v>
      </c>
      <c r="C56" s="3">
        <f>SUM(A212-A211)</f>
        <v>192</v>
      </c>
      <c r="D56" s="3">
        <v>185</v>
      </c>
      <c r="E56" s="3">
        <f t="shared" si="30"/>
        <v>70</v>
      </c>
      <c r="F56" s="3">
        <f t="shared" si="61"/>
        <v>110</v>
      </c>
      <c r="G56" s="3">
        <f t="shared" si="49"/>
        <v>126</v>
      </c>
      <c r="L56" s="1">
        <v>43976</v>
      </c>
      <c r="M56" s="3">
        <f t="shared" si="62"/>
        <v>97</v>
      </c>
      <c r="N56" s="3">
        <f t="shared" si="64"/>
        <v>74</v>
      </c>
      <c r="O56" s="3">
        <f t="shared" si="39"/>
        <v>60</v>
      </c>
      <c r="P56" s="3">
        <v>49</v>
      </c>
      <c r="Q56" s="3">
        <f t="shared" si="50"/>
        <v>88</v>
      </c>
      <c r="V56" s="1">
        <v>43976</v>
      </c>
      <c r="W56" s="3">
        <f t="shared" si="51"/>
        <v>63</v>
      </c>
      <c r="X56" s="3">
        <f>SUM(N205-N204)</f>
        <v>102</v>
      </c>
      <c r="Y56" s="3">
        <f t="shared" si="65"/>
        <v>118</v>
      </c>
      <c r="Z56" s="3">
        <v>32</v>
      </c>
      <c r="AA56" s="3">
        <f>SUM(Q194-Q193)</f>
        <v>74</v>
      </c>
      <c r="AF56" s="1">
        <v>43976</v>
      </c>
      <c r="AG56" s="3">
        <f t="shared" si="63"/>
        <v>45</v>
      </c>
      <c r="AH56" s="3">
        <f t="shared" si="53"/>
        <v>11</v>
      </c>
      <c r="AI56" s="3">
        <f t="shared" si="54"/>
        <v>17</v>
      </c>
      <c r="AJ56" s="3">
        <f t="shared" si="52"/>
        <v>13</v>
      </c>
      <c r="AK56" s="3">
        <f t="shared" si="47"/>
        <v>4</v>
      </c>
      <c r="AP56" s="1">
        <v>43976</v>
      </c>
      <c r="AQ56" s="3">
        <f t="shared" si="57"/>
        <v>111</v>
      </c>
      <c r="AR56" s="3">
        <f t="shared" si="31"/>
        <v>51</v>
      </c>
      <c r="AS56" s="3">
        <f t="shared" si="32"/>
        <v>31</v>
      </c>
      <c r="AT56" s="3">
        <f t="shared" si="33"/>
        <v>16</v>
      </c>
      <c r="AU56" s="3">
        <f t="shared" si="34"/>
        <v>18</v>
      </c>
      <c r="AZ56" s="1">
        <v>43976</v>
      </c>
      <c r="BA56" s="3">
        <f t="shared" si="44"/>
        <v>998</v>
      </c>
      <c r="BB56" s="3">
        <f t="shared" si="45"/>
        <v>96</v>
      </c>
      <c r="BC56" s="3">
        <f t="shared" si="48"/>
        <v>329</v>
      </c>
      <c r="BD56" s="3">
        <f t="shared" si="36"/>
        <v>24</v>
      </c>
      <c r="BE56" s="3">
        <f t="shared" si="40"/>
        <v>162</v>
      </c>
    </row>
    <row r="57" spans="2:58" x14ac:dyDescent="0.2">
      <c r="B57" s="1">
        <v>43977</v>
      </c>
      <c r="C57" s="3">
        <v>132</v>
      </c>
      <c r="D57" s="3">
        <v>200</v>
      </c>
      <c r="E57" s="3">
        <v>67</v>
      </c>
      <c r="F57" s="3">
        <v>117</v>
      </c>
      <c r="G57" s="3">
        <v>109</v>
      </c>
      <c r="L57" s="1">
        <v>43977</v>
      </c>
      <c r="M57">
        <v>62</v>
      </c>
      <c r="N57">
        <v>45</v>
      </c>
      <c r="O57">
        <v>53</v>
      </c>
      <c r="P57">
        <v>75</v>
      </c>
      <c r="Q57">
        <v>52</v>
      </c>
      <c r="V57" s="1">
        <v>43977</v>
      </c>
      <c r="W57">
        <v>53</v>
      </c>
      <c r="X57">
        <v>62</v>
      </c>
      <c r="Y57">
        <v>95</v>
      </c>
      <c r="Z57">
        <v>19</v>
      </c>
      <c r="AA57">
        <v>52</v>
      </c>
      <c r="AF57" s="1">
        <v>43977</v>
      </c>
      <c r="AG57">
        <v>110</v>
      </c>
      <c r="AH57">
        <v>14</v>
      </c>
      <c r="AI57">
        <v>12</v>
      </c>
      <c r="AJ57">
        <v>3</v>
      </c>
      <c r="AK57">
        <v>3</v>
      </c>
      <c r="AP57" s="1">
        <v>43977</v>
      </c>
      <c r="AQ57">
        <v>102</v>
      </c>
      <c r="AR57">
        <v>22</v>
      </c>
      <c r="AS57">
        <v>33</v>
      </c>
      <c r="AT57">
        <v>9</v>
      </c>
      <c r="AU57">
        <v>16</v>
      </c>
      <c r="AZ57" s="1">
        <v>43977</v>
      </c>
      <c r="BA57">
        <v>1808</v>
      </c>
      <c r="BB57">
        <v>85</v>
      </c>
      <c r="BC57">
        <v>17</v>
      </c>
      <c r="BD57">
        <v>12</v>
      </c>
      <c r="BE57">
        <v>50</v>
      </c>
    </row>
    <row r="58" spans="2:58" x14ac:dyDescent="0.2">
      <c r="B58" s="1">
        <v>43978</v>
      </c>
      <c r="C58" s="3">
        <v>165</v>
      </c>
      <c r="D58" s="3">
        <v>219</v>
      </c>
      <c r="E58" s="3">
        <v>60</v>
      </c>
      <c r="F58" s="3">
        <v>139</v>
      </c>
      <c r="G58" s="3">
        <v>59</v>
      </c>
      <c r="L58" s="1">
        <v>43978</v>
      </c>
      <c r="M58">
        <v>60</v>
      </c>
      <c r="N58">
        <v>36</v>
      </c>
      <c r="O58">
        <v>83</v>
      </c>
      <c r="P58">
        <v>31</v>
      </c>
      <c r="Q58">
        <v>47</v>
      </c>
      <c r="V58" s="1">
        <v>43978</v>
      </c>
      <c r="W58">
        <v>63</v>
      </c>
      <c r="X58">
        <v>105</v>
      </c>
      <c r="Y58">
        <v>108</v>
      </c>
      <c r="Z58">
        <v>17</v>
      </c>
      <c r="AA58">
        <v>90</v>
      </c>
      <c r="AF58" s="1">
        <v>43978</v>
      </c>
      <c r="AG58">
        <v>73</v>
      </c>
      <c r="AH58">
        <v>20</v>
      </c>
      <c r="AI58">
        <v>30</v>
      </c>
      <c r="AJ58">
        <v>7</v>
      </c>
      <c r="AK58">
        <v>4</v>
      </c>
      <c r="AP58" s="1">
        <v>43978</v>
      </c>
      <c r="AQ58">
        <v>242</v>
      </c>
      <c r="AR58">
        <v>140</v>
      </c>
      <c r="AS58">
        <v>46</v>
      </c>
      <c r="AT58">
        <v>23</v>
      </c>
      <c r="AU58">
        <v>33</v>
      </c>
      <c r="AZ58" s="1">
        <v>43978</v>
      </c>
      <c r="BA58">
        <v>951</v>
      </c>
      <c r="BB58">
        <v>101</v>
      </c>
      <c r="BC58">
        <v>239</v>
      </c>
      <c r="BD58">
        <v>21</v>
      </c>
      <c r="BE58">
        <v>198</v>
      </c>
    </row>
    <row r="59" spans="2:58" x14ac:dyDescent="0.2">
      <c r="B59" s="1">
        <v>43979</v>
      </c>
      <c r="C59" s="3">
        <v>275</v>
      </c>
      <c r="D59" s="3">
        <v>368</v>
      </c>
      <c r="E59" s="3">
        <v>106</v>
      </c>
      <c r="F59" s="3">
        <v>250</v>
      </c>
      <c r="G59" s="3">
        <v>101</v>
      </c>
      <c r="L59" s="1">
        <v>43979</v>
      </c>
      <c r="M59">
        <v>135</v>
      </c>
      <c r="N59">
        <v>94</v>
      </c>
      <c r="O59">
        <v>112</v>
      </c>
      <c r="P59" s="3">
        <v>151</v>
      </c>
      <c r="Q59">
        <v>86</v>
      </c>
      <c r="V59" s="1">
        <v>43979</v>
      </c>
      <c r="W59">
        <v>102</v>
      </c>
      <c r="X59">
        <v>151</v>
      </c>
      <c r="Y59">
        <v>121</v>
      </c>
      <c r="Z59" s="3">
        <v>39</v>
      </c>
      <c r="AA59">
        <v>66</v>
      </c>
      <c r="AF59" s="1">
        <v>43979</v>
      </c>
      <c r="AG59">
        <v>60</v>
      </c>
      <c r="AH59">
        <v>21</v>
      </c>
      <c r="AI59">
        <v>28</v>
      </c>
      <c r="AJ59">
        <v>12</v>
      </c>
      <c r="AK59">
        <v>8</v>
      </c>
      <c r="AP59" s="1">
        <v>43979</v>
      </c>
      <c r="AQ59">
        <v>133</v>
      </c>
      <c r="AR59">
        <v>73</v>
      </c>
      <c r="AS59">
        <v>48</v>
      </c>
      <c r="AT59">
        <v>20</v>
      </c>
      <c r="AU59">
        <v>21</v>
      </c>
      <c r="AZ59" s="1">
        <v>43979</v>
      </c>
      <c r="BA59">
        <v>1150</v>
      </c>
      <c r="BB59">
        <v>117</v>
      </c>
      <c r="BC59">
        <v>84</v>
      </c>
      <c r="BD59">
        <v>18</v>
      </c>
      <c r="BE59">
        <v>196</v>
      </c>
    </row>
    <row r="60" spans="2:58" x14ac:dyDescent="0.2">
      <c r="B60" s="1">
        <v>43980</v>
      </c>
      <c r="C60" s="3">
        <v>244</v>
      </c>
      <c r="D60" s="3">
        <v>299</v>
      </c>
      <c r="E60" s="3">
        <v>86</v>
      </c>
      <c r="F60" s="3">
        <v>221</v>
      </c>
      <c r="G60" s="3">
        <v>86</v>
      </c>
      <c r="L60" s="1">
        <v>43980</v>
      </c>
      <c r="M60">
        <v>65</v>
      </c>
      <c r="N60">
        <v>61</v>
      </c>
      <c r="O60">
        <v>96</v>
      </c>
      <c r="P60" s="3">
        <v>135</v>
      </c>
      <c r="Q60">
        <v>86</v>
      </c>
      <c r="V60" s="1">
        <v>43980</v>
      </c>
      <c r="W60">
        <v>88</v>
      </c>
      <c r="X60">
        <v>115</v>
      </c>
      <c r="Y60">
        <v>95</v>
      </c>
      <c r="Z60" s="3">
        <v>40</v>
      </c>
      <c r="AA60">
        <v>103</v>
      </c>
      <c r="AF60" s="1">
        <v>43980</v>
      </c>
      <c r="AG60">
        <v>168</v>
      </c>
      <c r="AH60">
        <v>30</v>
      </c>
      <c r="AI60">
        <v>30</v>
      </c>
      <c r="AJ60">
        <v>15</v>
      </c>
      <c r="AK60">
        <v>5</v>
      </c>
      <c r="AP60" s="1">
        <v>43980</v>
      </c>
      <c r="AQ60">
        <v>184</v>
      </c>
      <c r="AR60">
        <v>95</v>
      </c>
      <c r="AS60">
        <v>42</v>
      </c>
      <c r="AT60">
        <v>19</v>
      </c>
      <c r="AU60">
        <v>15</v>
      </c>
      <c r="AZ60" s="1">
        <v>43980</v>
      </c>
      <c r="BA60">
        <v>1717</v>
      </c>
      <c r="BB60">
        <v>140</v>
      </c>
      <c r="BC60">
        <v>136</v>
      </c>
      <c r="BD60">
        <v>9</v>
      </c>
      <c r="BE60">
        <v>131</v>
      </c>
    </row>
    <row r="61" spans="2:58" x14ac:dyDescent="0.2">
      <c r="B61" s="1">
        <v>43981</v>
      </c>
      <c r="C61" s="3">
        <v>183</v>
      </c>
      <c r="D61" s="3">
        <v>281</v>
      </c>
      <c r="E61" s="3">
        <v>81</v>
      </c>
      <c r="F61" s="3">
        <v>142</v>
      </c>
      <c r="G61" s="3">
        <v>87</v>
      </c>
      <c r="L61" s="1">
        <v>43981</v>
      </c>
      <c r="N61">
        <v>56</v>
      </c>
      <c r="O61">
        <v>48</v>
      </c>
      <c r="Q61">
        <v>54</v>
      </c>
      <c r="V61" s="1">
        <v>43981</v>
      </c>
      <c r="W61">
        <v>54</v>
      </c>
      <c r="X61">
        <v>87</v>
      </c>
      <c r="Y61">
        <v>152</v>
      </c>
      <c r="Z61" s="3">
        <v>105</v>
      </c>
      <c r="AA61">
        <v>57</v>
      </c>
      <c r="AF61" s="1">
        <v>43981</v>
      </c>
      <c r="AG61">
        <v>27</v>
      </c>
      <c r="AH61">
        <v>8</v>
      </c>
      <c r="AI61">
        <v>8</v>
      </c>
      <c r="AJ61">
        <v>6</v>
      </c>
      <c r="AK61">
        <v>13</v>
      </c>
      <c r="AP61" s="1">
        <v>43981</v>
      </c>
      <c r="AQ61">
        <v>191</v>
      </c>
      <c r="AR61">
        <v>100</v>
      </c>
      <c r="AS61">
        <v>41</v>
      </c>
      <c r="AT61">
        <v>9</v>
      </c>
      <c r="AU61">
        <v>14</v>
      </c>
      <c r="AZ61" s="1">
        <v>43981</v>
      </c>
      <c r="BA61">
        <v>2049</v>
      </c>
      <c r="BB61">
        <v>145</v>
      </c>
      <c r="BC61">
        <v>116</v>
      </c>
      <c r="BD61">
        <v>34</v>
      </c>
      <c r="BE61">
        <v>178</v>
      </c>
      <c r="BF61" s="3"/>
    </row>
    <row r="62" spans="2:58" x14ac:dyDescent="0.2">
      <c r="B62" s="1">
        <v>43982</v>
      </c>
      <c r="C62" s="3">
        <v>148</v>
      </c>
      <c r="D62" s="3">
        <v>173</v>
      </c>
      <c r="E62" s="3">
        <v>89</v>
      </c>
      <c r="F62" s="3">
        <v>173</v>
      </c>
      <c r="G62" s="3">
        <v>111</v>
      </c>
      <c r="L62" s="1">
        <v>43982</v>
      </c>
      <c r="N62">
        <v>76</v>
      </c>
      <c r="O62">
        <v>35</v>
      </c>
      <c r="Q62">
        <v>71</v>
      </c>
      <c r="V62" s="1">
        <v>43982</v>
      </c>
      <c r="W62">
        <v>63</v>
      </c>
      <c r="X62">
        <v>163</v>
      </c>
      <c r="Y62">
        <v>126</v>
      </c>
      <c r="Z62" s="3">
        <v>63</v>
      </c>
      <c r="AA62">
        <v>117</v>
      </c>
      <c r="AF62" s="1">
        <v>43982</v>
      </c>
      <c r="AG62">
        <v>161</v>
      </c>
      <c r="AH62">
        <v>77</v>
      </c>
      <c r="AI62">
        <v>71</v>
      </c>
      <c r="AJ62">
        <v>9</v>
      </c>
      <c r="AK62">
        <v>5</v>
      </c>
      <c r="AP62" s="1">
        <v>43982</v>
      </c>
      <c r="AQ62">
        <v>79</v>
      </c>
      <c r="AR62">
        <v>55</v>
      </c>
      <c r="AS62">
        <v>41</v>
      </c>
      <c r="AT62">
        <v>18</v>
      </c>
      <c r="AU62">
        <v>59</v>
      </c>
      <c r="AZ62" s="1">
        <v>43982</v>
      </c>
      <c r="BA62">
        <v>1298</v>
      </c>
      <c r="BB62">
        <v>96</v>
      </c>
      <c r="BC62">
        <v>212</v>
      </c>
      <c r="BD62">
        <v>44</v>
      </c>
      <c r="BE62">
        <v>178</v>
      </c>
    </row>
    <row r="63" spans="2:58" x14ac:dyDescent="0.2">
      <c r="B63" s="1">
        <v>43983</v>
      </c>
      <c r="C63" s="3">
        <v>119</v>
      </c>
      <c r="D63" s="3">
        <v>153</v>
      </c>
      <c r="E63" s="3">
        <v>83</v>
      </c>
      <c r="F63" s="3">
        <v>106</v>
      </c>
      <c r="G63" s="3">
        <v>62</v>
      </c>
      <c r="L63" s="1">
        <v>43983</v>
      </c>
      <c r="M63">
        <v>30</v>
      </c>
      <c r="N63">
        <v>9</v>
      </c>
      <c r="O63">
        <v>66</v>
      </c>
      <c r="P63">
        <v>37</v>
      </c>
      <c r="Q63">
        <v>30</v>
      </c>
      <c r="V63" s="1">
        <v>43983</v>
      </c>
      <c r="W63">
        <v>645</v>
      </c>
      <c r="X63">
        <v>937</v>
      </c>
      <c r="Y63">
        <v>496</v>
      </c>
      <c r="Z63" s="3">
        <v>507</v>
      </c>
      <c r="AA63">
        <v>334</v>
      </c>
      <c r="AF63" s="1">
        <v>43983</v>
      </c>
      <c r="AG63">
        <v>31</v>
      </c>
      <c r="AH63">
        <v>11</v>
      </c>
      <c r="AI63">
        <v>12</v>
      </c>
      <c r="AJ63">
        <v>2</v>
      </c>
      <c r="AK63">
        <v>1</v>
      </c>
      <c r="AP63" s="1">
        <v>43983</v>
      </c>
      <c r="AQ63">
        <v>91</v>
      </c>
      <c r="AR63">
        <v>32</v>
      </c>
      <c r="AS63">
        <v>20</v>
      </c>
      <c r="AT63">
        <v>5</v>
      </c>
      <c r="AU63">
        <v>13</v>
      </c>
      <c r="AZ63" s="1">
        <v>43983</v>
      </c>
      <c r="BA63">
        <v>974</v>
      </c>
      <c r="BB63">
        <v>73</v>
      </c>
      <c r="BC63">
        <v>217</v>
      </c>
      <c r="BD63">
        <v>12</v>
      </c>
      <c r="BE63">
        <v>108</v>
      </c>
    </row>
    <row r="64" spans="2:58" x14ac:dyDescent="0.2">
      <c r="B64" s="1">
        <v>43984</v>
      </c>
      <c r="C64" s="3">
        <v>199</v>
      </c>
      <c r="D64" s="3">
        <v>189</v>
      </c>
      <c r="E64" s="3">
        <v>93</v>
      </c>
      <c r="F64" s="3">
        <v>107</v>
      </c>
      <c r="G64" s="3">
        <v>275</v>
      </c>
      <c r="L64" s="1">
        <v>43984</v>
      </c>
      <c r="M64">
        <v>31</v>
      </c>
      <c r="N64">
        <v>27</v>
      </c>
      <c r="O64">
        <v>57</v>
      </c>
      <c r="P64">
        <v>10</v>
      </c>
      <c r="Q64">
        <v>34</v>
      </c>
      <c r="V64" s="1">
        <v>43984</v>
      </c>
      <c r="W64">
        <v>55</v>
      </c>
      <c r="X64">
        <v>72</v>
      </c>
      <c r="Y64">
        <v>74</v>
      </c>
      <c r="Z64" s="3">
        <v>14</v>
      </c>
      <c r="AA64">
        <v>86</v>
      </c>
      <c r="AF64" s="1">
        <v>43984</v>
      </c>
      <c r="AG64">
        <v>22</v>
      </c>
      <c r="AH64">
        <v>5</v>
      </c>
      <c r="AI64">
        <v>13</v>
      </c>
      <c r="AJ64">
        <v>6</v>
      </c>
      <c r="AK64">
        <v>3</v>
      </c>
      <c r="AP64" s="1">
        <v>43984</v>
      </c>
      <c r="AQ64">
        <v>186</v>
      </c>
      <c r="AR64">
        <v>79</v>
      </c>
      <c r="AS64">
        <v>15</v>
      </c>
      <c r="AT64">
        <v>10</v>
      </c>
      <c r="AU64">
        <v>33</v>
      </c>
      <c r="AZ64" s="1">
        <v>43984</v>
      </c>
      <c r="BA64">
        <v>1245</v>
      </c>
      <c r="BB64">
        <v>120</v>
      </c>
      <c r="BC64">
        <v>170</v>
      </c>
      <c r="BD64">
        <v>22</v>
      </c>
      <c r="BE64">
        <v>150</v>
      </c>
    </row>
    <row r="65" spans="2:57" x14ac:dyDescent="0.2">
      <c r="B65" s="1">
        <v>43985</v>
      </c>
      <c r="C65" s="3">
        <v>132</v>
      </c>
      <c r="D65" s="3">
        <v>163</v>
      </c>
      <c r="E65" s="3">
        <v>72</v>
      </c>
      <c r="F65" s="3">
        <v>105</v>
      </c>
      <c r="G65" s="3">
        <v>82</v>
      </c>
      <c r="L65" s="1">
        <v>43985</v>
      </c>
      <c r="M65">
        <v>43</v>
      </c>
      <c r="N65">
        <v>5</v>
      </c>
      <c r="O65">
        <v>59</v>
      </c>
      <c r="P65">
        <v>43</v>
      </c>
      <c r="Q65">
        <v>43</v>
      </c>
      <c r="V65" s="1">
        <v>43985</v>
      </c>
      <c r="W65">
        <v>97</v>
      </c>
      <c r="X65">
        <v>107</v>
      </c>
      <c r="Y65">
        <v>62</v>
      </c>
      <c r="Z65" s="3">
        <v>13</v>
      </c>
      <c r="AA65">
        <v>27</v>
      </c>
      <c r="AF65" s="1">
        <v>43985</v>
      </c>
      <c r="AG65">
        <v>73</v>
      </c>
      <c r="AH65">
        <v>13</v>
      </c>
      <c r="AI65">
        <v>49</v>
      </c>
      <c r="AJ65">
        <v>28</v>
      </c>
      <c r="AK65">
        <v>1</v>
      </c>
      <c r="AP65" s="1">
        <v>43985</v>
      </c>
      <c r="AQ65">
        <v>82</v>
      </c>
      <c r="AR65">
        <v>70</v>
      </c>
      <c r="AS65">
        <v>52</v>
      </c>
      <c r="AT65">
        <v>22</v>
      </c>
      <c r="AU65">
        <v>45</v>
      </c>
      <c r="AZ65" s="1">
        <v>43985</v>
      </c>
      <c r="BA65">
        <v>1022</v>
      </c>
      <c r="BB65">
        <v>124</v>
      </c>
      <c r="BC65">
        <v>117</v>
      </c>
      <c r="BD65">
        <v>17</v>
      </c>
      <c r="BE65">
        <v>149</v>
      </c>
    </row>
    <row r="66" spans="2:57" x14ac:dyDescent="0.2">
      <c r="B66" s="1">
        <v>43986</v>
      </c>
      <c r="C66" s="3">
        <v>117</v>
      </c>
      <c r="D66" s="3">
        <v>182</v>
      </c>
      <c r="E66" s="3">
        <v>69</v>
      </c>
      <c r="F66" s="3">
        <v>117</v>
      </c>
      <c r="G66" s="3">
        <v>91</v>
      </c>
      <c r="L66" s="1">
        <v>43986</v>
      </c>
      <c r="M66">
        <v>32</v>
      </c>
      <c r="N66">
        <v>5</v>
      </c>
      <c r="O66">
        <v>101</v>
      </c>
      <c r="P66">
        <v>42</v>
      </c>
      <c r="Q66">
        <v>34</v>
      </c>
      <c r="V66" s="1">
        <v>43986</v>
      </c>
      <c r="W66">
        <v>57</v>
      </c>
      <c r="X66">
        <v>82</v>
      </c>
      <c r="Y66">
        <v>112</v>
      </c>
      <c r="Z66" s="3">
        <v>12</v>
      </c>
      <c r="AA66">
        <v>64</v>
      </c>
      <c r="AF66" s="1">
        <v>43986</v>
      </c>
      <c r="AG66">
        <v>49</v>
      </c>
      <c r="AH66">
        <v>13</v>
      </c>
      <c r="AI66">
        <v>21</v>
      </c>
      <c r="AK66">
        <v>6</v>
      </c>
      <c r="AP66" s="1">
        <v>43986</v>
      </c>
      <c r="AQ66">
        <v>103</v>
      </c>
      <c r="AR66">
        <v>109</v>
      </c>
      <c r="AS66">
        <v>39</v>
      </c>
      <c r="AT66">
        <v>15</v>
      </c>
      <c r="AU66">
        <v>0</v>
      </c>
      <c r="AZ66" s="1">
        <v>43986</v>
      </c>
      <c r="BA66">
        <v>1430</v>
      </c>
      <c r="BB66">
        <v>142</v>
      </c>
      <c r="BC66">
        <v>265</v>
      </c>
      <c r="BD66">
        <v>35</v>
      </c>
      <c r="BE66">
        <v>253</v>
      </c>
    </row>
    <row r="67" spans="2:57" x14ac:dyDescent="0.2">
      <c r="B67" s="1">
        <v>43987</v>
      </c>
      <c r="C67" s="3">
        <v>150</v>
      </c>
      <c r="D67" s="3">
        <v>183</v>
      </c>
      <c r="E67" s="3">
        <v>84</v>
      </c>
      <c r="F67" s="3">
        <v>90</v>
      </c>
      <c r="G67" s="3">
        <v>86</v>
      </c>
      <c r="L67" s="1">
        <v>43987</v>
      </c>
      <c r="M67">
        <v>55</v>
      </c>
      <c r="N67">
        <v>53</v>
      </c>
      <c r="O67">
        <v>107</v>
      </c>
      <c r="P67">
        <v>85</v>
      </c>
      <c r="Q67">
        <v>76</v>
      </c>
      <c r="V67" s="1">
        <v>43987</v>
      </c>
      <c r="W67">
        <v>68</v>
      </c>
      <c r="X67">
        <v>98</v>
      </c>
      <c r="Y67">
        <v>95</v>
      </c>
      <c r="Z67" s="3">
        <v>21</v>
      </c>
      <c r="AA67">
        <v>71</v>
      </c>
      <c r="AF67" s="1">
        <v>43987</v>
      </c>
      <c r="AG67">
        <v>73</v>
      </c>
      <c r="AH67">
        <v>19</v>
      </c>
      <c r="AI67">
        <v>25</v>
      </c>
      <c r="AK67">
        <v>1</v>
      </c>
      <c r="AP67" s="1">
        <v>43987</v>
      </c>
      <c r="AQ67">
        <v>89</v>
      </c>
      <c r="AR67">
        <v>65</v>
      </c>
      <c r="AS67">
        <v>21</v>
      </c>
      <c r="AT67">
        <v>12</v>
      </c>
      <c r="AU67">
        <v>15</v>
      </c>
      <c r="AZ67" s="1">
        <v>43987</v>
      </c>
    </row>
    <row r="71" spans="2:57" x14ac:dyDescent="0.2">
      <c r="AO71" s="1"/>
    </row>
    <row r="120" spans="42:45" x14ac:dyDescent="0.2">
      <c r="AP120" s="3"/>
      <c r="AQ120" s="3"/>
      <c r="AR120" s="3"/>
      <c r="AS120" s="3"/>
    </row>
    <row r="121" spans="42:45" x14ac:dyDescent="0.2">
      <c r="AP121" s="3"/>
      <c r="AQ121" s="3"/>
      <c r="AR121" s="3"/>
      <c r="AS121" s="3"/>
    </row>
    <row r="122" spans="42:45" x14ac:dyDescent="0.2">
      <c r="AP122" s="3"/>
      <c r="AQ122" s="3"/>
      <c r="AR122" s="3"/>
      <c r="AS122" s="3"/>
    </row>
    <row r="123" spans="42:45" x14ac:dyDescent="0.2">
      <c r="AP123" s="3"/>
      <c r="AQ123" s="3"/>
      <c r="AR123" s="3"/>
      <c r="AS123" s="3"/>
    </row>
    <row r="124" spans="42:45" x14ac:dyDescent="0.2">
      <c r="AP124" s="3"/>
      <c r="AQ124" s="3"/>
      <c r="AR124" s="3"/>
      <c r="AS124" s="3"/>
    </row>
    <row r="125" spans="42:45" x14ac:dyDescent="0.2">
      <c r="AP125" s="3"/>
      <c r="AQ125" s="3"/>
      <c r="AR125" s="3"/>
      <c r="AS125" s="3"/>
    </row>
    <row r="126" spans="42:45" x14ac:dyDescent="0.2">
      <c r="AP126" s="3"/>
      <c r="AQ126" s="3"/>
      <c r="AR126" s="3"/>
      <c r="AS126" s="3"/>
    </row>
    <row r="127" spans="42:45" x14ac:dyDescent="0.2">
      <c r="AP127" s="3"/>
      <c r="AQ127" s="3"/>
      <c r="AR127" s="3"/>
      <c r="AS127" s="3"/>
    </row>
    <row r="128" spans="42:45" x14ac:dyDescent="0.2">
      <c r="AP128" s="3"/>
      <c r="AQ128" s="3"/>
      <c r="AR128" s="3"/>
      <c r="AS128" s="3"/>
    </row>
    <row r="129" spans="5:64" ht="408" customHeight="1" x14ac:dyDescent="0.2">
      <c r="AP129" s="3"/>
      <c r="AQ129" s="3"/>
      <c r="AR129" s="3"/>
      <c r="AS129" s="3"/>
    </row>
    <row r="130" spans="5:64" x14ac:dyDescent="0.2">
      <c r="AP130" s="3"/>
      <c r="AQ130" s="3"/>
      <c r="AR130" s="3"/>
      <c r="AS130" s="3"/>
    </row>
    <row r="131" spans="5:64" x14ac:dyDescent="0.2">
      <c r="AP131" s="3"/>
      <c r="AQ131" s="3"/>
      <c r="AR131" s="3"/>
      <c r="AS131" s="3"/>
    </row>
    <row r="132" spans="5:64" x14ac:dyDescent="0.2">
      <c r="AP132" s="3"/>
      <c r="AQ132" s="3"/>
      <c r="AR132" s="3"/>
      <c r="AS132" s="3"/>
    </row>
    <row r="133" spans="5:64" x14ac:dyDescent="0.2">
      <c r="J133" s="3">
        <v>2262</v>
      </c>
      <c r="AP133" s="3"/>
      <c r="AQ133" s="3"/>
      <c r="AR133" s="3"/>
      <c r="AS133" s="3"/>
    </row>
    <row r="134" spans="5:64" x14ac:dyDescent="0.2">
      <c r="J134" s="3">
        <v>2617</v>
      </c>
      <c r="AP134" s="3"/>
      <c r="AQ134" s="3"/>
      <c r="AR134" s="3"/>
      <c r="AS134" s="3"/>
    </row>
    <row r="135" spans="5:64" x14ac:dyDescent="0.2">
      <c r="J135" s="3">
        <v>3067</v>
      </c>
      <c r="AP135" s="3"/>
      <c r="AQ135" s="3"/>
      <c r="AR135" s="3"/>
      <c r="AS135" s="3"/>
    </row>
    <row r="136" spans="5:64" x14ac:dyDescent="0.2">
      <c r="J136" s="3">
        <v>3584</v>
      </c>
      <c r="AQ136" s="3"/>
      <c r="AR136" s="3"/>
      <c r="AS136" s="3"/>
    </row>
    <row r="137" spans="5:64" x14ac:dyDescent="0.2">
      <c r="G137" s="3">
        <v>1910</v>
      </c>
      <c r="H137" s="3"/>
      <c r="I137" s="3"/>
      <c r="J137" s="3">
        <v>4082</v>
      </c>
      <c r="M137" s="3">
        <v>1624</v>
      </c>
      <c r="AQ137" s="3"/>
      <c r="AR137" s="3"/>
      <c r="AS137" s="3"/>
    </row>
    <row r="138" spans="5:64" x14ac:dyDescent="0.2">
      <c r="G138" s="3">
        <v>2270</v>
      </c>
      <c r="H138" s="3"/>
      <c r="I138" s="3"/>
      <c r="J138" s="3">
        <v>4493</v>
      </c>
      <c r="K138" s="3">
        <v>1661</v>
      </c>
      <c r="M138" s="3">
        <v>1896</v>
      </c>
      <c r="AQ138" s="3"/>
      <c r="AR138" s="3"/>
      <c r="AS138" s="3"/>
    </row>
    <row r="139" spans="5:64" x14ac:dyDescent="0.2">
      <c r="F139" s="3">
        <v>3494</v>
      </c>
      <c r="G139" s="3">
        <v>2835</v>
      </c>
      <c r="H139" s="3"/>
      <c r="I139" s="3"/>
      <c r="J139" s="3">
        <v>5078</v>
      </c>
      <c r="K139" s="3">
        <v>2010</v>
      </c>
      <c r="L139" s="3">
        <v>1494</v>
      </c>
      <c r="M139" s="3">
        <v>2183</v>
      </c>
      <c r="AQ139" s="3"/>
      <c r="AR139" s="3"/>
      <c r="AS139" s="3"/>
    </row>
    <row r="140" spans="5:64" x14ac:dyDescent="0.2">
      <c r="F140" s="3">
        <v>4099</v>
      </c>
      <c r="G140" s="3">
        <v>3491</v>
      </c>
      <c r="H140" s="3"/>
      <c r="I140" s="3"/>
      <c r="J140" s="3">
        <v>5598</v>
      </c>
      <c r="K140" s="3">
        <v>2487</v>
      </c>
      <c r="L140" s="3">
        <v>1750</v>
      </c>
      <c r="M140" s="3">
        <v>2429</v>
      </c>
      <c r="Q140" s="3">
        <v>563</v>
      </c>
      <c r="R140" s="3"/>
      <c r="S140" s="3"/>
      <c r="AQ140" s="3"/>
      <c r="AR140" s="3"/>
      <c r="AS140" s="3"/>
      <c r="AT140" s="3"/>
      <c r="AU140" s="3"/>
      <c r="AV140" s="3"/>
      <c r="AW140" s="3"/>
      <c r="AY140" s="3"/>
      <c r="AZ140" s="3"/>
      <c r="BA140" s="3"/>
      <c r="BB140" s="3"/>
      <c r="BI140" s="3"/>
      <c r="BJ140" s="3"/>
      <c r="BK140" s="3"/>
      <c r="BL140" s="3"/>
    </row>
    <row r="141" spans="5:64" x14ac:dyDescent="0.2">
      <c r="F141" s="3">
        <v>4866</v>
      </c>
      <c r="G141" s="3">
        <v>3924</v>
      </c>
      <c r="H141" s="3"/>
      <c r="I141" s="3"/>
      <c r="J141" s="3">
        <v>6069</v>
      </c>
      <c r="K141" s="3">
        <v>2916</v>
      </c>
      <c r="L141" s="3">
        <v>2216</v>
      </c>
      <c r="M141" s="3">
        <v>2658</v>
      </c>
      <c r="Q141" s="3">
        <v>667</v>
      </c>
      <c r="R141" s="3"/>
      <c r="S141" s="3"/>
      <c r="AQ141" s="3"/>
      <c r="AS141" s="3"/>
      <c r="AT141" s="3"/>
      <c r="AU141" s="3"/>
      <c r="AV141" s="3"/>
      <c r="AY141" s="3"/>
      <c r="AZ141" s="3"/>
      <c r="BA141" s="3"/>
      <c r="BI141" s="3"/>
      <c r="BJ141" s="3"/>
      <c r="BK141" s="3"/>
    </row>
    <row r="142" spans="5:64" x14ac:dyDescent="0.2">
      <c r="F142" s="3">
        <v>5760</v>
      </c>
      <c r="G142" s="3">
        <v>4395</v>
      </c>
      <c r="H142" s="3"/>
      <c r="I142" s="3"/>
      <c r="J142" s="3">
        <v>6580</v>
      </c>
      <c r="K142" s="3">
        <v>3216</v>
      </c>
      <c r="L142" s="3">
        <v>2856</v>
      </c>
      <c r="M142" s="3">
        <v>2929</v>
      </c>
      <c r="Q142" s="3">
        <v>825</v>
      </c>
      <c r="R142" s="3"/>
      <c r="S142" s="3"/>
      <c r="AN142" s="3"/>
      <c r="AO142" s="3"/>
      <c r="AP142" s="3"/>
      <c r="AQ142" s="3"/>
      <c r="AS142" s="3"/>
      <c r="AT142" s="3"/>
      <c r="AU142" s="3"/>
      <c r="AV142" s="3"/>
      <c r="AY142" s="3"/>
      <c r="AZ142" s="3"/>
      <c r="BA142" s="3"/>
      <c r="BI142" s="3"/>
      <c r="BJ142" s="3"/>
      <c r="BK142" s="3"/>
    </row>
    <row r="143" spans="5:64" x14ac:dyDescent="0.2">
      <c r="F143" s="3">
        <v>6187</v>
      </c>
      <c r="G143" s="3">
        <v>4949</v>
      </c>
      <c r="H143" s="3"/>
      <c r="I143" s="3"/>
      <c r="J143" s="3">
        <v>6851</v>
      </c>
      <c r="K143" s="3">
        <v>3685</v>
      </c>
      <c r="L143" s="3">
        <v>3227</v>
      </c>
      <c r="M143" s="3">
        <v>3245</v>
      </c>
      <c r="Q143" s="3">
        <v>915</v>
      </c>
      <c r="R143" s="3"/>
      <c r="S143" s="3"/>
      <c r="AN143" s="3"/>
      <c r="AO143" s="3"/>
      <c r="AP143" s="3"/>
      <c r="AQ143" s="3"/>
      <c r="AS143" s="3"/>
      <c r="AT143" s="3"/>
      <c r="AU143" s="3"/>
      <c r="AV143" s="3"/>
      <c r="AY143" s="3"/>
      <c r="AZ143" s="3"/>
      <c r="BA143" s="3"/>
      <c r="BI143" s="3"/>
      <c r="BJ143" s="3"/>
      <c r="BK143" s="3"/>
    </row>
    <row r="144" spans="5:64" x14ac:dyDescent="0.2">
      <c r="E144" s="3">
        <v>7605</v>
      </c>
      <c r="F144" s="3">
        <v>6862</v>
      </c>
      <c r="G144" s="3">
        <v>5437</v>
      </c>
      <c r="H144" s="3"/>
      <c r="I144" s="3"/>
      <c r="J144" s="3">
        <v>7410</v>
      </c>
      <c r="K144" s="3">
        <v>4358</v>
      </c>
      <c r="L144" s="3">
        <v>3756</v>
      </c>
      <c r="M144" s="3">
        <v>3600</v>
      </c>
      <c r="Q144" s="3">
        <v>978</v>
      </c>
      <c r="R144" s="3"/>
      <c r="S144" s="3"/>
      <c r="AN144" s="3"/>
      <c r="AO144" s="3"/>
      <c r="AP144" s="3"/>
      <c r="AQ144" s="3"/>
      <c r="AS144" s="3"/>
      <c r="AT144" s="3"/>
      <c r="AU144" s="3"/>
      <c r="AV144" s="3"/>
      <c r="AY144" s="3"/>
      <c r="AZ144" s="3"/>
      <c r="BA144" s="3"/>
      <c r="BI144" s="3"/>
      <c r="BJ144" s="3"/>
      <c r="BK144" s="3"/>
    </row>
    <row r="145" spans="1:63" x14ac:dyDescent="0.2">
      <c r="E145" s="3">
        <v>8746</v>
      </c>
      <c r="F145" s="3">
        <v>7533</v>
      </c>
      <c r="G145" s="3">
        <v>5879</v>
      </c>
      <c r="H145" s="3"/>
      <c r="I145" s="3"/>
      <c r="J145" s="3">
        <v>7634</v>
      </c>
      <c r="K145" s="3">
        <v>4831</v>
      </c>
      <c r="L145" s="3">
        <v>4101</v>
      </c>
      <c r="M145" s="3">
        <v>4041</v>
      </c>
      <c r="Q145" s="3">
        <v>1077</v>
      </c>
      <c r="R145" s="3"/>
      <c r="S145" s="3"/>
      <c r="AN145" s="3"/>
      <c r="AO145" s="3"/>
      <c r="AP145" s="3"/>
      <c r="AQ145" s="3"/>
      <c r="AS145" s="3"/>
      <c r="AT145" s="3"/>
      <c r="AU145" s="3"/>
      <c r="AV145" s="3"/>
      <c r="AY145" s="3"/>
      <c r="AZ145" s="3"/>
      <c r="BA145" s="3"/>
      <c r="BI145" s="3"/>
      <c r="BJ145" s="3"/>
      <c r="BK145" s="3"/>
    </row>
    <row r="146" spans="1:63" x14ac:dyDescent="0.2">
      <c r="C146" s="3">
        <v>8544</v>
      </c>
      <c r="E146" s="3">
        <v>10154</v>
      </c>
      <c r="F146" s="3">
        <v>7874</v>
      </c>
      <c r="G146" s="3">
        <v>6411</v>
      </c>
      <c r="H146" s="3"/>
      <c r="I146" s="3"/>
      <c r="J146" s="3">
        <v>8212</v>
      </c>
      <c r="K146" s="3">
        <v>5203</v>
      </c>
      <c r="L146" s="3">
        <v>4372</v>
      </c>
      <c r="M146" s="3">
        <v>4534</v>
      </c>
      <c r="Q146" s="3">
        <v>1172</v>
      </c>
      <c r="R146" s="3"/>
      <c r="S146" s="3"/>
      <c r="T146" s="3">
        <v>4470</v>
      </c>
      <c r="U146" s="3">
        <v>1591</v>
      </c>
      <c r="V146" s="3">
        <v>853</v>
      </c>
      <c r="W146" s="3">
        <v>249</v>
      </c>
      <c r="X146" s="3">
        <v>401</v>
      </c>
      <c r="AN146" s="3"/>
      <c r="AO146" s="3"/>
      <c r="AP146" s="3"/>
      <c r="AQ146" s="3"/>
      <c r="AS146" s="3"/>
      <c r="AT146" s="3"/>
      <c r="AU146" s="3"/>
      <c r="AV146" s="3"/>
      <c r="AY146" s="3"/>
      <c r="AZ146" s="3"/>
      <c r="BA146" s="3"/>
      <c r="BI146" s="3"/>
      <c r="BJ146" s="3"/>
      <c r="BK146" s="3"/>
    </row>
    <row r="147" spans="1:63" x14ac:dyDescent="0.2">
      <c r="C147" s="3">
        <v>9555</v>
      </c>
      <c r="E147" s="3">
        <v>12328</v>
      </c>
      <c r="F147" s="3">
        <v>8343</v>
      </c>
      <c r="G147" s="3">
        <v>7007</v>
      </c>
      <c r="H147" s="3"/>
      <c r="I147" s="3"/>
      <c r="J147" s="3">
        <v>8579</v>
      </c>
      <c r="K147" s="3">
        <v>5575</v>
      </c>
      <c r="L147" s="3">
        <v>4690</v>
      </c>
      <c r="M147" s="3">
        <v>4926</v>
      </c>
      <c r="Q147" s="3">
        <v>1296</v>
      </c>
      <c r="R147" s="3"/>
      <c r="S147" s="3"/>
      <c r="T147" s="3">
        <v>5069</v>
      </c>
      <c r="U147" s="3">
        <v>2183</v>
      </c>
      <c r="V147" s="3">
        <v>1332</v>
      </c>
      <c r="W147" s="3">
        <v>349</v>
      </c>
      <c r="X147" s="3">
        <v>438</v>
      </c>
      <c r="AN147" s="3"/>
      <c r="AO147" s="3"/>
      <c r="AP147" s="3"/>
      <c r="AQ147" s="3"/>
      <c r="AS147" s="3"/>
      <c r="AT147" s="3"/>
      <c r="AU147" s="3"/>
      <c r="AV147" s="3"/>
      <c r="AY147" s="3"/>
      <c r="AZ147" s="3"/>
      <c r="BA147" s="3"/>
      <c r="BI147" s="3"/>
      <c r="BJ147" s="3"/>
      <c r="BK147" s="3"/>
    </row>
    <row r="148" spans="1:63" x14ac:dyDescent="0.2">
      <c r="C148" s="3">
        <v>10587</v>
      </c>
      <c r="D148" s="3">
        <v>8607</v>
      </c>
      <c r="E148" s="3">
        <v>12933</v>
      </c>
      <c r="F148" s="3">
        <v>8928</v>
      </c>
      <c r="G148" s="3">
        <v>7469</v>
      </c>
      <c r="H148" s="3"/>
      <c r="I148" s="3"/>
      <c r="J148" s="3"/>
      <c r="K148" s="3">
        <v>5865</v>
      </c>
      <c r="L148" s="3">
        <v>5017</v>
      </c>
      <c r="M148" s="3">
        <v>5359</v>
      </c>
      <c r="Q148" s="3">
        <v>1461</v>
      </c>
      <c r="R148" s="3"/>
      <c r="S148" s="3"/>
      <c r="T148" s="3">
        <v>6096</v>
      </c>
      <c r="U148" s="3">
        <v>2540</v>
      </c>
      <c r="V148" s="3">
        <v>1560</v>
      </c>
      <c r="W148" s="3">
        <v>422</v>
      </c>
      <c r="X148" s="3">
        <v>477</v>
      </c>
      <c r="AN148" s="3"/>
      <c r="AO148" s="3"/>
      <c r="AP148" s="3"/>
      <c r="AQ148" s="3"/>
      <c r="AS148" s="3"/>
      <c r="AT148" s="3"/>
      <c r="AU148" s="3"/>
      <c r="AV148" s="3"/>
      <c r="AY148" s="3"/>
      <c r="AZ148" s="3"/>
      <c r="BA148" s="3"/>
      <c r="BI148" s="3"/>
      <c r="BJ148" s="3"/>
      <c r="BK148" s="3"/>
    </row>
    <row r="149" spans="1:63" x14ac:dyDescent="0.2">
      <c r="C149" s="3">
        <v>13346</v>
      </c>
      <c r="D149" s="3">
        <v>9343</v>
      </c>
      <c r="E149" s="3">
        <v>14473</v>
      </c>
      <c r="F149" s="3">
        <v>9362</v>
      </c>
      <c r="G149" s="3">
        <v>7879</v>
      </c>
      <c r="H149" s="3"/>
      <c r="I149" s="3"/>
      <c r="J149" s="3">
        <v>7409</v>
      </c>
      <c r="K149" s="3">
        <v>6180</v>
      </c>
      <c r="L149" s="3">
        <v>5295</v>
      </c>
      <c r="M149" s="3">
        <v>5579</v>
      </c>
      <c r="Q149" s="3">
        <v>1678</v>
      </c>
      <c r="R149" s="3"/>
      <c r="S149" s="3"/>
      <c r="T149" s="3">
        <v>6762</v>
      </c>
      <c r="U149" s="3">
        <v>3035</v>
      </c>
      <c r="V149" s="3">
        <v>2003</v>
      </c>
      <c r="W149" s="3">
        <v>464</v>
      </c>
      <c r="X149" s="3">
        <v>501</v>
      </c>
      <c r="AN149" s="3"/>
      <c r="AO149" s="3"/>
      <c r="AP149" s="3"/>
      <c r="AQ149" s="3"/>
      <c r="AS149" s="3"/>
      <c r="AT149" s="3"/>
      <c r="AU149" s="3"/>
      <c r="AV149" s="3"/>
      <c r="AY149" s="3"/>
      <c r="AZ149" s="3"/>
      <c r="BA149" s="3"/>
      <c r="BI149" s="3"/>
      <c r="BJ149" s="3"/>
      <c r="BK149" s="3"/>
    </row>
    <row r="150" spans="1:63" x14ac:dyDescent="0.2">
      <c r="C150" s="3">
        <v>14398</v>
      </c>
      <c r="D150" s="3">
        <v>10765</v>
      </c>
      <c r="E150" s="3">
        <v>15561</v>
      </c>
      <c r="F150" s="3">
        <v>9784</v>
      </c>
      <c r="G150" s="3">
        <v>8242</v>
      </c>
      <c r="H150" s="3"/>
      <c r="I150" s="3"/>
      <c r="J150" s="3">
        <v>7749</v>
      </c>
      <c r="K150" s="3">
        <v>6636</v>
      </c>
      <c r="L150" s="3">
        <v>5590</v>
      </c>
      <c r="M150" s="3">
        <v>5872</v>
      </c>
      <c r="Q150" s="3">
        <v>1822</v>
      </c>
      <c r="R150" s="3"/>
      <c r="S150" s="3"/>
      <c r="T150" s="3">
        <v>7518</v>
      </c>
      <c r="U150" s="3">
        <v>3074</v>
      </c>
      <c r="V150" s="3">
        <v>2003</v>
      </c>
      <c r="W150" s="3">
        <v>504</v>
      </c>
      <c r="X150" s="3">
        <v>521</v>
      </c>
      <c r="AN150" s="3"/>
      <c r="AO150" s="3"/>
      <c r="AP150" s="3"/>
      <c r="AQ150" s="3"/>
      <c r="AS150" s="3"/>
      <c r="AT150" s="3"/>
      <c r="AU150" s="3"/>
      <c r="AV150" s="3"/>
      <c r="AY150" s="3"/>
      <c r="AZ150" s="3"/>
      <c r="BA150" s="3"/>
      <c r="BI150" s="3"/>
      <c r="BJ150" s="3"/>
      <c r="BK150" s="3"/>
    </row>
    <row r="151" spans="1:63" x14ac:dyDescent="0.2">
      <c r="B151" s="3">
        <v>12274</v>
      </c>
      <c r="C151" s="3">
        <v>14398</v>
      </c>
      <c r="D151" s="3">
        <v>11820</v>
      </c>
      <c r="E151" s="3">
        <v>15844</v>
      </c>
      <c r="F151" s="3">
        <v>10092</v>
      </c>
      <c r="G151" s="3">
        <v>8511</v>
      </c>
      <c r="H151" s="3"/>
      <c r="I151" s="3"/>
      <c r="J151" s="3">
        <v>8333</v>
      </c>
      <c r="K151" s="3">
        <v>7265</v>
      </c>
      <c r="L151" s="3">
        <v>5950</v>
      </c>
      <c r="M151" s="3">
        <v>6279</v>
      </c>
      <c r="N151" s="3">
        <v>1582</v>
      </c>
      <c r="O151" s="3">
        <v>885</v>
      </c>
      <c r="Q151" s="3">
        <v>2032</v>
      </c>
      <c r="R151" s="3"/>
      <c r="S151" s="3"/>
      <c r="T151" s="3">
        <v>8270</v>
      </c>
      <c r="U151" s="3">
        <v>3380</v>
      </c>
      <c r="V151" s="3">
        <v>2159</v>
      </c>
      <c r="W151" s="3">
        <v>568</v>
      </c>
      <c r="X151" s="3">
        <v>543</v>
      </c>
      <c r="AN151" s="3"/>
      <c r="AO151" s="3"/>
      <c r="AP151" s="3"/>
      <c r="AQ151" s="3"/>
      <c r="AS151" s="3"/>
      <c r="AT151" s="3"/>
      <c r="AU151" s="3"/>
      <c r="AV151" s="3"/>
      <c r="AY151" s="3"/>
      <c r="AZ151" s="3"/>
      <c r="BA151" s="3"/>
      <c r="BI151" s="3"/>
      <c r="BJ151" s="3"/>
      <c r="BK151" s="3"/>
    </row>
    <row r="152" spans="1:63" x14ac:dyDescent="0.2">
      <c r="B152" s="3">
        <v>12390</v>
      </c>
      <c r="C152" s="3">
        <v>16610</v>
      </c>
      <c r="D152" s="3">
        <v>12738</v>
      </c>
      <c r="E152" s="3">
        <v>17413</v>
      </c>
      <c r="F152" s="3">
        <v>10426</v>
      </c>
      <c r="G152" s="3">
        <v>9165</v>
      </c>
      <c r="H152" s="3"/>
      <c r="I152" s="3"/>
      <c r="J152" s="3">
        <v>10729</v>
      </c>
      <c r="K152" s="3">
        <v>7438</v>
      </c>
      <c r="L152" s="3">
        <v>6438</v>
      </c>
      <c r="M152" s="3">
        <v>6820</v>
      </c>
      <c r="N152" s="3">
        <v>1870</v>
      </c>
      <c r="O152" s="3">
        <v>1039</v>
      </c>
      <c r="P152" s="3">
        <v>829</v>
      </c>
      <c r="Q152" s="3">
        <v>2128</v>
      </c>
      <c r="R152" s="3"/>
      <c r="S152" s="3"/>
      <c r="T152" s="3">
        <f>SUM(9045)</f>
        <v>9045</v>
      </c>
      <c r="U152" s="3">
        <v>3736</v>
      </c>
      <c r="V152" s="3">
        <v>2414</v>
      </c>
      <c r="W152" s="3">
        <v>638</v>
      </c>
      <c r="X152" s="3">
        <v>561</v>
      </c>
      <c r="AN152" s="3"/>
      <c r="AO152" s="3"/>
      <c r="AP152" s="3"/>
      <c r="AQ152" s="3"/>
      <c r="AS152" s="3"/>
      <c r="AT152" s="3"/>
      <c r="AU152" s="3"/>
      <c r="AV152" s="3"/>
      <c r="AY152" s="3"/>
      <c r="AZ152" s="3"/>
      <c r="BA152" s="3"/>
      <c r="BI152" s="3"/>
      <c r="BJ152" s="3"/>
      <c r="BK152" s="3"/>
    </row>
    <row r="153" spans="1:63" x14ac:dyDescent="0.2">
      <c r="B153" s="3">
        <v>15327</v>
      </c>
      <c r="C153" s="3">
        <v>18548</v>
      </c>
      <c r="D153" s="3">
        <v>13680</v>
      </c>
      <c r="E153" s="3">
        <v>18692</v>
      </c>
      <c r="F153" s="3">
        <v>10848</v>
      </c>
      <c r="G153" s="3">
        <v>9636</v>
      </c>
      <c r="H153" s="3"/>
      <c r="I153" s="3"/>
      <c r="J153" s="3">
        <v>11128</v>
      </c>
      <c r="K153" s="3">
        <v>7904</v>
      </c>
      <c r="L153" s="3">
        <v>6750</v>
      </c>
      <c r="M153" s="3">
        <v>7272</v>
      </c>
      <c r="N153" s="3">
        <v>2202</v>
      </c>
      <c r="O153" s="3">
        <v>1238</v>
      </c>
      <c r="P153" s="3">
        <v>938</v>
      </c>
      <c r="Q153" s="3">
        <v>2246</v>
      </c>
      <c r="R153" s="3"/>
      <c r="S153" s="3"/>
      <c r="T153" s="3">
        <v>9626</v>
      </c>
      <c r="U153" s="3">
        <v>4007</v>
      </c>
      <c r="V153" s="3">
        <v>2626</v>
      </c>
      <c r="W153" s="3">
        <v>713</v>
      </c>
      <c r="X153" s="3">
        <v>610</v>
      </c>
      <c r="AN153" s="3"/>
      <c r="AO153" s="3"/>
      <c r="AP153" s="3"/>
      <c r="AQ153" s="3"/>
      <c r="AS153" s="3"/>
      <c r="AT153" s="3"/>
      <c r="AU153" s="3"/>
      <c r="AV153" s="3"/>
      <c r="AY153" s="3"/>
      <c r="AZ153" s="3"/>
      <c r="BA153" s="3"/>
      <c r="BI153" s="3"/>
      <c r="BJ153" s="3"/>
      <c r="BK153" s="3"/>
    </row>
    <row r="154" spans="1:63" x14ac:dyDescent="0.2">
      <c r="B154" s="3">
        <v>16488</v>
      </c>
      <c r="C154" s="3">
        <v>20140</v>
      </c>
      <c r="D154" s="3">
        <v>14941</v>
      </c>
      <c r="E154" s="3">
        <v>19883</v>
      </c>
      <c r="F154" s="3">
        <v>11409</v>
      </c>
      <c r="G154" s="3">
        <v>9956</v>
      </c>
      <c r="H154" s="3"/>
      <c r="I154" s="3"/>
      <c r="J154" s="3">
        <v>11387</v>
      </c>
      <c r="K154" s="3">
        <v>8429</v>
      </c>
      <c r="L154" s="3">
        <v>7317</v>
      </c>
      <c r="M154" s="3">
        <v>7696</v>
      </c>
      <c r="N154" s="3">
        <v>2468</v>
      </c>
      <c r="O154" s="3">
        <v>1400</v>
      </c>
      <c r="P154" s="3">
        <v>1045</v>
      </c>
      <c r="Q154" s="3">
        <v>2350</v>
      </c>
      <c r="R154" s="3"/>
      <c r="S154" s="3"/>
      <c r="T154" s="3">
        <v>10093</v>
      </c>
      <c r="U154" s="3">
        <v>4247</v>
      </c>
      <c r="V154" s="3">
        <v>2783</v>
      </c>
      <c r="W154" s="3">
        <v>755</v>
      </c>
      <c r="X154" s="3">
        <v>637</v>
      </c>
      <c r="AN154" s="3"/>
      <c r="AO154" s="3"/>
      <c r="AP154" s="3"/>
      <c r="AQ154" s="3"/>
      <c r="AS154" s="3"/>
      <c r="AT154" s="3"/>
      <c r="AU154" s="3"/>
      <c r="AV154" s="3"/>
      <c r="AY154" s="3"/>
      <c r="AZ154" s="3"/>
      <c r="BA154" s="3"/>
      <c r="BI154" s="3"/>
      <c r="BJ154" s="3"/>
      <c r="BK154" s="3"/>
    </row>
    <row r="155" spans="1:63" x14ac:dyDescent="0.2">
      <c r="B155" s="3">
        <v>17520</v>
      </c>
      <c r="C155" s="3">
        <v>21512</v>
      </c>
      <c r="D155" s="3">
        <v>16419</v>
      </c>
      <c r="E155" s="3">
        <v>20816</v>
      </c>
      <c r="F155" s="3">
        <v>11863</v>
      </c>
      <c r="G155" s="3">
        <v>10486</v>
      </c>
      <c r="H155" s="3"/>
      <c r="I155" s="3"/>
      <c r="J155" s="3">
        <v>11811</v>
      </c>
      <c r="K155" s="3">
        <v>8959</v>
      </c>
      <c r="L155" s="3">
        <v>7604</v>
      </c>
      <c r="M155" s="3">
        <v>8074</v>
      </c>
      <c r="N155" s="3">
        <v>2632</v>
      </c>
      <c r="O155" s="3">
        <v>1506</v>
      </c>
      <c r="P155" s="3">
        <v>1199</v>
      </c>
      <c r="Q155" s="4">
        <v>2503</v>
      </c>
      <c r="R155" s="4"/>
      <c r="S155" s="4"/>
      <c r="T155" s="3">
        <v>10539</v>
      </c>
      <c r="U155" s="3">
        <v>4511</v>
      </c>
      <c r="V155" s="3">
        <v>2973</v>
      </c>
      <c r="W155" s="3">
        <v>828</v>
      </c>
      <c r="X155" s="3">
        <v>659</v>
      </c>
      <c r="AF155" s="3">
        <v>3502</v>
      </c>
      <c r="AG155" s="3">
        <v>851</v>
      </c>
      <c r="AH155" s="3">
        <v>306</v>
      </c>
      <c r="AI155" s="3">
        <v>956</v>
      </c>
      <c r="AJ155" s="3">
        <v>606</v>
      </c>
      <c r="AN155" s="3"/>
      <c r="AO155" s="3"/>
      <c r="AP155" s="3"/>
      <c r="AQ155" s="3"/>
      <c r="AS155" s="3"/>
      <c r="AT155" s="3"/>
      <c r="AU155" s="3"/>
      <c r="AV155" s="3"/>
      <c r="AY155" s="3"/>
      <c r="AZ155" s="3"/>
      <c r="BA155" s="3"/>
      <c r="BI155" s="3"/>
      <c r="BJ155" s="3"/>
      <c r="BK155" s="3"/>
    </row>
    <row r="156" spans="1:63" x14ac:dyDescent="0.2">
      <c r="B156" s="3">
        <v>18434</v>
      </c>
      <c r="C156" s="3"/>
      <c r="D156" s="3">
        <v>18736</v>
      </c>
      <c r="E156" s="3">
        <v>21643</v>
      </c>
      <c r="F156" s="3">
        <v>12163</v>
      </c>
      <c r="G156" s="3">
        <v>11150</v>
      </c>
      <c r="H156" s="3"/>
      <c r="I156" s="3"/>
      <c r="J156">
        <v>12110</v>
      </c>
      <c r="K156" s="3">
        <v>9609</v>
      </c>
      <c r="L156" s="3">
        <v>7936</v>
      </c>
      <c r="M156" s="3">
        <v>8314</v>
      </c>
      <c r="N156" s="3">
        <v>2950</v>
      </c>
      <c r="O156" s="3">
        <v>1653</v>
      </c>
      <c r="P156" s="3">
        <v>1271</v>
      </c>
      <c r="Q156" s="4">
        <v>2765</v>
      </c>
      <c r="R156" s="4"/>
      <c r="S156" s="4"/>
      <c r="T156" s="3">
        <v>10951</v>
      </c>
      <c r="U156" s="3">
        <v>4802</v>
      </c>
      <c r="V156" s="3">
        <v>3164</v>
      </c>
      <c r="W156" s="3">
        <v>919</v>
      </c>
      <c r="X156" s="3">
        <v>685</v>
      </c>
      <c r="AF156" s="3">
        <v>4040</v>
      </c>
      <c r="AG156" s="3">
        <v>968</v>
      </c>
      <c r="AH156" s="3">
        <v>438</v>
      </c>
      <c r="AI156" s="3">
        <v>1019</v>
      </c>
      <c r="AJ156" s="3">
        <v>656</v>
      </c>
      <c r="AN156" s="3"/>
      <c r="AO156" s="3"/>
      <c r="AP156" s="3"/>
      <c r="AQ156" s="3"/>
      <c r="AS156" s="3"/>
      <c r="AT156" s="3"/>
      <c r="AU156" s="3"/>
      <c r="AV156" s="3"/>
      <c r="AY156" s="3"/>
      <c r="AZ156" s="3"/>
      <c r="BA156" s="3"/>
      <c r="BI156" s="3"/>
      <c r="BJ156" s="3"/>
      <c r="BK156" s="3"/>
    </row>
    <row r="157" spans="1:63" x14ac:dyDescent="0.2">
      <c r="B157" s="3">
        <v>20235</v>
      </c>
      <c r="C157" s="3">
        <v>22584</v>
      </c>
      <c r="D157" s="3">
        <v>20543</v>
      </c>
      <c r="E157" s="3">
        <v>22462</v>
      </c>
      <c r="F157" s="3">
        <v>12639</v>
      </c>
      <c r="G157" s="3">
        <v>11636</v>
      </c>
      <c r="H157" s="3"/>
      <c r="I157" s="3"/>
      <c r="J157" s="3">
        <v>12520</v>
      </c>
      <c r="K157" s="3">
        <v>9972</v>
      </c>
      <c r="L157" s="3">
        <v>8288</v>
      </c>
      <c r="M157" s="3">
        <v>8669</v>
      </c>
      <c r="N157" s="3">
        <v>3187</v>
      </c>
      <c r="O157" s="3">
        <v>1841</v>
      </c>
      <c r="P157" s="3">
        <v>1382</v>
      </c>
      <c r="Q157" s="4">
        <v>2952</v>
      </c>
      <c r="R157" s="4"/>
      <c r="S157" s="4"/>
      <c r="T157" s="3">
        <v>11164</v>
      </c>
      <c r="U157" s="3">
        <v>4915</v>
      </c>
      <c r="V157" s="3">
        <v>3254</v>
      </c>
      <c r="W157" s="3">
        <v>955</v>
      </c>
      <c r="X157" s="3">
        <v>716</v>
      </c>
      <c r="AF157" s="3">
        <v>4566</v>
      </c>
      <c r="AG157" s="3">
        <v>1114</v>
      </c>
      <c r="AH157" s="3">
        <v>540</v>
      </c>
      <c r="AI157" s="3">
        <v>1094</v>
      </c>
      <c r="AJ157" s="3">
        <v>711</v>
      </c>
      <c r="AN157" s="3"/>
      <c r="AO157" s="3"/>
      <c r="AP157" s="3"/>
      <c r="AQ157" s="3"/>
      <c r="AS157" s="3"/>
      <c r="AT157" s="3"/>
      <c r="AU157" s="3"/>
      <c r="AV157" s="3"/>
      <c r="AY157" s="3"/>
      <c r="AZ157" s="3"/>
      <c r="BA157" s="3"/>
      <c r="BI157" s="3"/>
      <c r="BJ157" s="3"/>
      <c r="BK157" s="3"/>
    </row>
    <row r="158" spans="1:63" x14ac:dyDescent="0.2">
      <c r="A158" s="3">
        <v>15217</v>
      </c>
      <c r="B158" s="3">
        <v>21580</v>
      </c>
      <c r="C158" s="3">
        <v>24358</v>
      </c>
      <c r="D158" s="3">
        <v>21523</v>
      </c>
      <c r="E158" s="3">
        <v>23278</v>
      </c>
      <c r="F158" s="3">
        <v>13011</v>
      </c>
      <c r="G158" s="3">
        <v>12039</v>
      </c>
      <c r="H158" s="3"/>
      <c r="I158" s="3"/>
      <c r="J158" s="3">
        <v>12863</v>
      </c>
      <c r="K158" s="3">
        <v>10289</v>
      </c>
      <c r="L158" s="3">
        <v>8479</v>
      </c>
      <c r="M158">
        <v>9060</v>
      </c>
      <c r="N158" s="3">
        <v>3545</v>
      </c>
      <c r="O158" s="3">
        <v>2103</v>
      </c>
      <c r="P158" s="3">
        <v>1592</v>
      </c>
      <c r="Q158" s="4">
        <v>3069</v>
      </c>
      <c r="R158" s="4"/>
      <c r="S158" s="4"/>
      <c r="T158" s="3">
        <v>11648</v>
      </c>
      <c r="U158" s="3">
        <v>5073</v>
      </c>
      <c r="V158" s="3">
        <v>3418</v>
      </c>
      <c r="W158" s="3">
        <v>988</v>
      </c>
      <c r="X158" s="3">
        <v>736</v>
      </c>
      <c r="Y158" s="3">
        <v>1478</v>
      </c>
      <c r="Z158" s="3">
        <v>649</v>
      </c>
      <c r="AA158" s="3">
        <v>390</v>
      </c>
      <c r="AB158" s="3"/>
      <c r="AC158" s="3"/>
      <c r="AD158" s="3">
        <v>374</v>
      </c>
      <c r="AE158" s="3">
        <v>151</v>
      </c>
      <c r="AF158" s="3">
        <v>5275</v>
      </c>
      <c r="AG158" s="3">
        <v>1211</v>
      </c>
      <c r="AH158" s="3">
        <v>652</v>
      </c>
      <c r="AI158" s="3">
        <v>1148</v>
      </c>
      <c r="AJ158" s="3">
        <v>786</v>
      </c>
      <c r="AN158" s="3"/>
      <c r="AO158" s="3"/>
      <c r="AP158" s="3"/>
      <c r="AQ158" s="3"/>
      <c r="AS158" s="3"/>
      <c r="AT158" s="3"/>
      <c r="AU158" s="3"/>
      <c r="AV158" s="3"/>
      <c r="AY158" s="3"/>
      <c r="AZ158" s="3"/>
      <c r="BA158" s="3"/>
      <c r="BI158" s="3"/>
      <c r="BJ158" s="3"/>
      <c r="BK158" s="3"/>
    </row>
    <row r="159" spans="1:63" x14ac:dyDescent="0.2">
      <c r="A159" s="3">
        <v>16819</v>
      </c>
      <c r="B159" s="3">
        <v>23408</v>
      </c>
      <c r="C159" s="3">
        <v>25250</v>
      </c>
      <c r="D159" s="3">
        <v>22709</v>
      </c>
      <c r="E159" s="3">
        <v>24182</v>
      </c>
      <c r="F159" s="3">
        <v>13356</v>
      </c>
      <c r="G159" s="3">
        <v>12645</v>
      </c>
      <c r="H159" s="3"/>
      <c r="I159" s="3"/>
      <c r="J159" s="3">
        <v>13047</v>
      </c>
      <c r="K159" s="3">
        <v>10484</v>
      </c>
      <c r="L159" s="3">
        <v>8941</v>
      </c>
      <c r="M159" s="3">
        <v>9739</v>
      </c>
      <c r="N159" s="3">
        <v>4045</v>
      </c>
      <c r="O159" s="3">
        <v>2336</v>
      </c>
      <c r="P159" s="3">
        <v>1778</v>
      </c>
      <c r="Q159" s="3">
        <v>3179</v>
      </c>
      <c r="R159" s="3"/>
      <c r="S159" s="3"/>
      <c r="T159" s="3">
        <v>12209</v>
      </c>
      <c r="U159" s="3">
        <v>5364</v>
      </c>
      <c r="V159" s="3">
        <v>3620</v>
      </c>
      <c r="W159" s="3">
        <v>1030</v>
      </c>
      <c r="X159" s="3">
        <v>772</v>
      </c>
      <c r="Y159" s="3">
        <v>1852</v>
      </c>
      <c r="Z159" s="3">
        <v>735</v>
      </c>
      <c r="AA159" s="3">
        <v>470</v>
      </c>
      <c r="AB159" s="3"/>
      <c r="AC159" s="3"/>
      <c r="AD159" s="3">
        <v>479</v>
      </c>
      <c r="AE159" s="3">
        <v>168</v>
      </c>
      <c r="AF159" s="3">
        <v>5892</v>
      </c>
      <c r="AG159" s="3">
        <v>1328</v>
      </c>
      <c r="AH159" s="3">
        <v>669</v>
      </c>
      <c r="AI159" s="3">
        <v>1207</v>
      </c>
      <c r="AJ159" s="3">
        <v>834</v>
      </c>
      <c r="AN159" s="3"/>
      <c r="AO159" s="3"/>
      <c r="AP159" s="3"/>
      <c r="AQ159" s="3"/>
      <c r="AS159" s="3"/>
      <c r="AT159" s="3"/>
      <c r="AU159" s="3"/>
      <c r="AV159" s="3"/>
      <c r="AY159" s="3"/>
      <c r="AZ159" s="3"/>
      <c r="BA159" s="3"/>
      <c r="BI159" s="3"/>
      <c r="BJ159" s="3"/>
      <c r="BK159" s="3"/>
    </row>
    <row r="160" spans="1:63" x14ac:dyDescent="0.2">
      <c r="A160" s="3">
        <v>18823</v>
      </c>
      <c r="B160" s="3">
        <v>24846</v>
      </c>
      <c r="C160" s="3">
        <v>26715</v>
      </c>
      <c r="D160" s="3">
        <v>23352</v>
      </c>
      <c r="E160" s="3">
        <v>25035</v>
      </c>
      <c r="F160" s="3">
        <v>13686</v>
      </c>
      <c r="G160">
        <v>13011</v>
      </c>
      <c r="J160" s="3">
        <v>13190</v>
      </c>
      <c r="K160" s="3">
        <v>10935</v>
      </c>
      <c r="L160" s="3">
        <v>9392</v>
      </c>
      <c r="M160" s="3">
        <v>10724</v>
      </c>
      <c r="N160" s="3">
        <v>4447</v>
      </c>
      <c r="O160" s="3">
        <v>2670</v>
      </c>
      <c r="P160" s="3">
        <v>2007</v>
      </c>
      <c r="Q160" s="3">
        <v>3341</v>
      </c>
      <c r="R160" s="3"/>
      <c r="S160" s="3"/>
      <c r="T160" s="3">
        <v>12544</v>
      </c>
      <c r="U160" s="3">
        <v>5576</v>
      </c>
      <c r="V160" s="3">
        <v>3792</v>
      </c>
      <c r="W160" s="3">
        <v>1084</v>
      </c>
      <c r="X160" s="3">
        <v>798</v>
      </c>
      <c r="Y160" s="3">
        <v>2284</v>
      </c>
      <c r="Z160" s="3">
        <v>875</v>
      </c>
      <c r="AA160" s="3">
        <v>542</v>
      </c>
      <c r="AB160" s="3"/>
      <c r="AC160" s="3"/>
      <c r="AD160" s="3">
        <v>584</v>
      </c>
      <c r="AE160" s="3">
        <v>201</v>
      </c>
      <c r="AF160" s="3">
        <v>6346</v>
      </c>
      <c r="AG160" s="3">
        <v>1406</v>
      </c>
      <c r="AH160" s="3">
        <v>854</v>
      </c>
      <c r="AI160" s="3">
        <v>1224</v>
      </c>
      <c r="AJ160" s="3">
        <v>882</v>
      </c>
      <c r="AN160" s="3"/>
      <c r="AO160" s="3"/>
      <c r="AP160" s="3"/>
      <c r="AQ160" s="3"/>
      <c r="AS160" s="3"/>
      <c r="AT160" s="3"/>
      <c r="AU160" s="3"/>
      <c r="AV160" s="3"/>
      <c r="AY160" s="3"/>
      <c r="AZ160" s="3"/>
      <c r="BA160" s="3"/>
      <c r="BI160" s="3"/>
      <c r="BJ160" s="3"/>
      <c r="BK160" s="3"/>
    </row>
    <row r="161" spans="1:63" x14ac:dyDescent="0.2">
      <c r="A161" s="3">
        <v>20371</v>
      </c>
      <c r="B161" s="3">
        <v>26042</v>
      </c>
      <c r="C161" s="3">
        <v>27772</v>
      </c>
      <c r="D161" s="3">
        <v>23426</v>
      </c>
      <c r="E161" s="3">
        <v>26143</v>
      </c>
      <c r="F161" s="3">
        <v>14049</v>
      </c>
      <c r="G161" s="3">
        <v>13367</v>
      </c>
      <c r="H161" s="3"/>
      <c r="I161" s="3"/>
      <c r="J161" s="3">
        <v>13445</v>
      </c>
      <c r="K161">
        <v>11208</v>
      </c>
      <c r="L161" s="3">
        <v>9874</v>
      </c>
      <c r="M161" s="3">
        <v>11218</v>
      </c>
      <c r="N161" s="3">
        <v>4872</v>
      </c>
      <c r="O161" s="3">
        <v>2896</v>
      </c>
      <c r="P161" s="3">
        <v>2216</v>
      </c>
      <c r="Q161">
        <v>3456</v>
      </c>
      <c r="T161" s="3">
        <v>13002</v>
      </c>
      <c r="U161" s="3">
        <v>5778</v>
      </c>
      <c r="V161" s="3">
        <v>3992</v>
      </c>
      <c r="W161" s="3">
        <v>1147</v>
      </c>
      <c r="X161" s="3">
        <v>826</v>
      </c>
      <c r="Y161" s="3">
        <v>2610</v>
      </c>
      <c r="Z161" s="3">
        <v>982</v>
      </c>
      <c r="AA161" s="3">
        <v>616</v>
      </c>
      <c r="AB161" s="3"/>
      <c r="AC161" s="3"/>
      <c r="AD161" s="3">
        <v>804</v>
      </c>
      <c r="AE161" s="3">
        <v>235</v>
      </c>
      <c r="AF161" s="3">
        <v>6885</v>
      </c>
      <c r="AG161" s="3">
        <v>1456</v>
      </c>
      <c r="AH161" s="3">
        <v>905</v>
      </c>
      <c r="AI161" s="3">
        <v>1285</v>
      </c>
      <c r="AJ161" s="3">
        <v>931</v>
      </c>
      <c r="AN161" s="3"/>
      <c r="AO161" s="3"/>
      <c r="AP161" s="3"/>
      <c r="AQ161" s="3"/>
      <c r="AS161" s="3"/>
      <c r="AT161" s="3"/>
      <c r="AU161" s="3"/>
      <c r="AV161" s="3"/>
      <c r="AY161" s="3"/>
      <c r="AZ161" s="3"/>
      <c r="BA161" s="3"/>
      <c r="BI161" s="3"/>
      <c r="BJ161" s="3"/>
      <c r="BK161" s="3"/>
    </row>
    <row r="162" spans="1:63" x14ac:dyDescent="0.2">
      <c r="A162" s="3">
        <v>21781</v>
      </c>
      <c r="B162" s="3">
        <v>27462</v>
      </c>
      <c r="C162" s="3">
        <v>28539</v>
      </c>
      <c r="D162" s="3">
        <v>24587</v>
      </c>
      <c r="E162" s="3">
        <v>26888</v>
      </c>
      <c r="F162">
        <v>14363</v>
      </c>
      <c r="G162" s="3">
        <v>13708</v>
      </c>
      <c r="H162" s="3"/>
      <c r="I162" s="3"/>
      <c r="J162" s="3">
        <v>13682</v>
      </c>
      <c r="K162" s="3">
        <v>11523</v>
      </c>
      <c r="L162">
        <v>10291</v>
      </c>
      <c r="M162" s="3">
        <v>11543</v>
      </c>
      <c r="N162" s="3">
        <v>5660</v>
      </c>
      <c r="O162" s="3">
        <v>3170</v>
      </c>
      <c r="P162" s="3">
        <v>2395</v>
      </c>
      <c r="Q162" s="3">
        <v>3798</v>
      </c>
      <c r="R162" s="3"/>
      <c r="S162" s="3"/>
      <c r="T162" s="3">
        <v>13233</v>
      </c>
      <c r="U162" s="3">
        <v>5901</v>
      </c>
      <c r="V162" s="3">
        <v>4145</v>
      </c>
      <c r="W162" s="3">
        <v>1197</v>
      </c>
      <c r="X162" s="3">
        <v>855</v>
      </c>
      <c r="Y162" s="3">
        <v>3135</v>
      </c>
      <c r="Z162" s="3">
        <v>1111</v>
      </c>
      <c r="AA162" s="3">
        <v>708</v>
      </c>
      <c r="AB162" s="3"/>
      <c r="AC162" s="3"/>
      <c r="AD162" s="3">
        <v>877</v>
      </c>
      <c r="AE162" s="3">
        <v>276</v>
      </c>
      <c r="AF162" s="3">
        <v>7505</v>
      </c>
      <c r="AG162" s="3">
        <v>1532</v>
      </c>
      <c r="AH162" s="3">
        <v>974</v>
      </c>
      <c r="AI162" s="3">
        <v>1380</v>
      </c>
      <c r="AJ162" s="3">
        <v>1016</v>
      </c>
      <c r="AN162" s="3"/>
      <c r="AO162" s="3"/>
      <c r="AP162" s="3"/>
      <c r="AQ162" s="3"/>
      <c r="AS162" s="3"/>
      <c r="AT162" s="3"/>
      <c r="AU162" s="3"/>
      <c r="AV162" s="3"/>
      <c r="AY162" s="3"/>
      <c r="AZ162" s="3"/>
      <c r="BA162" s="3"/>
      <c r="BI162" s="3"/>
      <c r="BJ162" s="3"/>
      <c r="BK162" s="3"/>
    </row>
    <row r="163" spans="1:63" x14ac:dyDescent="0.2">
      <c r="A163" s="3">
        <v>23083</v>
      </c>
      <c r="B163" s="3">
        <v>28035</v>
      </c>
      <c r="C163" s="3">
        <v>29180</v>
      </c>
      <c r="D163" s="3">
        <v>25638</v>
      </c>
      <c r="E163" s="3">
        <v>27662</v>
      </c>
      <c r="F163" s="3">
        <v>14738</v>
      </c>
      <c r="G163" s="3">
        <v>13925</v>
      </c>
      <c r="H163" s="3"/>
      <c r="I163" s="3"/>
      <c r="J163" s="3">
        <v>13994</v>
      </c>
      <c r="K163" s="3">
        <v>11853</v>
      </c>
      <c r="L163" s="3">
        <v>10738</v>
      </c>
      <c r="M163" s="3">
        <v>11883</v>
      </c>
      <c r="N163" s="3">
        <v>5983</v>
      </c>
      <c r="O163" s="3">
        <v>3413</v>
      </c>
      <c r="P163" s="3">
        <v>2649</v>
      </c>
      <c r="Q163" s="3">
        <v>4227</v>
      </c>
      <c r="R163" s="3"/>
      <c r="S163" s="3"/>
      <c r="T163" s="3">
        <v>13471</v>
      </c>
      <c r="U163" s="3">
        <v>6021</v>
      </c>
      <c r="V163" s="3">
        <v>4251</v>
      </c>
      <c r="W163" s="3">
        <v>1228</v>
      </c>
      <c r="X163" s="3">
        <v>870</v>
      </c>
      <c r="Y163" s="3">
        <v>3611</v>
      </c>
      <c r="Z163" s="3">
        <v>1230</v>
      </c>
      <c r="AA163" s="3">
        <v>822</v>
      </c>
      <c r="AB163" s="3"/>
      <c r="AC163" s="3"/>
      <c r="AD163" s="3">
        <v>1006</v>
      </c>
      <c r="AE163" s="3">
        <v>326</v>
      </c>
      <c r="AF163" s="3">
        <v>7919</v>
      </c>
      <c r="AG163" s="3">
        <v>1630</v>
      </c>
      <c r="AH163" s="3">
        <v>1083</v>
      </c>
      <c r="AI163" s="3">
        <v>1442</v>
      </c>
      <c r="AJ163" s="3">
        <v>1079</v>
      </c>
      <c r="AN163" s="3"/>
      <c r="AO163" s="3"/>
      <c r="AP163" s="3"/>
      <c r="AQ163" s="3"/>
      <c r="AS163" s="3"/>
      <c r="AT163" s="3"/>
      <c r="AU163" s="3"/>
      <c r="AV163" s="3"/>
      <c r="AX163" s="3"/>
      <c r="AY163" s="3"/>
      <c r="AZ163" s="3"/>
      <c r="BA163" s="3"/>
      <c r="BI163" s="3"/>
      <c r="BJ163" s="3"/>
      <c r="BK163" s="3"/>
    </row>
    <row r="164" spans="1:63" x14ac:dyDescent="0.2">
      <c r="A164" s="3">
        <v>24809</v>
      </c>
      <c r="B164" s="3">
        <v>28138</v>
      </c>
      <c r="C164" s="3">
        <v>30013</v>
      </c>
      <c r="D164" s="3">
        <v>27014</v>
      </c>
      <c r="E164" s="3">
        <v>28154</v>
      </c>
      <c r="F164" s="3">
        <v>14965</v>
      </c>
      <c r="G164" s="3">
        <v>14309</v>
      </c>
      <c r="H164" s="3"/>
      <c r="I164" s="3"/>
      <c r="J164" s="3">
        <v>14248</v>
      </c>
      <c r="K164" s="3">
        <v>12011</v>
      </c>
      <c r="L164" s="3">
        <v>11137</v>
      </c>
      <c r="M164" s="3">
        <v>12140</v>
      </c>
      <c r="N164" s="3">
        <v>6254</v>
      </c>
      <c r="O164" s="3">
        <v>3594</v>
      </c>
      <c r="P164" s="3">
        <v>2838</v>
      </c>
      <c r="Q164" s="3">
        <v>4460</v>
      </c>
      <c r="R164" s="3"/>
      <c r="S164" s="3"/>
      <c r="T164" s="3">
        <v>13692</v>
      </c>
      <c r="U164" s="3">
        <v>6109</v>
      </c>
      <c r="V164" s="3">
        <v>4360</v>
      </c>
      <c r="W164" s="3">
        <v>1240</v>
      </c>
      <c r="X164" s="3">
        <v>870</v>
      </c>
      <c r="Y164" s="3">
        <v>4012</v>
      </c>
      <c r="Z164" s="3">
        <v>1359</v>
      </c>
      <c r="AA164" s="3">
        <v>898</v>
      </c>
      <c r="AB164" s="3"/>
      <c r="AC164" s="3"/>
      <c r="AD164" s="3">
        <v>1146</v>
      </c>
      <c r="AE164" s="3">
        <v>369</v>
      </c>
      <c r="AF164" s="3">
        <v>8384</v>
      </c>
      <c r="AG164" s="3">
        <v>1695</v>
      </c>
      <c r="AH164" s="3">
        <v>1162</v>
      </c>
      <c r="AI164" s="3">
        <v>1484</v>
      </c>
      <c r="AJ164" s="3">
        <v>1138</v>
      </c>
      <c r="AN164" s="3"/>
      <c r="AO164" s="3"/>
      <c r="AP164" s="3"/>
      <c r="AQ164" s="3"/>
      <c r="AS164" s="3"/>
      <c r="AT164" s="3"/>
      <c r="AU164" s="3"/>
      <c r="AV164" s="3"/>
      <c r="AX164" s="3"/>
      <c r="AY164" s="3"/>
      <c r="AZ164" s="3"/>
      <c r="BA164" s="3"/>
      <c r="BI164" s="3"/>
      <c r="BJ164" s="3"/>
      <c r="BK164" s="3"/>
    </row>
    <row r="165" spans="1:63" x14ac:dyDescent="0.2">
      <c r="A165" s="3">
        <v>26204</v>
      </c>
      <c r="B165" s="3">
        <v>31969</v>
      </c>
      <c r="C165" s="3">
        <v>30677</v>
      </c>
      <c r="D165" s="3">
        <v>28016</v>
      </c>
      <c r="E165" s="3">
        <v>28854</v>
      </c>
      <c r="F165" s="3">
        <v>15104</v>
      </c>
      <c r="G165" s="3">
        <v>14596</v>
      </c>
      <c r="H165" s="3"/>
      <c r="I165" s="3"/>
      <c r="J165" s="3">
        <v>14521</v>
      </c>
      <c r="K165" s="3">
        <v>12188</v>
      </c>
      <c r="L165" s="3">
        <v>11349</v>
      </c>
      <c r="M165" s="3">
        <v>12539</v>
      </c>
      <c r="N165" s="3">
        <v>6681</v>
      </c>
      <c r="O165" s="3">
        <v>3894</v>
      </c>
      <c r="P165" s="3">
        <v>2969</v>
      </c>
      <c r="Q165" s="3">
        <v>4572</v>
      </c>
      <c r="R165" s="3"/>
      <c r="S165" s="3"/>
      <c r="T165" s="3">
        <v>13912</v>
      </c>
      <c r="U165" s="3">
        <v>6178</v>
      </c>
      <c r="V165" s="3">
        <v>4425</v>
      </c>
      <c r="W165" s="3">
        <v>1256</v>
      </c>
      <c r="X165" s="3">
        <v>878</v>
      </c>
      <c r="Y165" s="3">
        <v>4456</v>
      </c>
      <c r="Z165" s="3">
        <v>1521</v>
      </c>
      <c r="AA165" s="3">
        <v>1034</v>
      </c>
      <c r="AB165" s="3"/>
      <c r="AC165" s="3"/>
      <c r="AD165" s="3">
        <v>1319</v>
      </c>
      <c r="AE165" s="3">
        <v>416</v>
      </c>
      <c r="AF165" s="3">
        <v>8823</v>
      </c>
      <c r="AG165" s="3">
        <v>1763</v>
      </c>
      <c r="AH165" s="3">
        <v>1260</v>
      </c>
      <c r="AI165" s="3">
        <v>1566</v>
      </c>
      <c r="AJ165" s="3">
        <v>1221</v>
      </c>
      <c r="AN165" s="3"/>
      <c r="AO165" s="3"/>
      <c r="AP165" s="3"/>
      <c r="AQ165" s="3"/>
      <c r="AS165" s="3"/>
      <c r="AT165" s="3"/>
      <c r="AU165" s="3"/>
      <c r="AV165" s="3"/>
      <c r="AX165" s="3"/>
      <c r="AY165" s="3"/>
      <c r="AZ165" s="3"/>
      <c r="BA165" s="3"/>
      <c r="BI165" s="3"/>
      <c r="BJ165" s="3"/>
      <c r="BK165" s="3"/>
    </row>
    <row r="166" spans="1:63" x14ac:dyDescent="0.2">
      <c r="A166" s="3">
        <v>27759</v>
      </c>
      <c r="B166" s="3">
        <v>33521</v>
      </c>
      <c r="C166" s="3">
        <v>31079</v>
      </c>
      <c r="D166" s="3">
        <v>28875</v>
      </c>
      <c r="E166" s="3">
        <v>29567</v>
      </c>
      <c r="F166" s="3">
        <v>15251</v>
      </c>
      <c r="G166" s="3">
        <v>14916</v>
      </c>
      <c r="H166" s="3"/>
      <c r="I166" s="3"/>
      <c r="J166" s="3">
        <v>14621</v>
      </c>
      <c r="K166" s="3">
        <v>12380</v>
      </c>
      <c r="L166" s="3">
        <v>11755</v>
      </c>
      <c r="M166" s="3">
        <v>12890</v>
      </c>
      <c r="N166" s="4">
        <v>7206</v>
      </c>
      <c r="O166" s="4">
        <v>4245</v>
      </c>
      <c r="P166" s="3">
        <v>3122</v>
      </c>
      <c r="Q166" s="3">
        <v>4744</v>
      </c>
      <c r="R166" s="3"/>
      <c r="S166" s="3"/>
      <c r="T166" s="3">
        <v>14255</v>
      </c>
      <c r="U166" s="3">
        <v>6306</v>
      </c>
      <c r="V166" s="3">
        <v>4544</v>
      </c>
      <c r="W166" s="3">
        <v>1298</v>
      </c>
      <c r="X166" s="3">
        <v>900</v>
      </c>
      <c r="Y166" s="3">
        <v>5029</v>
      </c>
      <c r="Z166" s="3">
        <v>1693</v>
      </c>
      <c r="AA166" s="3">
        <v>1222</v>
      </c>
      <c r="AB166" s="3"/>
      <c r="AC166" s="3"/>
      <c r="AD166" s="3">
        <v>1466</v>
      </c>
      <c r="AE166" s="3">
        <v>616</v>
      </c>
      <c r="AF166" s="3">
        <v>9133</v>
      </c>
      <c r="AG166" s="3">
        <v>1806</v>
      </c>
      <c r="AH166" s="3">
        <v>1330</v>
      </c>
      <c r="AI166" s="3">
        <v>1621</v>
      </c>
      <c r="AJ166" s="3">
        <v>1277</v>
      </c>
      <c r="AN166" s="3"/>
      <c r="AO166" s="3"/>
      <c r="AP166" s="3"/>
      <c r="AQ166" s="3"/>
      <c r="AS166" s="3"/>
      <c r="AT166" s="3"/>
      <c r="AU166" s="3"/>
      <c r="AV166" s="3"/>
      <c r="AX166" s="3"/>
      <c r="AY166" s="3"/>
      <c r="AZ166" s="3"/>
      <c r="BA166" s="3"/>
      <c r="BI166" s="3"/>
      <c r="BJ166" s="3"/>
      <c r="BK166" s="3"/>
    </row>
    <row r="167" spans="1:63" x14ac:dyDescent="0.2">
      <c r="A167" s="3">
        <v>29754</v>
      </c>
      <c r="B167" s="3">
        <v>34705</v>
      </c>
      <c r="C167" s="3">
        <v>31555</v>
      </c>
      <c r="D167" s="3">
        <v>29372</v>
      </c>
      <c r="E167" s="3">
        <v>30606</v>
      </c>
      <c r="F167" s="3">
        <v>15446</v>
      </c>
      <c r="G167" s="3">
        <v>15148</v>
      </c>
      <c r="H167" s="3"/>
      <c r="I167" s="3"/>
      <c r="J167" s="3">
        <v>14840</v>
      </c>
      <c r="K167" s="3">
        <v>12578</v>
      </c>
      <c r="L167" s="3">
        <v>12185</v>
      </c>
      <c r="M167" s="3">
        <v>13295</v>
      </c>
      <c r="N167" s="4">
        <v>7744</v>
      </c>
      <c r="O167" s="4">
        <v>4584</v>
      </c>
      <c r="P167" s="4">
        <v>3342</v>
      </c>
      <c r="Q167" s="3">
        <v>4999</v>
      </c>
      <c r="R167" s="3"/>
      <c r="S167" s="3"/>
      <c r="U167">
        <v>6463</v>
      </c>
      <c r="V167">
        <v>4628</v>
      </c>
      <c r="W167" s="4">
        <v>1362</v>
      </c>
      <c r="X167">
        <v>912</v>
      </c>
      <c r="Y167" s="3">
        <v>5521</v>
      </c>
      <c r="Z167" s="3">
        <v>1889</v>
      </c>
      <c r="AA167" s="3">
        <v>1377</v>
      </c>
      <c r="AB167" s="3"/>
      <c r="AC167" s="3"/>
      <c r="AD167" s="3">
        <v>1562</v>
      </c>
      <c r="AE167" s="3">
        <v>720</v>
      </c>
      <c r="AF167" s="3">
        <v>9367</v>
      </c>
      <c r="AG167" s="3">
        <v>1849</v>
      </c>
      <c r="AH167" s="3">
        <v>1460</v>
      </c>
      <c r="AI167" s="3">
        <v>1666</v>
      </c>
      <c r="AJ167" s="3">
        <v>1283</v>
      </c>
      <c r="AN167" s="3"/>
      <c r="AO167" s="3"/>
      <c r="AP167" s="3"/>
      <c r="AQ167" s="3"/>
      <c r="AS167" s="3"/>
      <c r="AT167" s="3"/>
      <c r="AU167" s="3"/>
      <c r="AV167" s="3"/>
      <c r="AX167" s="3"/>
      <c r="AY167" s="3"/>
      <c r="AZ167" s="3"/>
      <c r="BA167" s="3"/>
      <c r="BI167" s="3"/>
      <c r="BJ167" s="3"/>
      <c r="BK167" s="3"/>
    </row>
    <row r="168" spans="1:63" x14ac:dyDescent="0.2">
      <c r="A168" s="3">
        <v>31044</v>
      </c>
      <c r="B168" s="3">
        <v>35763</v>
      </c>
      <c r="C168" s="3">
        <v>32124</v>
      </c>
      <c r="D168" s="3">
        <v>29989</v>
      </c>
      <c r="E168" s="3">
        <v>31368</v>
      </c>
      <c r="F168" s="3">
        <v>15610</v>
      </c>
      <c r="G168" s="3">
        <v>15401</v>
      </c>
      <c r="H168" s="3"/>
      <c r="I168" s="3"/>
      <c r="J168" s="3">
        <v>14951</v>
      </c>
      <c r="K168" s="3">
        <v>12779</v>
      </c>
      <c r="L168" s="3">
        <v>12449</v>
      </c>
      <c r="M168" s="3">
        <v>13606</v>
      </c>
      <c r="N168" s="4">
        <v>8297</v>
      </c>
      <c r="O168" s="4">
        <v>4914</v>
      </c>
      <c r="P168" s="4">
        <v>3499</v>
      </c>
      <c r="Q168" s="3">
        <v>5300</v>
      </c>
      <c r="R168" s="3"/>
      <c r="S168" s="3"/>
      <c r="T168">
        <v>14561</v>
      </c>
      <c r="U168">
        <v>6634</v>
      </c>
      <c r="V168">
        <v>4862</v>
      </c>
      <c r="W168" s="3">
        <v>1387</v>
      </c>
      <c r="X168">
        <v>960</v>
      </c>
      <c r="Y168" s="3">
        <v>6022</v>
      </c>
      <c r="Z168" s="3">
        <v>2053</v>
      </c>
      <c r="AA168" s="3">
        <v>1510</v>
      </c>
      <c r="AB168" s="3"/>
      <c r="AC168" s="3"/>
      <c r="AD168" s="3">
        <v>1620</v>
      </c>
      <c r="AE168" s="3">
        <v>930</v>
      </c>
      <c r="AF168" s="3">
        <v>9948</v>
      </c>
      <c r="AG168" s="3">
        <v>1932</v>
      </c>
      <c r="AH168" s="3">
        <v>1467</v>
      </c>
      <c r="AI168" s="3">
        <v>1666</v>
      </c>
      <c r="AJ168" s="3">
        <v>1299</v>
      </c>
      <c r="AN168" s="3"/>
      <c r="AO168" s="3"/>
      <c r="AP168" s="3"/>
      <c r="AQ168" s="3"/>
      <c r="AS168" s="3"/>
      <c r="AT168" s="3"/>
      <c r="AU168" s="3"/>
      <c r="AV168" s="3"/>
      <c r="AX168" s="3"/>
      <c r="AY168" s="3"/>
      <c r="AZ168" s="3"/>
      <c r="BA168" s="3"/>
      <c r="BI168" s="3"/>
      <c r="BJ168" s="3"/>
      <c r="BK168" s="3"/>
    </row>
    <row r="169" spans="1:63" x14ac:dyDescent="0.2">
      <c r="A169" s="3">
        <v>32749</v>
      </c>
      <c r="B169" s="3"/>
      <c r="C169" s="3">
        <v>32765</v>
      </c>
      <c r="D169" s="3">
        <v>30868</v>
      </c>
      <c r="E169" s="3">
        <v>32059</v>
      </c>
      <c r="F169" s="3">
        <v>15830</v>
      </c>
      <c r="G169" s="3">
        <v>15769</v>
      </c>
      <c r="H169" s="3"/>
      <c r="I169" s="3"/>
      <c r="J169" s="3">
        <v>15095</v>
      </c>
      <c r="K169" s="3">
        <v>12996</v>
      </c>
      <c r="L169" s="3">
        <v>12814</v>
      </c>
      <c r="M169" s="3">
        <v>13777</v>
      </c>
      <c r="N169" s="4">
        <v>8737</v>
      </c>
      <c r="O169" s="4">
        <v>5153</v>
      </c>
      <c r="P169" s="4">
        <v>3659</v>
      </c>
      <c r="Q169" s="3">
        <v>5550</v>
      </c>
      <c r="R169" s="3"/>
      <c r="S169" s="3"/>
      <c r="T169" s="3">
        <v>15407</v>
      </c>
      <c r="U169" s="3">
        <v>6804</v>
      </c>
      <c r="V169" s="3">
        <v>5022</v>
      </c>
      <c r="W169" s="3">
        <v>1434</v>
      </c>
      <c r="X169" s="3">
        <v>974</v>
      </c>
      <c r="Y169" s="3">
        <v>6352</v>
      </c>
      <c r="Z169" s="3">
        <v>2164</v>
      </c>
      <c r="AA169" s="3">
        <v>1594</v>
      </c>
      <c r="AB169" s="3"/>
      <c r="AC169" s="3"/>
      <c r="AD169" s="3">
        <v>1684</v>
      </c>
      <c r="AE169" s="3">
        <v>1035</v>
      </c>
      <c r="AF169" s="3">
        <v>10416</v>
      </c>
      <c r="AG169" s="3">
        <v>2014</v>
      </c>
      <c r="AH169" s="3">
        <v>1723</v>
      </c>
      <c r="AI169" s="3">
        <v>1793</v>
      </c>
      <c r="AJ169" s="3">
        <v>1376</v>
      </c>
      <c r="AN169" s="3"/>
      <c r="AO169" s="3"/>
      <c r="AP169" s="3"/>
      <c r="AQ169" s="3"/>
      <c r="AS169" s="3"/>
      <c r="AT169" s="3"/>
      <c r="AU169" s="3"/>
      <c r="AV169" s="3"/>
      <c r="AX169" s="3"/>
      <c r="AY169" s="3"/>
      <c r="AZ169" s="3"/>
      <c r="BA169" s="3"/>
      <c r="BI169" s="3"/>
      <c r="BJ169" s="3"/>
      <c r="BK169" s="3"/>
    </row>
    <row r="170" spans="1:63" x14ac:dyDescent="0.2">
      <c r="A170" s="3">
        <v>33468</v>
      </c>
      <c r="B170" s="3">
        <v>37030</v>
      </c>
      <c r="C170" s="3">
        <v>33798</v>
      </c>
      <c r="D170" s="3">
        <v>31659</v>
      </c>
      <c r="E170" s="3">
        <v>32470</v>
      </c>
      <c r="F170" s="3">
        <v>15974</v>
      </c>
      <c r="G170" s="3">
        <v>15881</v>
      </c>
      <c r="H170" s="3"/>
      <c r="I170" s="3"/>
      <c r="J170" s="3">
        <v>15256</v>
      </c>
      <c r="K170" s="3">
        <v>13225</v>
      </c>
      <c r="L170" s="3">
        <v>13082</v>
      </c>
      <c r="M170" s="3">
        <v>13941</v>
      </c>
      <c r="N170" s="3">
        <v>9253</v>
      </c>
      <c r="O170" s="3">
        <v>5296</v>
      </c>
      <c r="P170" s="4">
        <v>3789</v>
      </c>
      <c r="Q170" s="3">
        <v>5787</v>
      </c>
      <c r="R170" s="3"/>
      <c r="S170" s="3"/>
      <c r="T170" s="3">
        <v>15548</v>
      </c>
      <c r="U170" s="3">
        <v>6881</v>
      </c>
      <c r="V170" s="3">
        <v>5139</v>
      </c>
      <c r="W170" s="3">
        <v>1452</v>
      </c>
      <c r="X170" s="3">
        <v>1002</v>
      </c>
      <c r="Y170" s="3">
        <v>6810</v>
      </c>
      <c r="Z170" s="3">
        <v>2285</v>
      </c>
      <c r="AA170" s="3">
        <v>1712</v>
      </c>
      <c r="AB170" s="3"/>
      <c r="AC170" s="3"/>
      <c r="AD170" s="3">
        <v>1747</v>
      </c>
      <c r="AE170" s="3">
        <v>1150</v>
      </c>
      <c r="AF170" s="4">
        <v>10786</v>
      </c>
      <c r="AG170" s="4">
        <v>2089</v>
      </c>
      <c r="AH170" s="3">
        <v>1913</v>
      </c>
      <c r="AI170" s="3">
        <v>1833</v>
      </c>
      <c r="AJ170" s="3">
        <v>1425</v>
      </c>
      <c r="AN170" s="3"/>
      <c r="AO170" s="3"/>
      <c r="AP170" s="3"/>
      <c r="AQ170" s="3"/>
      <c r="AS170" s="3"/>
      <c r="AT170" s="3"/>
      <c r="AU170" s="3"/>
      <c r="AV170" s="3"/>
      <c r="AX170" s="3"/>
      <c r="AY170" s="3"/>
      <c r="AZ170" s="3"/>
      <c r="BA170" s="3"/>
      <c r="BI170" s="3"/>
      <c r="BJ170" s="3"/>
      <c r="BK170" s="3"/>
    </row>
    <row r="171" spans="1:63" x14ac:dyDescent="0.2">
      <c r="A171" s="3">
        <v>33616</v>
      </c>
      <c r="B171" s="3">
        <v>37694</v>
      </c>
      <c r="C171" s="3">
        <v>34522</v>
      </c>
      <c r="D171" s="3">
        <v>32701</v>
      </c>
      <c r="E171" s="3">
        <v>32724</v>
      </c>
      <c r="F171" s="3">
        <v>16185</v>
      </c>
      <c r="G171" s="3">
        <v>16099</v>
      </c>
      <c r="H171" s="3"/>
      <c r="I171" s="3"/>
      <c r="J171" s="3">
        <v>15365</v>
      </c>
      <c r="K171" s="3">
        <v>13357</v>
      </c>
      <c r="L171" s="3">
        <v>13364</v>
      </c>
      <c r="M171" s="3">
        <v>14173</v>
      </c>
      <c r="N171" s="3">
        <v>9621</v>
      </c>
      <c r="O171" s="3">
        <v>5521</v>
      </c>
      <c r="P171" s="3">
        <v>3960</v>
      </c>
      <c r="Q171" s="3">
        <v>6129</v>
      </c>
      <c r="R171" s="3"/>
      <c r="S171" s="3"/>
      <c r="T171" s="3">
        <v>15748</v>
      </c>
      <c r="U171" s="3">
        <v>6928</v>
      </c>
      <c r="V171" s="3">
        <v>5203</v>
      </c>
      <c r="W171" s="3">
        <v>1467</v>
      </c>
      <c r="X171" s="3"/>
      <c r="Y171" s="3">
        <v>7121</v>
      </c>
      <c r="Z171" s="3">
        <v>2354</v>
      </c>
      <c r="AA171" s="3">
        <v>1806</v>
      </c>
      <c r="AB171" s="3"/>
      <c r="AC171" s="3"/>
      <c r="AD171" s="3">
        <v>1803</v>
      </c>
      <c r="AE171" s="3">
        <v>1247</v>
      </c>
      <c r="AF171" s="4">
        <v>11354</v>
      </c>
      <c r="AG171" s="4">
        <v>2160</v>
      </c>
      <c r="AH171" s="4">
        <v>2080</v>
      </c>
      <c r="AI171" s="4">
        <v>1870</v>
      </c>
      <c r="AJ171" s="4">
        <v>1501</v>
      </c>
      <c r="AN171" s="3"/>
      <c r="AO171" s="3"/>
      <c r="AP171" s="3"/>
      <c r="AQ171" s="3"/>
      <c r="AS171" s="3"/>
      <c r="AT171" s="3"/>
      <c r="AU171" s="3"/>
      <c r="AV171" s="3"/>
      <c r="AX171" s="3"/>
      <c r="AY171" s="3"/>
      <c r="AZ171" s="3"/>
      <c r="BA171" s="3"/>
      <c r="BI171" s="3"/>
      <c r="BJ171" s="3"/>
      <c r="BK171" s="3"/>
    </row>
    <row r="172" spans="1:63" x14ac:dyDescent="0.2">
      <c r="A172" s="3">
        <v>36765</v>
      </c>
      <c r="B172" s="3">
        <v>38481</v>
      </c>
      <c r="C172" s="3">
        <v>34865</v>
      </c>
      <c r="D172" s="3">
        <v>34183</v>
      </c>
      <c r="E172" s="3">
        <v>33265</v>
      </c>
      <c r="F172" s="3">
        <v>16282</v>
      </c>
      <c r="G172" s="3">
        <v>16197</v>
      </c>
      <c r="H172" s="3"/>
      <c r="I172" s="3"/>
      <c r="J172" s="3">
        <v>15524</v>
      </c>
      <c r="K172" s="3">
        <v>13503</v>
      </c>
      <c r="L172" s="3">
        <v>13496</v>
      </c>
      <c r="M172" s="3">
        <v>14476</v>
      </c>
      <c r="N172" s="5">
        <v>10094</v>
      </c>
      <c r="O172" s="5">
        <v>5783</v>
      </c>
      <c r="P172" s="3">
        <v>4062</v>
      </c>
      <c r="Q172" s="3">
        <v>6288</v>
      </c>
      <c r="R172" s="3"/>
      <c r="S172" s="3"/>
      <c r="T172" s="3">
        <v>15872</v>
      </c>
      <c r="U172" s="3"/>
      <c r="V172" s="3">
        <v>5245</v>
      </c>
      <c r="W172" s="3">
        <v>1483</v>
      </c>
      <c r="X172" s="3">
        <v>1004</v>
      </c>
      <c r="Y172" s="3">
        <v>7441</v>
      </c>
      <c r="Z172" s="3">
        <v>2475</v>
      </c>
      <c r="AA172" s="3">
        <v>1935</v>
      </c>
      <c r="AB172" s="3"/>
      <c r="AC172" s="3"/>
      <c r="AD172" s="3">
        <v>1922</v>
      </c>
      <c r="AE172" s="3">
        <v>1335</v>
      </c>
      <c r="AF172" s="4">
        <v>11984</v>
      </c>
      <c r="AG172" s="4">
        <v>2215</v>
      </c>
      <c r="AH172" s="4">
        <v>2257</v>
      </c>
      <c r="AI172" s="4"/>
      <c r="AJ172" s="4">
        <v>1636</v>
      </c>
      <c r="AN172" s="3"/>
      <c r="AO172" s="3"/>
      <c r="AP172" s="3"/>
      <c r="AQ172" s="3"/>
      <c r="AS172" s="3"/>
      <c r="AT172" s="3"/>
      <c r="AU172" s="3"/>
      <c r="AV172" s="3"/>
      <c r="AX172" s="3"/>
      <c r="AY172" s="3"/>
      <c r="AZ172" s="3"/>
      <c r="BA172" s="3"/>
      <c r="BI172" s="3"/>
      <c r="BJ172" s="3"/>
      <c r="BK172" s="3"/>
    </row>
    <row r="173" spans="1:63" x14ac:dyDescent="0.2">
      <c r="A173" s="3">
        <v>37918</v>
      </c>
      <c r="B173" s="3">
        <v>39354</v>
      </c>
      <c r="C173" s="3">
        <v>35085</v>
      </c>
      <c r="D173" s="3">
        <v>34970</v>
      </c>
      <c r="E173" s="3">
        <v>33664</v>
      </c>
      <c r="F173" s="3">
        <v>16460</v>
      </c>
      <c r="G173" s="3">
        <v>16354</v>
      </c>
      <c r="H173" s="3"/>
      <c r="I173" s="3"/>
      <c r="J173" s="3">
        <v>15602</v>
      </c>
      <c r="K173" s="3">
        <v>13604</v>
      </c>
      <c r="L173" s="3">
        <v>13797</v>
      </c>
      <c r="M173" s="3">
        <v>14732</v>
      </c>
      <c r="N173" s="3">
        <v>10724</v>
      </c>
      <c r="O173" s="3">
        <v>6219</v>
      </c>
      <c r="P173">
        <v>4212</v>
      </c>
      <c r="Q173" s="3">
        <v>6471</v>
      </c>
      <c r="R173" s="3"/>
      <c r="S173" s="3"/>
      <c r="T173" s="3">
        <v>16173</v>
      </c>
      <c r="U173" s="3">
        <v>7012</v>
      </c>
      <c r="V173" s="3">
        <v>5339</v>
      </c>
      <c r="W173" s="3">
        <v>1533</v>
      </c>
      <c r="X173" s="3">
        <v>1033</v>
      </c>
      <c r="Y173" s="4">
        <v>7684</v>
      </c>
      <c r="Z173" s="3">
        <v>2544</v>
      </c>
      <c r="AA173" s="4">
        <v>1999</v>
      </c>
      <c r="AB173" s="4"/>
      <c r="AC173" s="4"/>
      <c r="AD173" s="4">
        <v>1999</v>
      </c>
      <c r="AE173" s="4">
        <v>1419</v>
      </c>
      <c r="AF173" s="4">
        <v>12299</v>
      </c>
      <c r="AG173" s="4">
        <v>2270</v>
      </c>
      <c r="AH173" s="4">
        <v>2316</v>
      </c>
      <c r="AI173" s="3">
        <v>1878</v>
      </c>
      <c r="AJ173" s="3"/>
      <c r="AN173" s="3"/>
      <c r="AO173" s="3"/>
      <c r="AP173" s="3"/>
      <c r="AQ173" s="3"/>
      <c r="AS173" s="3"/>
      <c r="AT173" s="3"/>
      <c r="AU173" s="3"/>
      <c r="AV173" s="3"/>
      <c r="AX173" s="3"/>
      <c r="AY173" s="3"/>
      <c r="AZ173" s="3"/>
      <c r="BA173" s="3"/>
      <c r="BI173" s="3"/>
      <c r="BJ173" s="3"/>
      <c r="BK173" s="3"/>
    </row>
    <row r="174" spans="1:63" x14ac:dyDescent="0.2">
      <c r="A174" s="3">
        <v>39091</v>
      </c>
      <c r="B174" s="3">
        <v>40648</v>
      </c>
      <c r="C174" s="3">
        <v>35505</v>
      </c>
      <c r="D174" s="3">
        <v>35556</v>
      </c>
      <c r="E174" s="3">
        <v>34037</v>
      </c>
      <c r="F174" s="3">
        <v>16520</v>
      </c>
      <c r="G174" s="3">
        <v>16520</v>
      </c>
      <c r="H174" s="3"/>
      <c r="I174" s="3"/>
      <c r="J174" s="3">
        <v>15685</v>
      </c>
      <c r="K174" s="3">
        <v>13781</v>
      </c>
      <c r="L174" s="3">
        <v>13971</v>
      </c>
      <c r="M174" s="3">
        <v>14944</v>
      </c>
      <c r="N174" s="3">
        <v>11681</v>
      </c>
      <c r="O174" s="3">
        <v>6841</v>
      </c>
      <c r="P174" s="3">
        <v>4541</v>
      </c>
      <c r="Q174" s="3">
        <v>6597</v>
      </c>
      <c r="R174" s="3"/>
      <c r="S174" s="3"/>
      <c r="T174" s="3">
        <v>16494</v>
      </c>
      <c r="U174" s="3">
        <v>7159</v>
      </c>
      <c r="V174" s="3">
        <v>5430</v>
      </c>
      <c r="W174" s="3">
        <v>1564</v>
      </c>
      <c r="X174" s="3">
        <v>1049</v>
      </c>
      <c r="Y174" s="3">
        <v>8563</v>
      </c>
      <c r="Z174" s="3">
        <v>2684</v>
      </c>
      <c r="AA174" s="4">
        <v>2281</v>
      </c>
      <c r="AB174" s="4"/>
      <c r="AC174" s="4"/>
      <c r="AD174" s="4">
        <v>2092</v>
      </c>
      <c r="AE174" s="4">
        <v>1537</v>
      </c>
      <c r="AF174" s="3">
        <v>13787</v>
      </c>
      <c r="AG174" s="3">
        <v>2327</v>
      </c>
      <c r="AH174" s="3">
        <v>2477</v>
      </c>
      <c r="AI174" s="3">
        <v>1920</v>
      </c>
      <c r="AJ174" s="3">
        <v>1679</v>
      </c>
      <c r="AN174" s="3"/>
      <c r="AO174" s="3"/>
      <c r="AP174" s="3"/>
      <c r="AQ174" s="3"/>
      <c r="AS174" s="3"/>
      <c r="AT174" s="3"/>
      <c r="AU174" s="3"/>
      <c r="AV174" s="3"/>
      <c r="AX174" s="3"/>
      <c r="AY174" s="3"/>
      <c r="AZ174" s="3"/>
      <c r="BA174" s="3"/>
      <c r="BI174" s="3"/>
      <c r="BJ174" s="3"/>
      <c r="BK174" s="3"/>
    </row>
    <row r="175" spans="1:63" x14ac:dyDescent="0.2">
      <c r="A175" s="3">
        <v>40216</v>
      </c>
      <c r="B175" s="3">
        <v>41660</v>
      </c>
      <c r="C175" s="3">
        <v>35854</v>
      </c>
      <c r="D175" s="3">
        <v>35994</v>
      </c>
      <c r="E175" s="3">
        <v>34478</v>
      </c>
      <c r="F175" s="3">
        <v>16609</v>
      </c>
      <c r="G175" s="3">
        <v>16675</v>
      </c>
      <c r="H175" s="3"/>
      <c r="I175" s="3"/>
      <c r="J175" s="3">
        <v>15749</v>
      </c>
      <c r="K175" s="3">
        <v>13917</v>
      </c>
      <c r="L175" s="3">
        <v>14133</v>
      </c>
      <c r="M175" s="3">
        <v>15119</v>
      </c>
      <c r="N175" s="3">
        <v>12253</v>
      </c>
      <c r="O175" s="3">
        <v>7212</v>
      </c>
      <c r="P175" s="3">
        <v>4979</v>
      </c>
      <c r="Q175" s="3">
        <v>6992</v>
      </c>
      <c r="R175" s="3"/>
      <c r="S175" s="3"/>
      <c r="T175" s="3">
        <v>16729</v>
      </c>
      <c r="U175" s="3">
        <v>7267</v>
      </c>
      <c r="V175" s="3">
        <v>5513</v>
      </c>
      <c r="W175" s="3">
        <v>1581</v>
      </c>
      <c r="X175" s="3">
        <v>1075</v>
      </c>
      <c r="Y175" s="3"/>
      <c r="Z175" s="3">
        <v>2781</v>
      </c>
      <c r="AA175" s="4">
        <v>2372</v>
      </c>
      <c r="AB175" s="4"/>
      <c r="AC175" s="4"/>
      <c r="AD175" s="4">
        <v>2141</v>
      </c>
      <c r="AE175" s="4">
        <v>1748</v>
      </c>
      <c r="AF175" s="5">
        <v>15096</v>
      </c>
      <c r="AG175" s="5">
        <v>2436</v>
      </c>
      <c r="AH175" s="5">
        <v>2631</v>
      </c>
      <c r="AI175" s="5">
        <v>1943</v>
      </c>
      <c r="AJ175" s="5">
        <v>1717</v>
      </c>
      <c r="AN175" s="3"/>
      <c r="AO175" s="3"/>
      <c r="AP175" s="3"/>
      <c r="AQ175" s="3"/>
      <c r="AS175" s="3"/>
      <c r="AT175" s="3"/>
      <c r="AU175" s="3"/>
      <c r="AV175" s="3"/>
      <c r="AX175" s="3"/>
      <c r="AY175" s="3"/>
      <c r="AZ175" s="3"/>
      <c r="BA175" s="3"/>
      <c r="BI175" s="3"/>
      <c r="BJ175" s="3"/>
      <c r="BK175" s="3"/>
    </row>
    <row r="176" spans="1:63" x14ac:dyDescent="0.2">
      <c r="A176" s="3"/>
      <c r="B176" s="3">
        <v>42487</v>
      </c>
      <c r="C176" s="3">
        <v>36161</v>
      </c>
      <c r="D176" s="3">
        <v>36600</v>
      </c>
      <c r="E176" s="3">
        <v>34855</v>
      </c>
      <c r="F176" s="3">
        <v>16709</v>
      </c>
      <c r="G176" s="3">
        <v>16822</v>
      </c>
      <c r="H176" s="3"/>
      <c r="I176" s="3"/>
      <c r="J176" s="3">
        <v>15824</v>
      </c>
      <c r="K176" s="3"/>
      <c r="L176" s="3">
        <v>14280</v>
      </c>
      <c r="M176" s="3">
        <v>15279</v>
      </c>
      <c r="N176" s="3">
        <v>12648</v>
      </c>
      <c r="O176" s="3">
        <v>7489</v>
      </c>
      <c r="P176" s="3">
        <v>5172</v>
      </c>
      <c r="Q176" s="3">
        <v>7197</v>
      </c>
      <c r="R176" s="3"/>
      <c r="S176" s="3"/>
      <c r="T176" s="3">
        <v>16970</v>
      </c>
      <c r="U176" s="3">
        <v>7423</v>
      </c>
      <c r="V176" s="3">
        <v>5623</v>
      </c>
      <c r="W176" s="3">
        <v>1600</v>
      </c>
      <c r="X176" s="3">
        <v>1091</v>
      </c>
      <c r="Y176" s="4">
        <v>9214</v>
      </c>
      <c r="Z176" s="4">
        <v>2913</v>
      </c>
      <c r="AA176" s="4">
        <v>2460</v>
      </c>
      <c r="AB176" s="4"/>
      <c r="AC176" s="4"/>
      <c r="AD176" s="4">
        <v>2203</v>
      </c>
      <c r="AE176" s="4">
        <v>1898</v>
      </c>
      <c r="AF176" s="3">
        <v>16400</v>
      </c>
      <c r="AG176" s="3">
        <v>2493</v>
      </c>
      <c r="AH176" s="3">
        <v>2822</v>
      </c>
      <c r="AI176" s="3">
        <v>1969</v>
      </c>
      <c r="AJ176" s="3">
        <v>1785</v>
      </c>
      <c r="AN176" s="3"/>
      <c r="AO176" s="3"/>
      <c r="AP176" s="3"/>
      <c r="AQ176" s="3"/>
      <c r="AS176" s="3"/>
      <c r="AT176" s="3"/>
      <c r="AU176" s="3"/>
      <c r="AV176" s="3"/>
      <c r="AX176" s="3"/>
      <c r="AY176" s="3"/>
      <c r="AZ176" s="3"/>
      <c r="BA176" s="3"/>
      <c r="BI176" s="3"/>
      <c r="BJ176" s="3"/>
      <c r="BK176" s="3"/>
    </row>
    <row r="177" spans="1:117" x14ac:dyDescent="0.2">
      <c r="A177" s="3">
        <v>42023</v>
      </c>
      <c r="B177" s="3">
        <v>43014</v>
      </c>
      <c r="C177" s="3">
        <v>36519</v>
      </c>
      <c r="D177" s="3">
        <v>37244</v>
      </c>
      <c r="E177" s="3">
        <v>35077</v>
      </c>
      <c r="F177" s="3">
        <v>16804</v>
      </c>
      <c r="G177" s="3">
        <v>16936</v>
      </c>
      <c r="H177" s="3"/>
      <c r="I177" s="3"/>
      <c r="J177" s="3">
        <v>15953</v>
      </c>
      <c r="K177" s="3">
        <v>14057</v>
      </c>
      <c r="L177" s="3">
        <v>14428</v>
      </c>
      <c r="M177" s="3">
        <v>15356</v>
      </c>
      <c r="N177" s="3">
        <v>12953</v>
      </c>
      <c r="O177" s="3">
        <v>7708</v>
      </c>
      <c r="P177" s="3">
        <v>5288</v>
      </c>
      <c r="Q177" s="3">
        <v>7410</v>
      </c>
      <c r="R177" s="3"/>
      <c r="S177" s="3"/>
      <c r="T177" s="3">
        <v>17106</v>
      </c>
      <c r="U177" s="3">
        <v>7475</v>
      </c>
      <c r="V177" s="3">
        <v>5666</v>
      </c>
      <c r="W177" s="3">
        <v>1620</v>
      </c>
      <c r="X177" s="3">
        <v>1101</v>
      </c>
      <c r="Y177" s="3"/>
      <c r="Z177" s="3">
        <v>3040</v>
      </c>
      <c r="AA177" s="3">
        <v>2484</v>
      </c>
      <c r="AB177" s="3"/>
      <c r="AC177" s="3"/>
      <c r="AD177" s="3">
        <v>2245</v>
      </c>
      <c r="AE177" s="3">
        <v>1945</v>
      </c>
      <c r="AF177" s="3">
        <v>17548</v>
      </c>
      <c r="AG177" s="3">
        <v>2645</v>
      </c>
      <c r="AH177" s="3">
        <v>2935</v>
      </c>
      <c r="AI177" s="3">
        <v>1996</v>
      </c>
      <c r="AJ177" s="3">
        <v>1841</v>
      </c>
      <c r="AN177" s="3"/>
      <c r="AO177" s="3"/>
      <c r="AP177" s="3"/>
      <c r="AQ177" s="3"/>
      <c r="AS177" s="3"/>
      <c r="AT177" s="3"/>
      <c r="AU177" s="3"/>
      <c r="AV177" s="3"/>
      <c r="AX177" s="3"/>
      <c r="AY177" s="3"/>
      <c r="AZ177" s="3"/>
      <c r="BA177" s="3"/>
      <c r="BI177" s="3"/>
      <c r="BJ177" s="3"/>
      <c r="BK177" s="3"/>
      <c r="BY177" t="s">
        <v>0</v>
      </c>
      <c r="BZ177" t="s">
        <v>1</v>
      </c>
      <c r="CA177" t="s">
        <v>39</v>
      </c>
      <c r="CB177" t="s">
        <v>40</v>
      </c>
      <c r="CD177" t="s">
        <v>35</v>
      </c>
      <c r="CE177" t="s">
        <v>1</v>
      </c>
      <c r="CF177" t="s">
        <v>39</v>
      </c>
      <c r="CG177" t="s">
        <v>40</v>
      </c>
      <c r="CI177" t="s">
        <v>36</v>
      </c>
      <c r="CJ177" t="s">
        <v>1</v>
      </c>
      <c r="CK177" t="s">
        <v>39</v>
      </c>
      <c r="CL177" t="s">
        <v>40</v>
      </c>
      <c r="CN177" t="s">
        <v>29</v>
      </c>
      <c r="CO177" t="s">
        <v>1</v>
      </c>
      <c r="CP177" t="s">
        <v>39</v>
      </c>
      <c r="CQ177" t="s">
        <v>40</v>
      </c>
      <c r="CS177" t="s">
        <v>37</v>
      </c>
      <c r="CT177" t="s">
        <v>1</v>
      </c>
      <c r="CU177" t="s">
        <v>39</v>
      </c>
      <c r="CV177" t="s">
        <v>40</v>
      </c>
      <c r="CX177" t="s">
        <v>38</v>
      </c>
      <c r="CY177" t="s">
        <v>1</v>
      </c>
      <c r="CZ177" t="s">
        <v>39</v>
      </c>
      <c r="DA177" t="s">
        <v>40</v>
      </c>
      <c r="DG177" t="s">
        <v>1</v>
      </c>
      <c r="DH177" t="s">
        <v>41</v>
      </c>
      <c r="DI177" t="s">
        <v>42</v>
      </c>
      <c r="DJ177" t="s">
        <v>43</v>
      </c>
      <c r="DK177" t="s">
        <v>44</v>
      </c>
      <c r="DL177" t="s">
        <v>45</v>
      </c>
      <c r="DM177" t="s">
        <v>46</v>
      </c>
    </row>
    <row r="178" spans="1:117" x14ac:dyDescent="0.2">
      <c r="A178" s="3">
        <v>42822</v>
      </c>
      <c r="B178" s="3">
        <v>43587</v>
      </c>
      <c r="C178" s="3">
        <v>36780</v>
      </c>
      <c r="D178" s="3">
        <v>37785</v>
      </c>
      <c r="E178" s="3">
        <v>35275</v>
      </c>
      <c r="F178" s="3">
        <v>16929</v>
      </c>
      <c r="G178" s="3">
        <v>16975</v>
      </c>
      <c r="H178" s="3"/>
      <c r="I178" s="3"/>
      <c r="J178" s="3">
        <v>16032</v>
      </c>
      <c r="K178" s="3">
        <v>14164</v>
      </c>
      <c r="L178" s="3">
        <v>14543</v>
      </c>
      <c r="M178" s="3">
        <v>15454</v>
      </c>
      <c r="N178" s="3">
        <v>13417</v>
      </c>
      <c r="O178" s="3">
        <v>7972</v>
      </c>
      <c r="P178" s="3">
        <v>5398</v>
      </c>
      <c r="Q178" s="3">
        <v>7611</v>
      </c>
      <c r="R178" s="3"/>
      <c r="S178" s="3"/>
      <c r="T178" s="3">
        <v>17298</v>
      </c>
      <c r="U178" s="3">
        <v>7518</v>
      </c>
      <c r="V178" s="3">
        <v>5756</v>
      </c>
      <c r="W178" s="3">
        <v>1634</v>
      </c>
      <c r="X178" s="3">
        <v>1113</v>
      </c>
      <c r="Y178" s="3">
        <v>9391</v>
      </c>
      <c r="Z178" s="3">
        <v>3154</v>
      </c>
      <c r="AA178" s="3">
        <v>2654</v>
      </c>
      <c r="AB178" s="3"/>
      <c r="AC178" s="3"/>
      <c r="AD178" s="3">
        <v>2295</v>
      </c>
      <c r="AE178" s="3">
        <v>1988</v>
      </c>
      <c r="AF178" s="3">
        <v>18553</v>
      </c>
      <c r="AG178" s="3">
        <v>2828</v>
      </c>
      <c r="AH178" s="3">
        <v>3044</v>
      </c>
      <c r="AI178" s="3">
        <v>2026</v>
      </c>
      <c r="AJ178" s="3">
        <v>1945</v>
      </c>
      <c r="AN178" s="3"/>
      <c r="AO178" s="3"/>
      <c r="AP178" s="3"/>
      <c r="AQ178" s="3"/>
      <c r="AS178" s="3"/>
      <c r="AT178" s="3"/>
      <c r="AU178" s="3"/>
      <c r="AV178" s="3"/>
      <c r="AX178" s="3"/>
      <c r="AY178" s="3"/>
      <c r="AZ178">
        <v>83712</v>
      </c>
      <c r="BA178" s="5">
        <v>22255</v>
      </c>
      <c r="BB178" s="5">
        <v>7738</v>
      </c>
      <c r="BC178">
        <v>12888</v>
      </c>
      <c r="BD178" s="5">
        <v>5805</v>
      </c>
      <c r="BF178" s="5">
        <v>8155</v>
      </c>
      <c r="BI178" s="3"/>
      <c r="BJ178" s="3"/>
      <c r="BK178" s="3"/>
      <c r="BQ178" s="3">
        <v>220880</v>
      </c>
      <c r="BR178">
        <v>52642</v>
      </c>
      <c r="BS178">
        <v>51738</v>
      </c>
      <c r="BT178">
        <v>40125</v>
      </c>
      <c r="BU178">
        <v>48232</v>
      </c>
      <c r="BV178">
        <v>29927</v>
      </c>
      <c r="BZ178" s="1">
        <v>43922</v>
      </c>
      <c r="CA178" s="3"/>
      <c r="CE178" s="1">
        <v>43922</v>
      </c>
      <c r="CF178" s="3"/>
      <c r="CJ178" s="1">
        <v>43922</v>
      </c>
      <c r="CK178" s="3"/>
      <c r="CO178" s="1">
        <v>43922</v>
      </c>
      <c r="CP178" s="3"/>
      <c r="CT178" s="1">
        <v>43922</v>
      </c>
      <c r="CU178" s="3"/>
      <c r="CY178" s="1">
        <v>43922</v>
      </c>
      <c r="DG178" s="1">
        <v>43922</v>
      </c>
    </row>
    <row r="179" spans="1:117" x14ac:dyDescent="0.2">
      <c r="A179" s="3">
        <v>43713</v>
      </c>
      <c r="B179" s="3">
        <v>44236</v>
      </c>
      <c r="C179" s="3">
        <v>36965</v>
      </c>
      <c r="D179" s="3">
        <v>38450</v>
      </c>
      <c r="E179" s="3">
        <v>35543</v>
      </c>
      <c r="F179" s="3">
        <v>17028</v>
      </c>
      <c r="G179" s="3">
        <v>17035</v>
      </c>
      <c r="H179" s="3"/>
      <c r="I179" s="3"/>
      <c r="J179" s="3">
        <v>16140</v>
      </c>
      <c r="K179" s="3">
        <v>14203</v>
      </c>
      <c r="L179" s="3">
        <v>14645</v>
      </c>
      <c r="M179" s="3">
        <v>15587</v>
      </c>
      <c r="N179" s="3">
        <v>13799</v>
      </c>
      <c r="O179" s="3">
        <v>8380</v>
      </c>
      <c r="P179" s="3">
        <v>5567</v>
      </c>
      <c r="Q179" s="3"/>
      <c r="R179" s="3"/>
      <c r="S179" s="3"/>
      <c r="T179" s="3">
        <v>17314</v>
      </c>
      <c r="U179" s="3"/>
      <c r="V179" s="3"/>
      <c r="W179" s="3">
        <v>1647</v>
      </c>
      <c r="X179" s="3">
        <v>1118</v>
      </c>
      <c r="Y179">
        <v>9696</v>
      </c>
      <c r="Z179">
        <v>3294</v>
      </c>
      <c r="AA179" s="5">
        <v>2757</v>
      </c>
      <c r="AB179" s="5"/>
      <c r="AC179" s="5"/>
      <c r="AD179">
        <v>2374</v>
      </c>
      <c r="AE179">
        <v>2069</v>
      </c>
      <c r="AF179" s="3">
        <v>19144</v>
      </c>
      <c r="AG179" s="3">
        <v>2945</v>
      </c>
      <c r="AH179" s="3"/>
      <c r="AI179" s="3">
        <v>2045</v>
      </c>
      <c r="AJ179" s="3">
        <v>2047</v>
      </c>
      <c r="AN179" s="3"/>
      <c r="AO179" s="3"/>
      <c r="AP179" s="3"/>
      <c r="AQ179" s="3"/>
      <c r="AS179" s="3"/>
      <c r="AT179" s="3"/>
      <c r="AU179" s="3"/>
      <c r="AV179" s="3"/>
      <c r="AX179" s="3"/>
      <c r="AY179" s="3"/>
      <c r="AZ179">
        <v>92381</v>
      </c>
      <c r="BA179" s="5">
        <v>25590</v>
      </c>
      <c r="BB179" s="5">
        <v>8966</v>
      </c>
      <c r="BC179">
        <v>14117</v>
      </c>
      <c r="BD179" s="5">
        <v>7016</v>
      </c>
      <c r="BF179" s="5">
        <v>9191</v>
      </c>
      <c r="BI179" s="3"/>
      <c r="BJ179" s="3"/>
      <c r="BK179" s="3"/>
      <c r="BP179" s="3"/>
      <c r="BQ179" s="3">
        <f>SUM(92381+146584)</f>
        <v>238965</v>
      </c>
      <c r="BR179" s="3">
        <f>SUM(25590+33520)</f>
        <v>59110</v>
      </c>
      <c r="BS179" s="3">
        <v>56608</v>
      </c>
      <c r="BT179" s="3">
        <f>SUM(14117+30368)</f>
        <v>44485</v>
      </c>
      <c r="BU179" s="3">
        <f>SUM(7016+47698)</f>
        <v>54714</v>
      </c>
      <c r="BV179" s="3">
        <f>SUM(9191+23809)</f>
        <v>33000</v>
      </c>
      <c r="BZ179" s="1">
        <v>43923</v>
      </c>
      <c r="CA179" s="3">
        <f t="shared" ref="CA179:CA210" si="66">SUM(AZ179-AZ178)</f>
        <v>8669</v>
      </c>
      <c r="CB179" s="3">
        <f t="shared" ref="CB179:CB188" si="67">SUM(BQ179-BQ178)</f>
        <v>18085</v>
      </c>
      <c r="CE179" s="1">
        <v>43923</v>
      </c>
      <c r="CF179">
        <f t="shared" ref="CF179:CF210" si="68">SUM(BA179-BA178)</f>
        <v>3335</v>
      </c>
      <c r="CG179" s="3">
        <f t="shared" ref="CG179:CG215" si="69">SUM(BR179-BR178)</f>
        <v>6468</v>
      </c>
      <c r="CJ179" s="1">
        <v>43923</v>
      </c>
      <c r="CK179">
        <f t="shared" ref="CK179:CK210" si="70">SUM(BB179-BB178)</f>
        <v>1228</v>
      </c>
      <c r="CL179" s="3">
        <f t="shared" ref="CL179:CL210" si="71">SUM(BS179-BS178)</f>
        <v>4870</v>
      </c>
      <c r="CO179" s="1">
        <v>43923</v>
      </c>
      <c r="CP179">
        <f t="shared" ref="CP179:CP210" si="72">SUM(BC179-BC178)</f>
        <v>1229</v>
      </c>
      <c r="CQ179" s="3">
        <f>SUM(BT179-BT178)</f>
        <v>4360</v>
      </c>
      <c r="CT179" s="1">
        <v>43923</v>
      </c>
      <c r="CU179">
        <f t="shared" ref="CU179:CU210" si="73">SUM(BD179-BD178)</f>
        <v>1211</v>
      </c>
      <c r="CV179" s="3">
        <f t="shared" ref="CV179:CV194" si="74">SUM(BU179-BU178)</f>
        <v>6482</v>
      </c>
      <c r="CY179" s="1">
        <v>43923</v>
      </c>
      <c r="CZ179">
        <f t="shared" ref="CZ179:CZ210" si="75">SUM(BF179-BF178)</f>
        <v>1036</v>
      </c>
      <c r="DA179" s="3">
        <f t="shared" ref="DA179:DA194" si="76">SUM(BV179-BV178)</f>
        <v>3073</v>
      </c>
      <c r="DG179" s="1">
        <v>43923</v>
      </c>
      <c r="DH179" s="3">
        <f>SUM(C3+D3+E3+F3+G3)</f>
        <v>5506</v>
      </c>
      <c r="DI179" s="3">
        <f t="shared" ref="DI179:DI215" si="77">SUM(M3+N3+O3+P3+Q3)</f>
        <v>1925</v>
      </c>
      <c r="DJ179" s="3">
        <f t="shared" ref="DJ179:DJ210" si="78">SUM(W3+X3+Y3+Z3+AA3)</f>
        <v>927</v>
      </c>
      <c r="DK179" s="3">
        <f t="shared" ref="DK179:DK202" si="79">SUM(AG3+AH3+AI3+AJ3+AK3)</f>
        <v>1807</v>
      </c>
      <c r="DL179" s="3">
        <f t="shared" ref="DL179:DL194" si="80">SUM(AQ3+AR3+AS3+AT3+AU3)</f>
        <v>662</v>
      </c>
      <c r="DM179" s="3">
        <f t="shared" ref="DM179:DM194" si="81">SUM(BA3+BB3+BC3+BD3+BE3)</f>
        <v>900</v>
      </c>
    </row>
    <row r="180" spans="1:117" x14ac:dyDescent="0.2">
      <c r="A180" s="3">
        <v>44904</v>
      </c>
      <c r="B180" s="3">
        <v>44872</v>
      </c>
      <c r="C180" s="3">
        <v>37152</v>
      </c>
      <c r="D180" s="3">
        <v>38916</v>
      </c>
      <c r="E180" s="3">
        <v>35892</v>
      </c>
      <c r="F180" s="3">
        <v>17091</v>
      </c>
      <c r="G180" s="3">
        <v>17134</v>
      </c>
      <c r="H180" s="3"/>
      <c r="I180" s="3"/>
      <c r="J180" s="3">
        <v>16600</v>
      </c>
      <c r="K180" s="3">
        <v>14306</v>
      </c>
      <c r="L180" s="3">
        <v>14716</v>
      </c>
      <c r="M180" s="3">
        <v>15881</v>
      </c>
      <c r="N180" s="3">
        <v>14208</v>
      </c>
      <c r="O180" s="3">
        <v>8673</v>
      </c>
      <c r="P180" s="3">
        <v>5700</v>
      </c>
      <c r="Q180" s="3">
        <v>7818</v>
      </c>
      <c r="R180" s="3"/>
      <c r="S180" s="3"/>
      <c r="T180" s="3">
        <v>17391</v>
      </c>
      <c r="U180" s="3">
        <v>7522</v>
      </c>
      <c r="V180" s="3">
        <v>5789</v>
      </c>
      <c r="W180" s="3">
        <v>1668</v>
      </c>
      <c r="X180" s="3">
        <v>1123</v>
      </c>
      <c r="Y180" s="3">
        <v>10090</v>
      </c>
      <c r="Z180" s="3">
        <v>3395</v>
      </c>
      <c r="AA180" s="3">
        <v>2902</v>
      </c>
      <c r="AB180" s="3"/>
      <c r="AC180" s="3"/>
      <c r="AD180" s="3">
        <v>2418</v>
      </c>
      <c r="AE180" s="3">
        <v>2212</v>
      </c>
      <c r="AF180" s="3">
        <v>19570</v>
      </c>
      <c r="AG180" s="3">
        <v>3045</v>
      </c>
      <c r="AH180" s="3">
        <v>3301</v>
      </c>
      <c r="AI180" s="3">
        <v>2097</v>
      </c>
      <c r="AJ180" s="3">
        <v>2124</v>
      </c>
      <c r="AN180" s="3"/>
      <c r="AO180" s="3"/>
      <c r="AP180" s="3"/>
      <c r="AQ180" s="3"/>
      <c r="AS180" s="3"/>
      <c r="AT180" s="3"/>
      <c r="AU180" s="3"/>
      <c r="AV180" s="3"/>
      <c r="AX180" s="3"/>
      <c r="AY180" s="3"/>
      <c r="AZ180">
        <v>102863</v>
      </c>
      <c r="BA180" s="5">
        <v>29895</v>
      </c>
      <c r="BB180" s="5">
        <v>10402</v>
      </c>
      <c r="BC180">
        <v>15252</v>
      </c>
      <c r="BD180" s="5">
        <v>8420</v>
      </c>
      <c r="BF180" s="5">
        <v>10701</v>
      </c>
      <c r="BQ180" s="3">
        <f>SUM(102863+157657)</f>
        <v>260520</v>
      </c>
      <c r="BR180" s="3">
        <f>SUM(29895+37608)</f>
        <v>67503</v>
      </c>
      <c r="BS180" s="3">
        <v>62962</v>
      </c>
      <c r="BT180" s="3">
        <f>SUM(15252+33670)</f>
        <v>48922</v>
      </c>
      <c r="BU180" s="3">
        <f>SUM(8420+53695)</f>
        <v>62115</v>
      </c>
      <c r="BV180" s="3">
        <f>SUM(10701+24599)</f>
        <v>35300</v>
      </c>
      <c r="BZ180" s="1">
        <v>43924</v>
      </c>
      <c r="CA180" s="3">
        <f t="shared" si="66"/>
        <v>10482</v>
      </c>
      <c r="CB180" s="3">
        <f t="shared" si="67"/>
        <v>21555</v>
      </c>
      <c r="CE180" s="1">
        <v>43924</v>
      </c>
      <c r="CF180">
        <f t="shared" si="68"/>
        <v>4305</v>
      </c>
      <c r="CG180" s="3">
        <f t="shared" si="69"/>
        <v>8393</v>
      </c>
      <c r="CJ180" s="1">
        <v>43924</v>
      </c>
      <c r="CK180">
        <f t="shared" si="70"/>
        <v>1436</v>
      </c>
      <c r="CL180" s="3">
        <f t="shared" si="71"/>
        <v>6354</v>
      </c>
      <c r="CO180" s="1">
        <v>43924</v>
      </c>
      <c r="CP180">
        <f t="shared" si="72"/>
        <v>1135</v>
      </c>
      <c r="CQ180" s="3">
        <f>SUM(BT180-BT179)</f>
        <v>4437</v>
      </c>
      <c r="CT180" s="1">
        <v>43924</v>
      </c>
      <c r="CU180">
        <f t="shared" si="73"/>
        <v>1404</v>
      </c>
      <c r="CV180" s="3">
        <f t="shared" si="74"/>
        <v>7401</v>
      </c>
      <c r="CY180" s="1">
        <v>43924</v>
      </c>
      <c r="CZ180">
        <f t="shared" si="75"/>
        <v>1510</v>
      </c>
      <c r="DA180" s="3">
        <f t="shared" si="76"/>
        <v>2300</v>
      </c>
      <c r="DG180" s="1">
        <v>43924</v>
      </c>
      <c r="DH180" s="3">
        <f>SUM(C4+D4+E4+F4+G4)</f>
        <v>8803</v>
      </c>
      <c r="DI180" s="3">
        <f t="shared" si="77"/>
        <v>2725</v>
      </c>
      <c r="DJ180" s="3">
        <f t="shared" si="78"/>
        <v>1083</v>
      </c>
      <c r="DK180" s="3">
        <f t="shared" si="79"/>
        <v>1724</v>
      </c>
      <c r="DL180" s="3">
        <f t="shared" si="80"/>
        <v>782</v>
      </c>
      <c r="DM180" s="3">
        <f t="shared" si="81"/>
        <v>904</v>
      </c>
    </row>
    <row r="181" spans="1:117" x14ac:dyDescent="0.2">
      <c r="A181" s="3">
        <v>46387</v>
      </c>
      <c r="B181" s="3">
        <v>45519</v>
      </c>
      <c r="C181" s="3">
        <v>37350</v>
      </c>
      <c r="D181" s="3">
        <v>39223</v>
      </c>
      <c r="E181" s="3">
        <v>36223</v>
      </c>
      <c r="F181" s="3">
        <v>17150</v>
      </c>
      <c r="G181" s="3">
        <v>17237</v>
      </c>
      <c r="H181" s="3"/>
      <c r="I181" s="3"/>
      <c r="J181" s="3">
        <v>16686</v>
      </c>
      <c r="K181" s="3">
        <v>14385</v>
      </c>
      <c r="L181" s="3">
        <v>14757</v>
      </c>
      <c r="M181" s="3">
        <v>15996</v>
      </c>
      <c r="N181" s="3">
        <v>14607</v>
      </c>
      <c r="O181" s="3">
        <v>9028</v>
      </c>
      <c r="P181" s="3">
        <v>5896</v>
      </c>
      <c r="Q181" s="3">
        <v>7959</v>
      </c>
      <c r="R181" s="3"/>
      <c r="S181" s="3"/>
      <c r="T181" s="3">
        <v>17571</v>
      </c>
      <c r="U181" s="3">
        <v>7573</v>
      </c>
      <c r="V181" s="3">
        <v>5832</v>
      </c>
      <c r="W181" s="3">
        <v>1710</v>
      </c>
      <c r="X181" s="3">
        <v>1129</v>
      </c>
      <c r="Y181" s="3">
        <v>10507</v>
      </c>
      <c r="Z181" s="3">
        <v>3525</v>
      </c>
      <c r="AA181" s="3">
        <v>3055</v>
      </c>
      <c r="AB181" s="3"/>
      <c r="AC181" s="3"/>
      <c r="AD181" s="3">
        <v>2478</v>
      </c>
      <c r="AE181" s="3">
        <v>2339</v>
      </c>
      <c r="AF181" s="3">
        <v>20456</v>
      </c>
      <c r="AG181" s="3">
        <v>3143</v>
      </c>
      <c r="AH181" s="3">
        <v>3381</v>
      </c>
      <c r="AI181" s="3">
        <v>2104</v>
      </c>
      <c r="AJ181" s="3">
        <v>2198</v>
      </c>
      <c r="AN181" s="3"/>
      <c r="AO181" s="3"/>
      <c r="AP181" s="3"/>
      <c r="AQ181" s="3"/>
      <c r="AZ181">
        <v>113704</v>
      </c>
      <c r="BA181" s="5">
        <v>34124</v>
      </c>
      <c r="BB181" s="5">
        <v>11736</v>
      </c>
      <c r="BC181">
        <v>16395</v>
      </c>
      <c r="BD181" s="5">
        <v>10017</v>
      </c>
      <c r="BF181" s="5">
        <v>12026</v>
      </c>
      <c r="BQ181" s="3">
        <f>SUM(113704+169917)</f>
        <v>283621</v>
      </c>
      <c r="BR181" s="3">
        <f>SUM(34124+41232)</f>
        <v>75356</v>
      </c>
      <c r="BS181" s="3">
        <v>68800</v>
      </c>
      <c r="BT181" s="3">
        <f>SUM(16395+37405)</f>
        <v>53800</v>
      </c>
      <c r="BU181" s="3">
        <f>SUM(10017+60013)</f>
        <v>70030</v>
      </c>
      <c r="BV181" s="3">
        <f>SUM(12026+101674)</f>
        <v>113700</v>
      </c>
      <c r="BZ181" s="1">
        <v>43925</v>
      </c>
      <c r="CA181" s="3">
        <f t="shared" si="66"/>
        <v>10841</v>
      </c>
      <c r="CB181" s="3">
        <f t="shared" si="67"/>
        <v>23101</v>
      </c>
      <c r="CE181" s="1">
        <v>43925</v>
      </c>
      <c r="CF181">
        <f t="shared" si="68"/>
        <v>4229</v>
      </c>
      <c r="CG181" s="3">
        <f t="shared" si="69"/>
        <v>7853</v>
      </c>
      <c r="CJ181" s="1">
        <v>43925</v>
      </c>
      <c r="CK181">
        <f t="shared" si="70"/>
        <v>1334</v>
      </c>
      <c r="CL181" s="3">
        <f t="shared" si="71"/>
        <v>5838</v>
      </c>
      <c r="CO181" s="1">
        <v>43925</v>
      </c>
      <c r="CP181">
        <f t="shared" si="72"/>
        <v>1143</v>
      </c>
      <c r="CQ181" s="3">
        <f>SUM(BT181-BT180)</f>
        <v>4878</v>
      </c>
      <c r="CT181" s="1">
        <v>43925</v>
      </c>
      <c r="CU181">
        <f t="shared" si="73"/>
        <v>1597</v>
      </c>
      <c r="CV181" s="3">
        <f t="shared" si="74"/>
        <v>7915</v>
      </c>
      <c r="CY181" s="1">
        <v>43925</v>
      </c>
      <c r="CZ181">
        <f t="shared" si="75"/>
        <v>1325</v>
      </c>
      <c r="DA181" s="3">
        <f t="shared" si="76"/>
        <v>78400</v>
      </c>
      <c r="DG181" s="1">
        <v>43925</v>
      </c>
      <c r="DH181" s="3">
        <f>SUM(C5+D5+E5+F5+G5)</f>
        <v>8697</v>
      </c>
      <c r="DI181" s="3">
        <f t="shared" si="77"/>
        <v>3136</v>
      </c>
      <c r="DJ181" s="3">
        <f t="shared" si="78"/>
        <v>918</v>
      </c>
      <c r="DK181" s="3">
        <f t="shared" si="79"/>
        <v>1670</v>
      </c>
      <c r="DL181" s="3">
        <f t="shared" si="80"/>
        <v>761</v>
      </c>
      <c r="DM181" s="3">
        <f t="shared" si="81"/>
        <v>1047</v>
      </c>
    </row>
    <row r="182" spans="1:117" x14ac:dyDescent="0.2">
      <c r="A182" s="3">
        <v>47861</v>
      </c>
      <c r="B182" s="3">
        <v>46275</v>
      </c>
      <c r="C182" s="3">
        <v>37593</v>
      </c>
      <c r="D182" s="3">
        <v>39476</v>
      </c>
      <c r="E182" s="3">
        <v>36461</v>
      </c>
      <c r="F182" s="3"/>
      <c r="G182" s="3">
        <v>17326</v>
      </c>
      <c r="H182" s="3"/>
      <c r="I182" s="3"/>
      <c r="J182" s="3">
        <v>16852</v>
      </c>
      <c r="K182" s="3">
        <v>14492</v>
      </c>
      <c r="L182" s="3">
        <v>14887</v>
      </c>
      <c r="M182" s="3">
        <v>16346</v>
      </c>
      <c r="N182" s="3">
        <v>15048</v>
      </c>
      <c r="O182" s="3">
        <v>9362</v>
      </c>
      <c r="P182" s="3">
        <v>6065</v>
      </c>
      <c r="Q182" s="3">
        <v>8241</v>
      </c>
      <c r="R182" s="3"/>
      <c r="S182" s="3"/>
      <c r="T182" s="3">
        <v>17667</v>
      </c>
      <c r="U182" s="3">
        <v>7624</v>
      </c>
      <c r="V182" s="3">
        <v>5876</v>
      </c>
      <c r="W182" s="3">
        <v>1731</v>
      </c>
      <c r="X182" s="3">
        <v>1140</v>
      </c>
      <c r="Y182" s="3">
        <v>10893</v>
      </c>
      <c r="Z182" s="3">
        <v>3627</v>
      </c>
      <c r="AA182" s="3">
        <v>3161</v>
      </c>
      <c r="AB182" s="3"/>
      <c r="AC182" s="3"/>
      <c r="AD182" s="3">
        <v>2551</v>
      </c>
      <c r="AE182" s="3">
        <v>2406</v>
      </c>
      <c r="AF182" s="3">
        <v>21029</v>
      </c>
      <c r="AG182" s="3">
        <v>3316</v>
      </c>
      <c r="AH182" s="3">
        <v>3504</v>
      </c>
      <c r="AI182" s="3">
        <v>2130</v>
      </c>
      <c r="AJ182" s="3">
        <v>2324</v>
      </c>
      <c r="AZ182">
        <v>122031</v>
      </c>
      <c r="BA182" s="5">
        <v>37505</v>
      </c>
      <c r="BB182" s="5">
        <v>12500</v>
      </c>
      <c r="BC182">
        <v>17567</v>
      </c>
      <c r="BD182" s="5">
        <v>11510</v>
      </c>
      <c r="BF182" s="5">
        <v>13438</v>
      </c>
      <c r="BQ182" s="3">
        <f>SUM(122031+180249)</f>
        <v>302280</v>
      </c>
      <c r="BR182" s="3">
        <f>SUM(37505+44661)</f>
        <v>82166</v>
      </c>
      <c r="BS182" s="3">
        <v>71937</v>
      </c>
      <c r="BT182" s="3">
        <f>SUM(17567+40331)</f>
        <v>57898</v>
      </c>
      <c r="BU182" s="3">
        <f>SUM(11510+66261)</f>
        <v>77771</v>
      </c>
      <c r="BV182" s="3">
        <f>SUM(13438+103095)</f>
        <v>116533</v>
      </c>
      <c r="BZ182" s="1">
        <v>43926</v>
      </c>
      <c r="CA182" s="3">
        <f t="shared" si="66"/>
        <v>8327</v>
      </c>
      <c r="CB182" s="3">
        <f t="shared" si="67"/>
        <v>18659</v>
      </c>
      <c r="CE182" s="1">
        <v>43926</v>
      </c>
      <c r="CF182">
        <f t="shared" si="68"/>
        <v>3381</v>
      </c>
      <c r="CG182" s="3">
        <f t="shared" si="69"/>
        <v>6810</v>
      </c>
      <c r="CJ182" s="1">
        <v>43926</v>
      </c>
      <c r="CK182">
        <f t="shared" si="70"/>
        <v>764</v>
      </c>
      <c r="CL182" s="3">
        <f t="shared" si="71"/>
        <v>3137</v>
      </c>
      <c r="CO182" s="1">
        <v>43926</v>
      </c>
      <c r="CP182">
        <f t="shared" si="72"/>
        <v>1172</v>
      </c>
      <c r="CQ182" s="3">
        <f>SUM(BT182-BT181)</f>
        <v>4098</v>
      </c>
      <c r="CT182" s="1">
        <v>43926</v>
      </c>
      <c r="CU182">
        <f t="shared" si="73"/>
        <v>1493</v>
      </c>
      <c r="CV182" s="3">
        <f t="shared" si="74"/>
        <v>7741</v>
      </c>
      <c r="CY182" s="1">
        <v>43926</v>
      </c>
      <c r="CZ182">
        <f t="shared" si="75"/>
        <v>1412</v>
      </c>
      <c r="DA182" s="3">
        <f t="shared" si="76"/>
        <v>2833</v>
      </c>
      <c r="DG182" s="1">
        <v>43926</v>
      </c>
      <c r="DH182" s="3">
        <f>SUM(C6+D6+E6+F6+G6)</f>
        <v>5017</v>
      </c>
      <c r="DI182" s="3">
        <f t="shared" si="77"/>
        <v>2029</v>
      </c>
      <c r="DJ182" s="3">
        <f t="shared" si="78"/>
        <v>634</v>
      </c>
      <c r="DK182" s="3">
        <f t="shared" si="79"/>
        <v>855</v>
      </c>
      <c r="DL182" s="3">
        <f t="shared" si="80"/>
        <v>860</v>
      </c>
      <c r="DM182" s="3">
        <f t="shared" si="81"/>
        <v>858</v>
      </c>
    </row>
    <row r="183" spans="1:117" x14ac:dyDescent="0.2">
      <c r="A183" s="3">
        <v>48745</v>
      </c>
      <c r="B183" s="3">
        <v>46839</v>
      </c>
      <c r="C183" s="3">
        <v>37812</v>
      </c>
      <c r="D183" s="3">
        <v>39878</v>
      </c>
      <c r="E183" s="3">
        <v>36702</v>
      </c>
      <c r="F183" s="3">
        <v>17195</v>
      </c>
      <c r="G183" s="3">
        <v>17447</v>
      </c>
      <c r="H183" s="3"/>
      <c r="I183" s="3"/>
      <c r="J183" s="3">
        <v>16906</v>
      </c>
      <c r="K183" s="3">
        <v>14569</v>
      </c>
      <c r="L183" s="3">
        <v>14930</v>
      </c>
      <c r="M183" s="3">
        <v>16479</v>
      </c>
      <c r="N183" s="3">
        <v>15370</v>
      </c>
      <c r="O183" s="3">
        <v>9542</v>
      </c>
      <c r="P183" s="3">
        <v>6187</v>
      </c>
      <c r="Q183" s="3">
        <v>8555</v>
      </c>
      <c r="R183" s="3"/>
      <c r="S183" s="3"/>
      <c r="T183" s="3">
        <v>17824</v>
      </c>
      <c r="U183" s="3">
        <v>7664</v>
      </c>
      <c r="V183" s="3">
        <v>5963</v>
      </c>
      <c r="W183" s="3">
        <v>1739</v>
      </c>
      <c r="X183" s="3">
        <v>1160</v>
      </c>
      <c r="Y183" s="3">
        <v>11152</v>
      </c>
      <c r="Z183" s="3">
        <v>3733</v>
      </c>
      <c r="AA183" s="3">
        <v>3281</v>
      </c>
      <c r="AB183" s="3"/>
      <c r="AC183" s="3"/>
      <c r="AD183" s="3">
        <v>2601</v>
      </c>
      <c r="AE183" s="3">
        <v>2491</v>
      </c>
      <c r="AF183" s="3">
        <v>22560</v>
      </c>
      <c r="AG183" s="3">
        <v>3434</v>
      </c>
      <c r="AH183" s="3">
        <v>3700</v>
      </c>
      <c r="AI183" s="3">
        <v>2146</v>
      </c>
      <c r="AJ183" s="3">
        <v>2421</v>
      </c>
      <c r="AZ183">
        <v>130689</v>
      </c>
      <c r="BA183" s="5">
        <v>41090</v>
      </c>
      <c r="BB183" s="5">
        <v>13837</v>
      </c>
      <c r="BC183">
        <v>18850</v>
      </c>
      <c r="BD183" s="5">
        <v>12980</v>
      </c>
      <c r="BF183" s="5">
        <v>14336</v>
      </c>
      <c r="BQ183" s="3">
        <f>SUM(130689+190122)</f>
        <v>320811</v>
      </c>
      <c r="BR183" s="3">
        <f>SUM(41090+47942)</f>
        <v>89032</v>
      </c>
      <c r="BS183" s="3">
        <v>76429</v>
      </c>
      <c r="BT183" s="3">
        <f>SUM(18850+43120)</f>
        <v>61970</v>
      </c>
      <c r="BU183" s="3">
        <f>SUM(12980+70874)</f>
        <v>83854</v>
      </c>
      <c r="BV183" s="3">
        <f>SUM(14336+103095)</f>
        <v>117431</v>
      </c>
      <c r="BZ183" s="1">
        <v>43927</v>
      </c>
      <c r="CA183" s="3">
        <f t="shared" si="66"/>
        <v>8658</v>
      </c>
      <c r="CB183" s="3">
        <f t="shared" si="67"/>
        <v>18531</v>
      </c>
      <c r="CE183" s="1">
        <v>43927</v>
      </c>
      <c r="CF183">
        <f t="shared" si="68"/>
        <v>3585</v>
      </c>
      <c r="CG183" s="3">
        <f t="shared" si="69"/>
        <v>6866</v>
      </c>
      <c r="CJ183" s="1">
        <v>43927</v>
      </c>
      <c r="CK183">
        <f t="shared" si="70"/>
        <v>1337</v>
      </c>
      <c r="CL183" s="3">
        <f t="shared" si="71"/>
        <v>4492</v>
      </c>
      <c r="CO183" s="1">
        <v>43927</v>
      </c>
      <c r="CP183">
        <f t="shared" si="72"/>
        <v>1283</v>
      </c>
      <c r="CQ183" s="3">
        <f t="shared" ref="CQ183:CQ202" si="82">SUM(BT183-BT182)</f>
        <v>4072</v>
      </c>
      <c r="CT183" s="1">
        <v>43927</v>
      </c>
      <c r="CU183">
        <f t="shared" si="73"/>
        <v>1470</v>
      </c>
      <c r="CV183" s="3">
        <f t="shared" si="74"/>
        <v>6083</v>
      </c>
      <c r="CY183" s="1">
        <v>43927</v>
      </c>
      <c r="CZ183">
        <f t="shared" si="75"/>
        <v>898</v>
      </c>
      <c r="DA183" s="3">
        <f t="shared" si="76"/>
        <v>898</v>
      </c>
      <c r="DG183" s="1">
        <v>43927</v>
      </c>
      <c r="DH183" s="3"/>
      <c r="DI183" s="3">
        <f t="shared" si="77"/>
        <v>2555</v>
      </c>
      <c r="DJ183" s="3">
        <f t="shared" si="78"/>
        <v>946</v>
      </c>
      <c r="DK183" s="3">
        <f t="shared" si="79"/>
        <v>1300</v>
      </c>
      <c r="DL183" s="3">
        <f t="shared" si="80"/>
        <v>888</v>
      </c>
      <c r="DM183" s="3">
        <f t="shared" si="81"/>
        <v>782</v>
      </c>
    </row>
    <row r="184" spans="1:117" x14ac:dyDescent="0.2">
      <c r="A184" s="3">
        <v>49399</v>
      </c>
      <c r="B184" s="3">
        <v>47183</v>
      </c>
      <c r="C184" s="3">
        <v>38028</v>
      </c>
      <c r="D184" s="3">
        <v>40181</v>
      </c>
      <c r="E184" s="3">
        <v>36911</v>
      </c>
      <c r="F184" s="3">
        <v>17246</v>
      </c>
      <c r="G184" s="3"/>
      <c r="H184" s="3"/>
      <c r="I184" s="3"/>
      <c r="J184" s="3">
        <v>17014</v>
      </c>
      <c r="K184" s="3">
        <v>14702</v>
      </c>
      <c r="L184" s="3">
        <v>15031</v>
      </c>
      <c r="M184" s="3">
        <v>16671</v>
      </c>
      <c r="N184" s="3">
        <v>15757</v>
      </c>
      <c r="O184" s="3">
        <v>9773</v>
      </c>
      <c r="P184" s="3">
        <v>6280</v>
      </c>
      <c r="Q184" s="3">
        <v>8786</v>
      </c>
      <c r="R184" s="3"/>
      <c r="S184" s="3"/>
      <c r="T184" s="3">
        <v>17960</v>
      </c>
      <c r="U184" s="3">
        <v>7692</v>
      </c>
      <c r="V184" s="3">
        <v>6019</v>
      </c>
      <c r="W184" s="3">
        <v>1750</v>
      </c>
      <c r="X184" s="3">
        <v>1176</v>
      </c>
      <c r="Y184" s="3">
        <v>11361</v>
      </c>
      <c r="Z184" s="3">
        <v>3817</v>
      </c>
      <c r="AA184" s="3">
        <v>3361</v>
      </c>
      <c r="AB184" s="3"/>
      <c r="AC184" s="3"/>
      <c r="AD184" s="3">
        <v>2636</v>
      </c>
      <c r="AE184" s="3">
        <v>2526</v>
      </c>
      <c r="AF184" s="3">
        <v>23284</v>
      </c>
      <c r="AG184" s="3">
        <v>3566</v>
      </c>
      <c r="AH184" s="3">
        <v>3820</v>
      </c>
      <c r="AI184" s="3">
        <v>2172</v>
      </c>
      <c r="AJ184" s="3">
        <v>2591</v>
      </c>
      <c r="AZ184">
        <v>138863</v>
      </c>
      <c r="BA184" s="5">
        <v>44416</v>
      </c>
      <c r="BB184" s="5">
        <v>15202</v>
      </c>
      <c r="BC184">
        <v>19823</v>
      </c>
      <c r="BD184" s="5">
        <v>14559</v>
      </c>
      <c r="BF184" s="5">
        <v>15865</v>
      </c>
      <c r="BQ184" s="3">
        <f>SUM(138863+201195)</f>
        <v>340058</v>
      </c>
      <c r="BR184" s="3">
        <f>SUM(44416+50558)</f>
        <v>94974</v>
      </c>
      <c r="BS184" s="3">
        <v>81344</v>
      </c>
      <c r="BT184" s="3">
        <f>SUM(19823+45550)</f>
        <v>65373</v>
      </c>
      <c r="BU184" s="3">
        <f>SUM(14559+76719)</f>
        <v>91278</v>
      </c>
      <c r="BV184" s="3">
        <f>SUM(15865+115364)</f>
        <v>131229</v>
      </c>
      <c r="BZ184" s="1">
        <v>43928</v>
      </c>
      <c r="CA184" s="3">
        <f t="shared" si="66"/>
        <v>8174</v>
      </c>
      <c r="CB184" s="3">
        <f t="shared" si="67"/>
        <v>19247</v>
      </c>
      <c r="CE184" s="1">
        <v>43928</v>
      </c>
      <c r="CF184">
        <f t="shared" si="68"/>
        <v>3326</v>
      </c>
      <c r="CG184" s="3">
        <f t="shared" si="69"/>
        <v>5942</v>
      </c>
      <c r="CJ184" s="1">
        <v>43928</v>
      </c>
      <c r="CK184">
        <f t="shared" si="70"/>
        <v>1365</v>
      </c>
      <c r="CL184" s="3">
        <f t="shared" si="71"/>
        <v>4915</v>
      </c>
      <c r="CO184" s="1">
        <v>43928</v>
      </c>
      <c r="CP184">
        <f t="shared" si="72"/>
        <v>973</v>
      </c>
      <c r="CQ184" s="3">
        <f t="shared" si="82"/>
        <v>3403</v>
      </c>
      <c r="CT184" s="1">
        <v>43928</v>
      </c>
      <c r="CU184">
        <f t="shared" si="73"/>
        <v>1579</v>
      </c>
      <c r="CV184" s="3">
        <f t="shared" si="74"/>
        <v>7424</v>
      </c>
      <c r="CY184" s="1">
        <v>43928</v>
      </c>
      <c r="CZ184">
        <f t="shared" si="75"/>
        <v>1529</v>
      </c>
      <c r="DA184" s="3">
        <f t="shared" si="76"/>
        <v>13798</v>
      </c>
      <c r="DG184" s="1">
        <v>43928</v>
      </c>
      <c r="DH184" s="3">
        <f>SUM(C8+D8+E8+F8+G8)</f>
        <v>8088</v>
      </c>
      <c r="DI184" s="3">
        <f t="shared" si="77"/>
        <v>2828</v>
      </c>
      <c r="DJ184" s="3">
        <f t="shared" si="78"/>
        <v>1046</v>
      </c>
      <c r="DK184" s="3">
        <f t="shared" si="79"/>
        <v>1474</v>
      </c>
      <c r="DL184" s="3">
        <f t="shared" si="80"/>
        <v>789</v>
      </c>
      <c r="DM184" s="3">
        <f t="shared" si="81"/>
        <v>750</v>
      </c>
    </row>
    <row r="185" spans="1:117" x14ac:dyDescent="0.2">
      <c r="A185" s="3">
        <v>49929</v>
      </c>
      <c r="B185" s="3">
        <v>47579</v>
      </c>
      <c r="C185" s="3">
        <v>38217</v>
      </c>
      <c r="D185" s="3">
        <v>40533</v>
      </c>
      <c r="E185" s="3">
        <v>37062</v>
      </c>
      <c r="F185" s="3">
        <v>17361</v>
      </c>
      <c r="G185" s="3">
        <v>17621</v>
      </c>
      <c r="H185" s="3"/>
      <c r="I185" s="3"/>
      <c r="J185" s="3">
        <v>17065</v>
      </c>
      <c r="K185" s="3">
        <v>14903</v>
      </c>
      <c r="L185" s="3">
        <v>15205</v>
      </c>
      <c r="M185" s="3">
        <v>16825</v>
      </c>
      <c r="N185" s="3">
        <v>15980</v>
      </c>
      <c r="O185" s="3">
        <v>9979</v>
      </c>
      <c r="P185" s="3">
        <v>6382</v>
      </c>
      <c r="Q185" s="3">
        <v>9067</v>
      </c>
      <c r="R185" s="3"/>
      <c r="S185" s="3"/>
      <c r="T185" s="3">
        <v>18075</v>
      </c>
      <c r="U185" s="3">
        <v>7736</v>
      </c>
      <c r="V185" s="3">
        <v>6042</v>
      </c>
      <c r="W185" s="3">
        <v>1758</v>
      </c>
      <c r="X185" s="3">
        <v>1182</v>
      </c>
      <c r="Y185" s="3">
        <v>11604</v>
      </c>
      <c r="Z185" s="3">
        <v>4043</v>
      </c>
      <c r="AA185" s="3">
        <v>3463</v>
      </c>
      <c r="AB185" s="3"/>
      <c r="AC185" s="3"/>
      <c r="AD185" s="3">
        <v>2685</v>
      </c>
      <c r="AE185" s="3">
        <v>2605</v>
      </c>
      <c r="AF185" s="3">
        <v>24306</v>
      </c>
      <c r="AG185" s="3">
        <v>3713</v>
      </c>
      <c r="AH185" s="3">
        <v>3893</v>
      </c>
      <c r="AI185" s="3">
        <v>2176</v>
      </c>
      <c r="AJ185" s="3">
        <v>2660</v>
      </c>
      <c r="AZ185">
        <v>149316</v>
      </c>
      <c r="BA185" s="5">
        <v>47437</v>
      </c>
      <c r="BB185" s="5">
        <v>16790</v>
      </c>
      <c r="BC185">
        <v>20589</v>
      </c>
      <c r="BD185" s="5">
        <v>16239</v>
      </c>
      <c r="BF185" s="5">
        <v>16957</v>
      </c>
      <c r="BQ185" s="3">
        <f>SUM(149316+215837)</f>
        <v>365153</v>
      </c>
      <c r="BR185" s="3">
        <f>SUM(47437+52979)</f>
        <v>100416</v>
      </c>
      <c r="BS185" s="3">
        <v>87511</v>
      </c>
      <c r="BT185" s="3">
        <f>SUM(20589+45550)</f>
        <v>66139</v>
      </c>
      <c r="BU185" s="3">
        <f>SUM(16239+82299)</f>
        <v>98538</v>
      </c>
      <c r="BV185" s="3">
        <f>SUM(16957+127307)</f>
        <v>144264</v>
      </c>
      <c r="BZ185" s="1">
        <v>43929</v>
      </c>
      <c r="CA185" s="3">
        <f t="shared" si="66"/>
        <v>10453</v>
      </c>
      <c r="CB185" s="3">
        <f t="shared" si="67"/>
        <v>25095</v>
      </c>
      <c r="CE185" s="1">
        <v>43929</v>
      </c>
      <c r="CF185">
        <f t="shared" si="68"/>
        <v>3021</v>
      </c>
      <c r="CG185" s="3">
        <f t="shared" si="69"/>
        <v>5442</v>
      </c>
      <c r="CJ185" s="1">
        <v>43929</v>
      </c>
      <c r="CK185">
        <f t="shared" si="70"/>
        <v>1588</v>
      </c>
      <c r="CL185" s="3">
        <f t="shared" si="71"/>
        <v>6167</v>
      </c>
      <c r="CO185" s="1">
        <v>43929</v>
      </c>
      <c r="CP185">
        <f t="shared" si="72"/>
        <v>766</v>
      </c>
      <c r="CQ185" s="3">
        <f t="shared" si="82"/>
        <v>766</v>
      </c>
      <c r="CT185" s="1">
        <v>43929</v>
      </c>
      <c r="CU185">
        <f t="shared" si="73"/>
        <v>1680</v>
      </c>
      <c r="CV185" s="3">
        <f t="shared" si="74"/>
        <v>7260</v>
      </c>
      <c r="CY185" s="1">
        <v>43929</v>
      </c>
      <c r="CZ185">
        <f t="shared" si="75"/>
        <v>1092</v>
      </c>
      <c r="DA185" s="3">
        <f t="shared" si="76"/>
        <v>13035</v>
      </c>
      <c r="DG185" s="1">
        <v>43929</v>
      </c>
      <c r="DH185" s="3">
        <f>SUM(C9+D9+E9+F9+G9)</f>
        <v>6439</v>
      </c>
      <c r="DI185" s="3">
        <f t="shared" si="77"/>
        <v>2093</v>
      </c>
      <c r="DJ185" s="3">
        <f t="shared" si="78"/>
        <v>1285</v>
      </c>
      <c r="DK185" s="3">
        <f t="shared" si="79"/>
        <v>1188</v>
      </c>
      <c r="DL185" s="3">
        <f t="shared" si="80"/>
        <v>962</v>
      </c>
      <c r="DM185" s="3">
        <f t="shared" si="81"/>
        <v>945</v>
      </c>
    </row>
    <row r="186" spans="1:117" x14ac:dyDescent="0.2">
      <c r="A186" s="3">
        <v>50741</v>
      </c>
      <c r="B186" s="3"/>
      <c r="C186" s="3">
        <v>38337</v>
      </c>
      <c r="D186" s="3">
        <v>40804</v>
      </c>
      <c r="E186" s="3">
        <v>37305</v>
      </c>
      <c r="F186" s="3">
        <v>17459</v>
      </c>
      <c r="G186" s="3">
        <v>17748</v>
      </c>
      <c r="H186" s="3"/>
      <c r="I186" s="3"/>
      <c r="J186" s="3">
        <v>17142</v>
      </c>
      <c r="K186" s="3">
        <v>15031</v>
      </c>
      <c r="L186" s="3">
        <v>15278</v>
      </c>
      <c r="M186" s="3">
        <v>16962</v>
      </c>
      <c r="N186" s="3">
        <v>16327</v>
      </c>
      <c r="O186" s="3">
        <v>10344</v>
      </c>
      <c r="P186" s="3">
        <v>6466</v>
      </c>
      <c r="Q186" s="3">
        <v>9252</v>
      </c>
      <c r="R186" s="3"/>
      <c r="S186" s="3"/>
      <c r="T186" s="3">
        <v>18194</v>
      </c>
      <c r="U186" s="3">
        <v>7752</v>
      </c>
      <c r="V186" s="3">
        <v>6064</v>
      </c>
      <c r="W186" s="3">
        <v>1765</v>
      </c>
      <c r="X186" s="3">
        <v>1192</v>
      </c>
      <c r="Y186" s="3">
        <v>11885</v>
      </c>
      <c r="Z186" s="3">
        <v>4177</v>
      </c>
      <c r="AA186" s="3">
        <v>3619</v>
      </c>
      <c r="AB186" s="3"/>
      <c r="AC186" s="3"/>
      <c r="AD186" s="3">
        <v>2719</v>
      </c>
      <c r="AE186" s="3">
        <v>2637</v>
      </c>
      <c r="AF186" s="3">
        <v>24955</v>
      </c>
      <c r="AG186" s="3">
        <v>3844</v>
      </c>
      <c r="AH186" s="3">
        <v>3997</v>
      </c>
      <c r="AI186" s="3">
        <v>2203</v>
      </c>
      <c r="AJ186" s="3">
        <v>2774</v>
      </c>
      <c r="AZ186">
        <v>159937</v>
      </c>
      <c r="BA186" s="5">
        <v>51027</v>
      </c>
      <c r="BB186" s="5">
        <v>18941</v>
      </c>
      <c r="BC186">
        <v>21504</v>
      </c>
      <c r="BD186" s="5">
        <v>18228</v>
      </c>
      <c r="BF186" s="5">
        <v>18309</v>
      </c>
      <c r="BQ186" s="3">
        <f>SUM(159937+231612)</f>
        <v>391549</v>
      </c>
      <c r="BR186" s="3">
        <f>SUM(51027+56165)</f>
        <v>107192</v>
      </c>
      <c r="BS186" s="3">
        <v>94958</v>
      </c>
      <c r="BT186" s="3">
        <f>SUM(21504+45550)</f>
        <v>67054</v>
      </c>
      <c r="BU186" s="3">
        <f>SUM(18228+87374)</f>
        <v>105602</v>
      </c>
      <c r="BV186" s="3">
        <f>SUM(18309+145191)</f>
        <v>163500</v>
      </c>
      <c r="BZ186" s="1">
        <v>43930</v>
      </c>
      <c r="CA186" s="3">
        <f t="shared" si="66"/>
        <v>10621</v>
      </c>
      <c r="CB186" s="3">
        <f t="shared" si="67"/>
        <v>26396</v>
      </c>
      <c r="CE186" s="1">
        <v>43930</v>
      </c>
      <c r="CF186">
        <f t="shared" si="68"/>
        <v>3590</v>
      </c>
      <c r="CG186" s="3">
        <f t="shared" si="69"/>
        <v>6776</v>
      </c>
      <c r="CJ186" s="1">
        <v>43930</v>
      </c>
      <c r="CK186">
        <f t="shared" si="70"/>
        <v>2151</v>
      </c>
      <c r="CL186" s="3">
        <f t="shared" si="71"/>
        <v>7447</v>
      </c>
      <c r="CO186" s="1">
        <v>43930</v>
      </c>
      <c r="CP186">
        <f t="shared" si="72"/>
        <v>915</v>
      </c>
      <c r="CQ186" s="3">
        <f t="shared" si="82"/>
        <v>915</v>
      </c>
      <c r="CT186" s="1">
        <v>43930</v>
      </c>
      <c r="CU186">
        <f t="shared" si="73"/>
        <v>1989</v>
      </c>
      <c r="CV186" s="3">
        <f t="shared" si="74"/>
        <v>7064</v>
      </c>
      <c r="CY186" s="1">
        <v>43930</v>
      </c>
      <c r="CZ186">
        <f t="shared" si="75"/>
        <v>1352</v>
      </c>
      <c r="DA186" s="3">
        <f t="shared" si="76"/>
        <v>19236</v>
      </c>
      <c r="DG186" s="1">
        <v>43930</v>
      </c>
      <c r="DH186" s="3">
        <f>SUM(C10+D10+E10+F10+G10)</f>
        <v>8861</v>
      </c>
      <c r="DI186" s="3">
        <f t="shared" si="77"/>
        <v>2072</v>
      </c>
      <c r="DJ186" s="3">
        <f t="shared" si="78"/>
        <v>1568</v>
      </c>
      <c r="DK186" s="3">
        <f t="shared" si="79"/>
        <v>933</v>
      </c>
      <c r="DL186" s="3">
        <f t="shared" si="80"/>
        <v>1280</v>
      </c>
      <c r="DM186" s="3">
        <f t="shared" si="81"/>
        <v>746</v>
      </c>
    </row>
    <row r="187" spans="1:117" x14ac:dyDescent="0.2">
      <c r="A187" s="3">
        <v>51631</v>
      </c>
      <c r="B187" s="3">
        <v>48550</v>
      </c>
      <c r="C187" s="3">
        <v>38434</v>
      </c>
      <c r="D187" s="3">
        <v>41059</v>
      </c>
      <c r="E187" s="3">
        <v>37544</v>
      </c>
      <c r="F187" s="3">
        <v>17522</v>
      </c>
      <c r="G187" s="3">
        <v>17814</v>
      </c>
      <c r="H187" s="3"/>
      <c r="I187" s="3"/>
      <c r="J187" s="3">
        <v>17202</v>
      </c>
      <c r="K187" s="3">
        <v>15122</v>
      </c>
      <c r="L187" s="3">
        <v>15371</v>
      </c>
      <c r="M187" s="3">
        <v>17089</v>
      </c>
      <c r="N187" s="3">
        <v>16676</v>
      </c>
      <c r="O187" s="3">
        <v>10610</v>
      </c>
      <c r="P187" s="3">
        <v>6610</v>
      </c>
      <c r="Q187" s="3">
        <v>9442</v>
      </c>
      <c r="R187" s="3"/>
      <c r="S187" s="3"/>
      <c r="T187" s="3">
        <v>18274</v>
      </c>
      <c r="U187" s="3">
        <v>7784</v>
      </c>
      <c r="V187" s="3">
        <v>6097</v>
      </c>
      <c r="W187" s="3">
        <v>1782</v>
      </c>
      <c r="X187" s="3">
        <v>1206</v>
      </c>
      <c r="Y187" s="3">
        <v>12297</v>
      </c>
      <c r="Z187" s="3">
        <v>4307</v>
      </c>
      <c r="AA187" s="3">
        <v>3696</v>
      </c>
      <c r="AB187" s="3"/>
      <c r="AC187" s="3"/>
      <c r="AD187" s="3">
        <v>2796</v>
      </c>
      <c r="AE187" s="3">
        <v>2698</v>
      </c>
      <c r="AF187" s="3">
        <v>25708</v>
      </c>
      <c r="AG187" s="3">
        <v>3929</v>
      </c>
      <c r="AH187" s="3">
        <v>4034</v>
      </c>
      <c r="AI187" s="3">
        <v>2235</v>
      </c>
      <c r="AJ187" s="3">
        <v>2859</v>
      </c>
      <c r="AZ187">
        <v>170512</v>
      </c>
      <c r="BA187" s="5">
        <v>54588</v>
      </c>
      <c r="BB187" s="5">
        <v>20974</v>
      </c>
      <c r="BC187">
        <v>22783</v>
      </c>
      <c r="BD187" s="5">
        <v>19979</v>
      </c>
      <c r="BF187" s="5">
        <v>19472</v>
      </c>
      <c r="BQ187" s="3">
        <f>SUM(170512+247373)</f>
        <v>417885</v>
      </c>
      <c r="BR187" s="3">
        <f>SUM(54588+58935)</f>
        <v>113523</v>
      </c>
      <c r="BS187" s="3">
        <v>102372</v>
      </c>
      <c r="BT187" s="3">
        <f>SUM(22783+49261)</f>
        <v>72044</v>
      </c>
      <c r="BU187" s="3">
        <f>SUM(19979+93040)</f>
        <v>113019</v>
      </c>
      <c r="BV187" s="3">
        <f>SUM(19472+145391)</f>
        <v>164863</v>
      </c>
      <c r="BZ187" s="1">
        <v>43931</v>
      </c>
      <c r="CA187" s="3">
        <f t="shared" si="66"/>
        <v>10575</v>
      </c>
      <c r="CB187" s="3">
        <f t="shared" si="67"/>
        <v>26336</v>
      </c>
      <c r="CE187" s="1">
        <v>43931</v>
      </c>
      <c r="CF187">
        <f t="shared" si="68"/>
        <v>3561</v>
      </c>
      <c r="CG187" s="3">
        <f t="shared" si="69"/>
        <v>6331</v>
      </c>
      <c r="CJ187" s="1">
        <v>43931</v>
      </c>
      <c r="CK187">
        <f t="shared" si="70"/>
        <v>2033</v>
      </c>
      <c r="CL187" s="3">
        <f t="shared" si="71"/>
        <v>7414</v>
      </c>
      <c r="CO187" s="1">
        <v>43931</v>
      </c>
      <c r="CP187">
        <f t="shared" si="72"/>
        <v>1279</v>
      </c>
      <c r="CQ187" s="3">
        <f t="shared" si="82"/>
        <v>4990</v>
      </c>
      <c r="CT187" s="1">
        <v>43931</v>
      </c>
      <c r="CU187">
        <f t="shared" si="73"/>
        <v>1751</v>
      </c>
      <c r="CV187" s="3">
        <f t="shared" si="74"/>
        <v>7417</v>
      </c>
      <c r="CY187" s="1">
        <v>43931</v>
      </c>
      <c r="CZ187">
        <f t="shared" si="75"/>
        <v>1163</v>
      </c>
      <c r="DA187" s="3">
        <f t="shared" si="76"/>
        <v>1363</v>
      </c>
      <c r="DG187" s="1">
        <v>43931</v>
      </c>
      <c r="DH187" s="3">
        <f>SUM(C11+D11+E11+F11+G11)</f>
        <v>7891</v>
      </c>
      <c r="DI187" s="3">
        <f t="shared" si="77"/>
        <v>2327</v>
      </c>
      <c r="DJ187" s="3">
        <f t="shared" si="78"/>
        <v>1655</v>
      </c>
      <c r="DK187" s="3">
        <f t="shared" si="79"/>
        <v>995</v>
      </c>
      <c r="DL187" s="3">
        <f t="shared" si="80"/>
        <v>1043</v>
      </c>
      <c r="DM187" s="3">
        <f t="shared" si="81"/>
        <v>710</v>
      </c>
    </row>
    <row r="188" spans="1:117" x14ac:dyDescent="0.2">
      <c r="A188" s="3">
        <v>52274</v>
      </c>
      <c r="B188" s="3">
        <v>48998</v>
      </c>
      <c r="C188" s="3">
        <v>38587</v>
      </c>
      <c r="D188" s="3"/>
      <c r="E188" s="3">
        <v>37719</v>
      </c>
      <c r="F188" s="3">
        <v>17518</v>
      </c>
      <c r="G188" s="3">
        <v>17897</v>
      </c>
      <c r="H188" s="3"/>
      <c r="I188" s="3"/>
      <c r="K188" s="3">
        <v>15176</v>
      </c>
      <c r="L188" s="3">
        <v>15426</v>
      </c>
      <c r="M188" s="3">
        <v>17180</v>
      </c>
      <c r="N188" s="3">
        <v>17014</v>
      </c>
      <c r="O188" s="3">
        <v>10995</v>
      </c>
      <c r="P188" s="3">
        <v>6729</v>
      </c>
      <c r="Q188" s="3">
        <v>9582</v>
      </c>
      <c r="R188" s="3"/>
      <c r="S188" s="3"/>
      <c r="T188" s="3">
        <v>18389</v>
      </c>
      <c r="U188" s="3">
        <v>7830</v>
      </c>
      <c r="V188" s="3">
        <v>6137</v>
      </c>
      <c r="W188" s="3">
        <v>1784</v>
      </c>
      <c r="X188" s="3">
        <v>1210</v>
      </c>
      <c r="Y188" s="3">
        <v>12544</v>
      </c>
      <c r="Z188" s="3">
        <v>4406</v>
      </c>
      <c r="AA188" s="3">
        <v>3848</v>
      </c>
      <c r="AB188" s="3"/>
      <c r="AC188" s="3"/>
      <c r="AD188" s="3">
        <v>2850</v>
      </c>
      <c r="AE188" s="3">
        <v>2748</v>
      </c>
      <c r="AF188" s="3">
        <v>26243</v>
      </c>
      <c r="AG188" s="3">
        <v>4022</v>
      </c>
      <c r="AH188" s="3">
        <v>4221</v>
      </c>
      <c r="AI188" s="3">
        <v>2238</v>
      </c>
      <c r="AJ188" s="3">
        <v>2931</v>
      </c>
      <c r="AX188" s="3"/>
      <c r="AY188" s="3"/>
      <c r="AZ188">
        <v>180458</v>
      </c>
      <c r="BA188" s="5">
        <v>58151</v>
      </c>
      <c r="BB188" s="5">
        <v>22860</v>
      </c>
      <c r="BC188">
        <v>23993</v>
      </c>
      <c r="BD188" s="5">
        <v>21655</v>
      </c>
      <c r="BF188" s="5">
        <v>20615</v>
      </c>
      <c r="BQ188" s="3">
        <f>SUM(180458+260522)</f>
        <v>440980</v>
      </c>
      <c r="BR188" s="3">
        <f>SUM(58151+62042)</f>
        <v>120193</v>
      </c>
      <c r="BS188" s="3">
        <v>108776</v>
      </c>
      <c r="BT188" s="3">
        <f>SUM(23993+52021)</f>
        <v>76014</v>
      </c>
      <c r="BU188" s="3">
        <f>SUM(21655+98498)</f>
        <v>120153</v>
      </c>
      <c r="BV188" s="3">
        <f>SUM(20615+152604)</f>
        <v>173219</v>
      </c>
      <c r="BZ188" s="1">
        <v>43932</v>
      </c>
      <c r="CA188" s="3">
        <f t="shared" si="66"/>
        <v>9946</v>
      </c>
      <c r="CB188" s="3">
        <f t="shared" si="67"/>
        <v>23095</v>
      </c>
      <c r="CE188" s="1">
        <v>43932</v>
      </c>
      <c r="CF188">
        <f t="shared" si="68"/>
        <v>3563</v>
      </c>
      <c r="CG188" s="3">
        <f t="shared" si="69"/>
        <v>6670</v>
      </c>
      <c r="CJ188" s="1">
        <v>43932</v>
      </c>
      <c r="CK188">
        <f t="shared" si="70"/>
        <v>1886</v>
      </c>
      <c r="CL188" s="3">
        <f t="shared" si="71"/>
        <v>6404</v>
      </c>
      <c r="CO188" s="1">
        <v>43932</v>
      </c>
      <c r="CP188">
        <f t="shared" si="72"/>
        <v>1210</v>
      </c>
      <c r="CQ188" s="3">
        <f t="shared" si="82"/>
        <v>3970</v>
      </c>
      <c r="CT188" s="1">
        <v>43932</v>
      </c>
      <c r="CU188">
        <f t="shared" si="73"/>
        <v>1676</v>
      </c>
      <c r="CV188" s="3">
        <f t="shared" si="74"/>
        <v>7134</v>
      </c>
      <c r="CY188" s="1">
        <v>43932</v>
      </c>
      <c r="CZ188">
        <f t="shared" si="75"/>
        <v>1143</v>
      </c>
      <c r="DA188" s="3">
        <f t="shared" si="76"/>
        <v>8356</v>
      </c>
      <c r="DG188" s="1">
        <v>43932</v>
      </c>
      <c r="DH188" s="3"/>
      <c r="DI188" s="3">
        <f t="shared" si="77"/>
        <v>1869</v>
      </c>
      <c r="DJ188" s="3">
        <f t="shared" si="78"/>
        <v>1366</v>
      </c>
      <c r="DK188" s="3">
        <f t="shared" si="79"/>
        <v>1011</v>
      </c>
      <c r="DL188" s="3">
        <f t="shared" si="80"/>
        <v>1066</v>
      </c>
      <c r="DM188" s="3">
        <f t="shared" si="81"/>
        <v>770</v>
      </c>
    </row>
    <row r="189" spans="1:117" x14ac:dyDescent="0.2">
      <c r="A189" s="3">
        <v>53039</v>
      </c>
      <c r="B189" s="3">
        <v>49461</v>
      </c>
      <c r="C189" s="3">
        <v>38743</v>
      </c>
      <c r="D189" s="3">
        <v>41441</v>
      </c>
      <c r="E189" s="3">
        <v>37942</v>
      </c>
      <c r="F189" s="3">
        <v>17583</v>
      </c>
      <c r="G189" s="3">
        <v>17910</v>
      </c>
      <c r="H189" s="3"/>
      <c r="I189" s="3"/>
      <c r="K189" s="3">
        <v>15191</v>
      </c>
      <c r="L189" s="3">
        <v>15497</v>
      </c>
      <c r="M189" s="3">
        <v>17291</v>
      </c>
      <c r="N189" s="3">
        <v>17307</v>
      </c>
      <c r="O189" s="3">
        <v>11211</v>
      </c>
      <c r="P189" s="3"/>
      <c r="Q189" s="3">
        <v>9780</v>
      </c>
      <c r="R189" s="3"/>
      <c r="S189" s="3"/>
      <c r="T189" s="3">
        <v>18770</v>
      </c>
      <c r="U189" s="3">
        <v>7952</v>
      </c>
      <c r="V189" s="3">
        <v>6232</v>
      </c>
      <c r="W189" s="3">
        <v>1813</v>
      </c>
      <c r="X189" s="3">
        <v>1231</v>
      </c>
      <c r="Y189" s="3">
        <v>12948</v>
      </c>
      <c r="Z189" s="3">
        <v>4487</v>
      </c>
      <c r="AA189" s="3">
        <v>3999</v>
      </c>
      <c r="AB189" s="3"/>
      <c r="AC189" s="3"/>
      <c r="AD189" s="3">
        <v>2896</v>
      </c>
      <c r="AE189" s="3">
        <v>2810</v>
      </c>
      <c r="AF189" s="3">
        <v>27815</v>
      </c>
      <c r="AG189" s="3">
        <v>4083</v>
      </c>
      <c r="AH189" s="3">
        <v>4354</v>
      </c>
      <c r="AI189" s="3">
        <v>2255</v>
      </c>
      <c r="AJ189" s="3">
        <v>2931</v>
      </c>
      <c r="AN189" s="3"/>
      <c r="AO189" s="3"/>
      <c r="AP189" s="3"/>
      <c r="AQ189" s="3"/>
      <c r="AS189" s="3"/>
      <c r="AT189" s="3"/>
      <c r="AU189" s="3"/>
      <c r="AV189" s="3"/>
      <c r="AX189" s="3"/>
      <c r="AY189" s="3"/>
      <c r="AZ189">
        <v>188694</v>
      </c>
      <c r="BA189" s="5">
        <v>61850</v>
      </c>
      <c r="BB189" s="5">
        <v>25475</v>
      </c>
      <c r="BC189">
        <v>24638</v>
      </c>
      <c r="BD189" s="5">
        <v>22833</v>
      </c>
      <c r="BF189" s="5">
        <v>21794</v>
      </c>
      <c r="BQ189" s="3">
        <f>SUM(188694+272907)</f>
        <v>461601</v>
      </c>
      <c r="BR189" s="3">
        <f>SUM(61850+64885)</f>
        <v>126735</v>
      </c>
      <c r="BS189" s="3">
        <v>116730</v>
      </c>
      <c r="BT189" s="3">
        <f>SUM(24638+54799)</f>
        <v>79437</v>
      </c>
      <c r="BU189" s="3">
        <f>SUM(22833+102057)</f>
        <v>124890</v>
      </c>
      <c r="BV189" s="3">
        <f>SUM(21794+168534)</f>
        <v>190328</v>
      </c>
      <c r="BZ189" s="1">
        <v>43933</v>
      </c>
      <c r="CA189" s="3">
        <f t="shared" si="66"/>
        <v>8236</v>
      </c>
      <c r="CB189" s="3">
        <f t="shared" ref="CB189:CB195" si="83">SUM(BQ189-BQ188)</f>
        <v>20621</v>
      </c>
      <c r="CE189" s="1">
        <v>43933</v>
      </c>
      <c r="CF189">
        <f t="shared" si="68"/>
        <v>3699</v>
      </c>
      <c r="CG189" s="3">
        <f t="shared" si="69"/>
        <v>6542</v>
      </c>
      <c r="CJ189" s="1">
        <v>43933</v>
      </c>
      <c r="CK189">
        <f t="shared" si="70"/>
        <v>2615</v>
      </c>
      <c r="CL189" s="3">
        <f t="shared" si="71"/>
        <v>7954</v>
      </c>
      <c r="CO189" s="1">
        <v>43933</v>
      </c>
      <c r="CP189">
        <f t="shared" si="72"/>
        <v>645</v>
      </c>
      <c r="CQ189" s="3">
        <f t="shared" si="82"/>
        <v>3423</v>
      </c>
      <c r="CT189" s="1">
        <v>43933</v>
      </c>
      <c r="CU189">
        <f t="shared" si="73"/>
        <v>1178</v>
      </c>
      <c r="CV189" s="3">
        <f t="shared" si="74"/>
        <v>4737</v>
      </c>
      <c r="CY189" s="1">
        <v>43933</v>
      </c>
      <c r="CZ189">
        <f t="shared" si="75"/>
        <v>1179</v>
      </c>
      <c r="DA189" s="3">
        <f t="shared" si="76"/>
        <v>17109</v>
      </c>
      <c r="DG189" s="1">
        <v>43933</v>
      </c>
      <c r="DH189" s="3">
        <f t="shared" ref="DH189:DH195" si="84">SUM(C13+D13+E13+F13+G13)</f>
        <v>6316</v>
      </c>
      <c r="DI189" s="3">
        <f t="shared" si="77"/>
        <v>2053</v>
      </c>
      <c r="DJ189" s="3">
        <f t="shared" si="78"/>
        <v>1959</v>
      </c>
      <c r="DK189" s="3">
        <f t="shared" si="79"/>
        <v>483</v>
      </c>
      <c r="DL189" s="3">
        <f t="shared" si="80"/>
        <v>694</v>
      </c>
      <c r="DM189" s="3">
        <f t="shared" si="81"/>
        <v>534</v>
      </c>
    </row>
    <row r="190" spans="1:117" x14ac:dyDescent="0.2">
      <c r="A190" s="3">
        <v>53640</v>
      </c>
      <c r="B190" s="3">
        <v>49817</v>
      </c>
      <c r="C190" s="3">
        <v>38864</v>
      </c>
      <c r="D190" s="3">
        <v>41677</v>
      </c>
      <c r="E190" s="3">
        <v>38117</v>
      </c>
      <c r="F190" s="3">
        <v>17653</v>
      </c>
      <c r="G190" s="3">
        <v>17977</v>
      </c>
      <c r="H190" s="3"/>
      <c r="I190" s="3"/>
      <c r="K190" s="3"/>
      <c r="L190" s="3">
        <v>15604</v>
      </c>
      <c r="M190" s="3">
        <v>17417</v>
      </c>
      <c r="N190" s="3">
        <v>17589</v>
      </c>
      <c r="O190" s="3">
        <v>11353</v>
      </c>
      <c r="P190" s="3">
        <v>6887</v>
      </c>
      <c r="Q190" s="3"/>
      <c r="R190" s="3"/>
      <c r="S190" s="3"/>
      <c r="T190" s="3">
        <v>18882</v>
      </c>
      <c r="U190" s="3">
        <v>7994</v>
      </c>
      <c r="V190" s="3">
        <v>6274</v>
      </c>
      <c r="W190" s="3">
        <v>1835</v>
      </c>
      <c r="X190" s="3">
        <v>1236</v>
      </c>
      <c r="Y190" s="3">
        <v>13179</v>
      </c>
      <c r="Z190" s="3">
        <v>4552</v>
      </c>
      <c r="AA190" s="3">
        <v>4113</v>
      </c>
      <c r="AB190" s="3"/>
      <c r="AC190" s="3"/>
      <c r="AD190" s="3">
        <v>2924</v>
      </c>
      <c r="AE190" s="3">
        <v>2886</v>
      </c>
      <c r="AF190" s="3">
        <v>28687</v>
      </c>
      <c r="AG190" s="3">
        <v>4321</v>
      </c>
      <c r="AH190" s="3">
        <v>4535</v>
      </c>
      <c r="AI190" s="3">
        <v>2270</v>
      </c>
      <c r="AJ190" s="3">
        <v>3156</v>
      </c>
      <c r="AN190" s="3"/>
      <c r="AO190" s="3"/>
      <c r="AP190" s="3"/>
      <c r="AQ190" s="3"/>
      <c r="AS190" s="3"/>
      <c r="AT190" s="3"/>
      <c r="AU190" s="3"/>
      <c r="AV190" s="3"/>
      <c r="AX190" s="3"/>
      <c r="AY190" s="3"/>
      <c r="AZ190">
        <v>195031</v>
      </c>
      <c r="BA190" s="5">
        <v>64584</v>
      </c>
      <c r="BB190" s="5">
        <v>26867</v>
      </c>
      <c r="BC190">
        <v>25635</v>
      </c>
      <c r="BD190" s="5">
        <v>24199</v>
      </c>
      <c r="BF190" s="5">
        <v>22348</v>
      </c>
      <c r="BQ190" s="3">
        <f>SUM(195031+283326)</f>
        <v>478357</v>
      </c>
      <c r="BR190" s="3">
        <f>SUM(64584+64885)</f>
        <v>129469</v>
      </c>
      <c r="BS190" s="3">
        <v>122049</v>
      </c>
      <c r="BT190" s="3">
        <f>SUM(25635+57009)</f>
        <v>82644</v>
      </c>
      <c r="BU190" s="3">
        <f>SUM(24199+105593)</f>
        <v>129792</v>
      </c>
      <c r="BV190" s="3">
        <f>SUM(22348+168534)</f>
        <v>190882</v>
      </c>
      <c r="BZ190" s="1">
        <v>43934</v>
      </c>
      <c r="CA190" s="3">
        <f t="shared" si="66"/>
        <v>6337</v>
      </c>
      <c r="CB190" s="3">
        <f t="shared" si="83"/>
        <v>16756</v>
      </c>
      <c r="CE190" s="1">
        <v>43934</v>
      </c>
      <c r="CF190">
        <f t="shared" si="68"/>
        <v>2734</v>
      </c>
      <c r="CG190" s="3">
        <f t="shared" si="69"/>
        <v>2734</v>
      </c>
      <c r="CJ190" s="1">
        <v>43934</v>
      </c>
      <c r="CK190">
        <f t="shared" si="70"/>
        <v>1392</v>
      </c>
      <c r="CL190" s="3">
        <f t="shared" si="71"/>
        <v>5319</v>
      </c>
      <c r="CO190" s="1">
        <v>43934</v>
      </c>
      <c r="CP190">
        <f t="shared" si="72"/>
        <v>997</v>
      </c>
      <c r="CQ190" s="3">
        <f t="shared" si="82"/>
        <v>3207</v>
      </c>
      <c r="CT190" s="1">
        <v>43934</v>
      </c>
      <c r="CU190">
        <f t="shared" si="73"/>
        <v>1366</v>
      </c>
      <c r="CV190" s="3">
        <f t="shared" si="74"/>
        <v>4902</v>
      </c>
      <c r="CY190" s="1">
        <v>43934</v>
      </c>
      <c r="CZ190">
        <f t="shared" si="75"/>
        <v>554</v>
      </c>
      <c r="DA190" s="3">
        <f t="shared" si="76"/>
        <v>554</v>
      </c>
      <c r="DG190" s="1">
        <v>43934</v>
      </c>
      <c r="DH190" s="3">
        <f t="shared" si="84"/>
        <v>4536</v>
      </c>
      <c r="DI190" s="3">
        <f t="shared" si="77"/>
        <v>1758</v>
      </c>
      <c r="DJ190" s="3">
        <f t="shared" si="78"/>
        <v>1071</v>
      </c>
      <c r="DK190" s="3">
        <f t="shared" si="79"/>
        <v>859</v>
      </c>
      <c r="DL190" s="3">
        <f t="shared" si="80"/>
        <v>875</v>
      </c>
      <c r="DM190" s="3">
        <f t="shared" si="81"/>
        <v>458</v>
      </c>
    </row>
    <row r="191" spans="1:117" x14ac:dyDescent="0.2">
      <c r="A191" s="3">
        <v>54090</v>
      </c>
      <c r="B191" s="3">
        <v>50072</v>
      </c>
      <c r="C191" s="3">
        <v>39033</v>
      </c>
      <c r="D191" s="3">
        <v>41980</v>
      </c>
      <c r="E191" s="3">
        <v>38224</v>
      </c>
      <c r="F191" s="3">
        <v>17668</v>
      </c>
      <c r="G191" s="3">
        <v>18051</v>
      </c>
      <c r="H191" s="3"/>
      <c r="I191" s="3"/>
      <c r="J191" s="3"/>
      <c r="K191" s="3"/>
      <c r="L191" s="3">
        <v>15610</v>
      </c>
      <c r="M191" s="3">
        <v>17480</v>
      </c>
      <c r="N191" s="3">
        <v>17774</v>
      </c>
      <c r="O191" s="3">
        <v>11432</v>
      </c>
      <c r="P191" s="3">
        <v>6952</v>
      </c>
      <c r="Q191" s="3">
        <v>10101</v>
      </c>
      <c r="R191" s="3"/>
      <c r="S191" s="3"/>
      <c r="T191" s="3"/>
      <c r="U191" s="3">
        <v>8023</v>
      </c>
      <c r="V191" s="3">
        <v>6304</v>
      </c>
      <c r="W191" s="3">
        <v>1845</v>
      </c>
      <c r="X191" s="3">
        <v>1241</v>
      </c>
      <c r="Y191" s="3">
        <v>16040</v>
      </c>
      <c r="Z191" s="3">
        <v>4645</v>
      </c>
      <c r="AA191" s="3">
        <v>4256</v>
      </c>
      <c r="AB191" s="3"/>
      <c r="AC191" s="3"/>
      <c r="AD191" s="3">
        <v>2963</v>
      </c>
      <c r="AE191" s="3">
        <v>2948</v>
      </c>
      <c r="AF191" s="3">
        <v>29544</v>
      </c>
      <c r="AG191" s="3">
        <v>4431</v>
      </c>
      <c r="AH191" s="3">
        <v>4608</v>
      </c>
      <c r="AI191" s="3">
        <v>2281</v>
      </c>
      <c r="AJ191" s="3">
        <v>3283</v>
      </c>
      <c r="AN191" s="3"/>
      <c r="AO191" s="3"/>
      <c r="AP191" s="3"/>
      <c r="AQ191" s="3"/>
      <c r="AS191" s="3"/>
      <c r="AT191" s="3"/>
      <c r="AU191" s="3"/>
      <c r="AV191" s="3"/>
      <c r="AX191" s="3"/>
      <c r="AY191" s="3"/>
      <c r="AZ191">
        <v>202208</v>
      </c>
      <c r="BA191">
        <v>68824</v>
      </c>
      <c r="BB191" s="5">
        <v>28163</v>
      </c>
      <c r="BC191">
        <v>27001</v>
      </c>
      <c r="BD191" s="5">
        <v>25345</v>
      </c>
      <c r="BF191" s="5">
        <v>23338</v>
      </c>
      <c r="BQ191" s="3">
        <f>SUM(202208+296935)</f>
        <v>499143</v>
      </c>
      <c r="BR191" s="3">
        <f>SUM(68824+70950)</f>
        <v>139774</v>
      </c>
      <c r="BS191" s="3">
        <v>126551</v>
      </c>
      <c r="BT191" s="3">
        <f>SUM(27001+59225)</f>
        <v>86226</v>
      </c>
      <c r="BU191" s="3">
        <f>SUM(25345+108286)</f>
        <v>133631</v>
      </c>
      <c r="BV191" s="3">
        <f>SUM(23338+178870)</f>
        <v>202208</v>
      </c>
      <c r="BZ191" s="1">
        <v>43935</v>
      </c>
      <c r="CA191" s="3">
        <f t="shared" si="66"/>
        <v>7177</v>
      </c>
      <c r="CB191" s="3">
        <f t="shared" si="83"/>
        <v>20786</v>
      </c>
      <c r="CE191" s="1">
        <v>43935</v>
      </c>
      <c r="CF191">
        <f t="shared" si="68"/>
        <v>4240</v>
      </c>
      <c r="CG191" s="3">
        <f t="shared" si="69"/>
        <v>10305</v>
      </c>
      <c r="CJ191" s="1">
        <v>43935</v>
      </c>
      <c r="CK191">
        <f t="shared" si="70"/>
        <v>1296</v>
      </c>
      <c r="CL191" s="3">
        <f t="shared" si="71"/>
        <v>4502</v>
      </c>
      <c r="CO191" s="1">
        <v>43935</v>
      </c>
      <c r="CP191">
        <f t="shared" si="72"/>
        <v>1366</v>
      </c>
      <c r="CQ191" s="3">
        <f t="shared" si="82"/>
        <v>3582</v>
      </c>
      <c r="CT191" s="1">
        <v>43935</v>
      </c>
      <c r="CU191">
        <f t="shared" si="73"/>
        <v>1146</v>
      </c>
      <c r="CV191" s="3">
        <f t="shared" si="74"/>
        <v>3839</v>
      </c>
      <c r="CY191" s="1">
        <v>43935</v>
      </c>
      <c r="CZ191">
        <f t="shared" si="75"/>
        <v>990</v>
      </c>
      <c r="DA191" s="3">
        <f t="shared" si="76"/>
        <v>11326</v>
      </c>
      <c r="DG191" s="1">
        <v>43935</v>
      </c>
      <c r="DH191" s="3">
        <f t="shared" si="84"/>
        <v>2036</v>
      </c>
      <c r="DI191" s="3">
        <f t="shared" si="77"/>
        <v>2392</v>
      </c>
      <c r="DJ191" s="3">
        <f t="shared" si="78"/>
        <v>994</v>
      </c>
      <c r="DK191" s="3">
        <f t="shared" si="79"/>
        <v>1132</v>
      </c>
      <c r="DL191" s="3">
        <f t="shared" si="80"/>
        <v>627</v>
      </c>
      <c r="DM191" s="3">
        <f t="shared" si="81"/>
        <v>687</v>
      </c>
    </row>
    <row r="192" spans="1:117" x14ac:dyDescent="0.2">
      <c r="A192" s="3">
        <v>54448</v>
      </c>
      <c r="B192" s="3">
        <v>50331</v>
      </c>
      <c r="C192" s="3">
        <v>39136</v>
      </c>
      <c r="D192" s="3">
        <v>42519</v>
      </c>
      <c r="E192" s="3">
        <v>38327</v>
      </c>
      <c r="F192" s="3">
        <v>17804</v>
      </c>
      <c r="G192" s="3"/>
      <c r="H192" s="3"/>
      <c r="I192" s="3"/>
      <c r="J192" s="3"/>
      <c r="K192" s="3"/>
      <c r="L192" s="3">
        <v>15686</v>
      </c>
      <c r="N192" s="3">
        <v>17953</v>
      </c>
      <c r="O192" s="3">
        <v>11572</v>
      </c>
      <c r="P192" s="3">
        <v>7004</v>
      </c>
      <c r="Q192" s="3">
        <v>10251</v>
      </c>
      <c r="R192" s="3"/>
      <c r="S192" s="3"/>
      <c r="T192" s="3">
        <v>19065</v>
      </c>
      <c r="U192" s="3">
        <v>8043</v>
      </c>
      <c r="V192" s="3">
        <v>6345</v>
      </c>
      <c r="W192" s="3">
        <v>1866</v>
      </c>
      <c r="X192" s="3">
        <v>1242</v>
      </c>
      <c r="Y192" s="3">
        <v>16410</v>
      </c>
      <c r="Z192" s="3">
        <v>4687</v>
      </c>
      <c r="AA192" s="3">
        <v>4326</v>
      </c>
      <c r="AB192" s="3"/>
      <c r="AC192" s="3"/>
      <c r="AD192" s="3">
        <v>2999</v>
      </c>
      <c r="AE192" s="3">
        <v>3004</v>
      </c>
      <c r="AF192" s="3">
        <v>30357</v>
      </c>
      <c r="AG192" s="3">
        <v>4664</v>
      </c>
      <c r="AH192" s="3">
        <v>4672</v>
      </c>
      <c r="AI192" s="3">
        <v>2285</v>
      </c>
      <c r="AJ192" s="3">
        <v>3395</v>
      </c>
      <c r="AN192" s="3"/>
      <c r="AO192" s="3"/>
      <c r="AP192" s="3"/>
      <c r="AQ192" s="3"/>
      <c r="AS192" s="3"/>
      <c r="AT192" s="3"/>
      <c r="AU192" s="3"/>
      <c r="AV192" s="3"/>
      <c r="AX192" s="3"/>
      <c r="AY192" s="3"/>
      <c r="AZ192">
        <v>213779</v>
      </c>
      <c r="BA192" s="5">
        <v>71030</v>
      </c>
      <c r="BB192" s="5">
        <v>29918</v>
      </c>
      <c r="BC192" s="5">
        <v>28059</v>
      </c>
      <c r="BD192" s="5">
        <v>26490</v>
      </c>
      <c r="BF192" s="5">
        <v>24424</v>
      </c>
      <c r="BQ192" s="3">
        <f>SUM(213779+312233)</f>
        <v>526012</v>
      </c>
      <c r="BR192" s="3">
        <f>SUM(71030+72991)</f>
        <v>144021</v>
      </c>
      <c r="BS192" s="3">
        <v>132023</v>
      </c>
      <c r="BT192" s="3">
        <f>SUM(28059+61638)</f>
        <v>89697</v>
      </c>
      <c r="BU192" s="3">
        <f>SUM(26490+111094)</f>
        <v>137584</v>
      </c>
      <c r="BV192" s="3">
        <f>SUM(24424+192062)</f>
        <v>216486</v>
      </c>
      <c r="BZ192" s="1">
        <v>43936</v>
      </c>
      <c r="CA192" s="3">
        <f t="shared" si="66"/>
        <v>11571</v>
      </c>
      <c r="CB192" s="3">
        <f t="shared" si="83"/>
        <v>26869</v>
      </c>
      <c r="CE192" s="1">
        <v>43936</v>
      </c>
      <c r="CF192">
        <f t="shared" si="68"/>
        <v>2206</v>
      </c>
      <c r="CG192" s="3">
        <f t="shared" si="69"/>
        <v>4247</v>
      </c>
      <c r="CJ192" s="1">
        <v>43936</v>
      </c>
      <c r="CK192">
        <f t="shared" si="70"/>
        <v>1755</v>
      </c>
      <c r="CL192" s="3">
        <f t="shared" si="71"/>
        <v>5472</v>
      </c>
      <c r="CO192" s="1">
        <v>43936</v>
      </c>
      <c r="CP192">
        <f t="shared" si="72"/>
        <v>1058</v>
      </c>
      <c r="CQ192" s="3">
        <f t="shared" si="82"/>
        <v>3471</v>
      </c>
      <c r="CT192" s="1">
        <v>43936</v>
      </c>
      <c r="CU192">
        <f t="shared" si="73"/>
        <v>1145</v>
      </c>
      <c r="CV192" s="3">
        <f t="shared" si="74"/>
        <v>3953</v>
      </c>
      <c r="CY192" s="1">
        <v>43936</v>
      </c>
      <c r="CZ192">
        <f t="shared" si="75"/>
        <v>1086</v>
      </c>
      <c r="DA192" s="3">
        <f t="shared" si="76"/>
        <v>14278</v>
      </c>
      <c r="DG192" s="1">
        <v>43936</v>
      </c>
      <c r="DH192" s="3">
        <f t="shared" si="84"/>
        <v>10422</v>
      </c>
      <c r="DI192" s="3">
        <f t="shared" si="77"/>
        <v>1543</v>
      </c>
      <c r="DJ192" s="3">
        <f t="shared" si="78"/>
        <v>1391</v>
      </c>
      <c r="DK192" s="3">
        <f t="shared" si="79"/>
        <v>799</v>
      </c>
      <c r="DL192" s="3">
        <f t="shared" si="80"/>
        <v>777</v>
      </c>
      <c r="DM192" s="3">
        <f t="shared" si="81"/>
        <v>1010</v>
      </c>
    </row>
    <row r="193" spans="1:117" x14ac:dyDescent="0.2">
      <c r="A193" s="3"/>
      <c r="B193" s="3">
        <v>50667</v>
      </c>
      <c r="C193" s="3">
        <v>39225</v>
      </c>
      <c r="D193" s="3">
        <v>42812</v>
      </c>
      <c r="E193" s="3">
        <v>38411</v>
      </c>
      <c r="F193" s="3">
        <v>17901</v>
      </c>
      <c r="G193" s="3"/>
      <c r="H193" s="3"/>
      <c r="I193" s="3"/>
      <c r="J193" s="3"/>
      <c r="L193" s="3">
        <v>15774</v>
      </c>
      <c r="M193" s="3"/>
      <c r="N193" s="3">
        <v>18201</v>
      </c>
      <c r="O193" s="3">
        <v>11703</v>
      </c>
      <c r="P193" s="3">
        <v>7046</v>
      </c>
      <c r="Q193" s="3">
        <v>10431</v>
      </c>
      <c r="R193" s="3"/>
      <c r="S193" s="3"/>
      <c r="T193" s="3">
        <v>19128</v>
      </c>
      <c r="U193" s="3">
        <v>8050</v>
      </c>
      <c r="V193" s="3">
        <v>6357</v>
      </c>
      <c r="W193" s="3">
        <v>1869</v>
      </c>
      <c r="X193" s="3">
        <v>1245</v>
      </c>
      <c r="Y193" s="3"/>
      <c r="Z193" s="3">
        <v>4827</v>
      </c>
      <c r="AA193" s="3">
        <v>4430</v>
      </c>
      <c r="AB193" s="3"/>
      <c r="AC193" s="3"/>
      <c r="AD193" s="3">
        <v>3063</v>
      </c>
      <c r="AE193" s="3">
        <v>3048</v>
      </c>
      <c r="AF193" s="3">
        <v>31268</v>
      </c>
      <c r="AG193" s="3">
        <v>4778</v>
      </c>
      <c r="AH193" s="3">
        <v>4871</v>
      </c>
      <c r="AI193" s="3">
        <v>2317</v>
      </c>
      <c r="AJ193" s="3">
        <v>3506</v>
      </c>
      <c r="AN193" s="3"/>
      <c r="AO193" s="3"/>
      <c r="AP193" s="3"/>
      <c r="AQ193" s="3"/>
      <c r="AS193" s="3"/>
      <c r="AT193" s="3"/>
      <c r="AU193" s="3"/>
      <c r="AV193" s="3"/>
      <c r="AX193" s="3"/>
      <c r="AY193" s="3"/>
      <c r="AZ193">
        <v>222284</v>
      </c>
      <c r="BA193" s="5">
        <v>75317</v>
      </c>
      <c r="BB193" s="5">
        <v>32181</v>
      </c>
      <c r="BC193" s="5">
        <v>29263</v>
      </c>
      <c r="BD193">
        <v>27735</v>
      </c>
      <c r="BF193" s="5">
        <v>26182</v>
      </c>
      <c r="BQ193" s="3">
        <f>SUM(222284+328295)</f>
        <v>550579</v>
      </c>
      <c r="BR193" s="3">
        <f>SUM(75317+76513)</f>
        <v>151830</v>
      </c>
      <c r="BS193" s="3">
        <v>140773</v>
      </c>
      <c r="BT193" s="3">
        <f>SUM(29263+65023)</f>
        <v>94286</v>
      </c>
      <c r="BU193" s="3">
        <f>SUM(27735+113735)</f>
        <v>141470</v>
      </c>
      <c r="BV193" s="3">
        <f>SUM(26182+220218)</f>
        <v>246400</v>
      </c>
      <c r="BZ193" s="2">
        <v>43937</v>
      </c>
      <c r="CA193" s="3">
        <f t="shared" si="66"/>
        <v>8505</v>
      </c>
      <c r="CB193" s="3">
        <f t="shared" si="83"/>
        <v>24567</v>
      </c>
      <c r="CE193" s="2">
        <v>43937</v>
      </c>
      <c r="CF193">
        <f t="shared" si="68"/>
        <v>4287</v>
      </c>
      <c r="CG193" s="3">
        <f t="shared" si="69"/>
        <v>7809</v>
      </c>
      <c r="CJ193" s="2">
        <v>43937</v>
      </c>
      <c r="CK193">
        <f t="shared" si="70"/>
        <v>2263</v>
      </c>
      <c r="CL193" s="3">
        <f t="shared" si="71"/>
        <v>8750</v>
      </c>
      <c r="CO193" s="2">
        <v>43937</v>
      </c>
      <c r="CP193">
        <f t="shared" si="72"/>
        <v>1204</v>
      </c>
      <c r="CQ193" s="3">
        <f t="shared" si="82"/>
        <v>4589</v>
      </c>
      <c r="CT193" s="2">
        <v>43937</v>
      </c>
      <c r="CU193">
        <f t="shared" si="73"/>
        <v>1245</v>
      </c>
      <c r="CV193" s="3">
        <f t="shared" si="74"/>
        <v>3886</v>
      </c>
      <c r="CY193" s="2">
        <v>43937</v>
      </c>
      <c r="CZ193">
        <f t="shared" si="75"/>
        <v>1758</v>
      </c>
      <c r="DA193" s="3">
        <f t="shared" si="76"/>
        <v>29914</v>
      </c>
      <c r="DG193" s="2">
        <v>43937</v>
      </c>
      <c r="DH193" s="3">
        <f t="shared" si="84"/>
        <v>5717</v>
      </c>
      <c r="DI193" s="3">
        <f t="shared" si="77"/>
        <v>2753</v>
      </c>
      <c r="DJ193" s="3">
        <f t="shared" si="78"/>
        <v>1790</v>
      </c>
      <c r="DK193" s="3">
        <f t="shared" si="79"/>
        <v>951</v>
      </c>
      <c r="DL193" s="3">
        <f t="shared" si="80"/>
        <v>537</v>
      </c>
      <c r="DM193" s="3">
        <f t="shared" si="81"/>
        <v>724</v>
      </c>
    </row>
    <row r="194" spans="1:117" x14ac:dyDescent="0.2">
      <c r="A194" s="3">
        <v>55450</v>
      </c>
      <c r="B194" s="3">
        <v>51095</v>
      </c>
      <c r="C194" s="3">
        <v>39295</v>
      </c>
      <c r="D194" s="3">
        <v>43022</v>
      </c>
      <c r="E194" s="3">
        <v>38553</v>
      </c>
      <c r="G194" s="3"/>
      <c r="H194" s="3"/>
      <c r="I194" s="3"/>
      <c r="J194" s="3"/>
      <c r="K194" s="3"/>
      <c r="L194" s="3"/>
      <c r="M194" s="3"/>
      <c r="N194" s="3">
        <v>18381</v>
      </c>
      <c r="O194" s="3">
        <v>11950</v>
      </c>
      <c r="P194" s="3">
        <v>7129</v>
      </c>
      <c r="Q194" s="3">
        <v>10505</v>
      </c>
      <c r="R194" s="3"/>
      <c r="S194" s="3"/>
      <c r="T194" s="3">
        <v>19292</v>
      </c>
      <c r="U194" s="3">
        <v>8078</v>
      </c>
      <c r="V194" s="3">
        <v>6367</v>
      </c>
      <c r="W194" s="3">
        <v>1891</v>
      </c>
      <c r="X194" s="3">
        <v>1251</v>
      </c>
      <c r="Y194" s="3"/>
      <c r="Z194" s="3">
        <v>4915</v>
      </c>
      <c r="AA194" s="3">
        <v>4497</v>
      </c>
      <c r="AB194" s="3"/>
      <c r="AC194" s="3"/>
      <c r="AD194" s="3">
        <v>3102</v>
      </c>
      <c r="AE194" s="3">
        <v>3095</v>
      </c>
      <c r="AF194" s="3">
        <v>31711</v>
      </c>
      <c r="AG194" s="3">
        <v>4928</v>
      </c>
      <c r="AH194" s="3">
        <v>4951</v>
      </c>
      <c r="AI194" s="3">
        <v>2331</v>
      </c>
      <c r="AJ194" s="3">
        <v>3627</v>
      </c>
      <c r="AK194" s="3"/>
      <c r="AL194" s="3"/>
      <c r="AN194" s="3"/>
      <c r="AO194" s="3"/>
      <c r="AP194" s="3"/>
      <c r="AQ194" s="3"/>
      <c r="AS194" s="3"/>
      <c r="AT194" s="3"/>
      <c r="AU194" s="3"/>
      <c r="AV194" s="3"/>
      <c r="AX194" s="3"/>
      <c r="AY194" s="3"/>
      <c r="AZ194">
        <v>229642</v>
      </c>
      <c r="BA194" s="5">
        <v>78467</v>
      </c>
      <c r="BB194" s="5">
        <v>34402</v>
      </c>
      <c r="BC194" s="5">
        <v>30023</v>
      </c>
      <c r="BD194" s="5">
        <v>29441</v>
      </c>
      <c r="BF194" s="5">
        <v>27528</v>
      </c>
      <c r="BQ194" s="3">
        <f>SUM(229642+343581)</f>
        <v>573223</v>
      </c>
      <c r="BR194" s="3">
        <f>SUM(78467+78982)</f>
        <v>157449</v>
      </c>
      <c r="BS194" s="3">
        <v>148744</v>
      </c>
      <c r="BT194" s="3">
        <f>SUM(30023+68936)</f>
        <v>98959</v>
      </c>
      <c r="BU194" s="3">
        <f>SUM(29441+117932)</f>
        <v>147373</v>
      </c>
      <c r="BV194" s="3">
        <f>SUM(27528+224086)</f>
        <v>251614</v>
      </c>
      <c r="BZ194" s="1">
        <v>43938</v>
      </c>
      <c r="CA194" s="3">
        <f t="shared" si="66"/>
        <v>7358</v>
      </c>
      <c r="CB194" s="3">
        <f t="shared" si="83"/>
        <v>22644</v>
      </c>
      <c r="CE194" s="1">
        <v>43938</v>
      </c>
      <c r="CF194">
        <f t="shared" si="68"/>
        <v>3150</v>
      </c>
      <c r="CG194" s="3">
        <f t="shared" si="69"/>
        <v>5619</v>
      </c>
      <c r="CJ194" s="1">
        <v>43938</v>
      </c>
      <c r="CK194">
        <f t="shared" si="70"/>
        <v>2221</v>
      </c>
      <c r="CL194" s="3">
        <f t="shared" si="71"/>
        <v>7971</v>
      </c>
      <c r="CO194" s="1">
        <v>43938</v>
      </c>
      <c r="CP194">
        <f t="shared" si="72"/>
        <v>760</v>
      </c>
      <c r="CQ194" s="3">
        <f t="shared" si="82"/>
        <v>4673</v>
      </c>
      <c r="CT194" s="1">
        <v>43938</v>
      </c>
      <c r="CU194">
        <f t="shared" si="73"/>
        <v>1706</v>
      </c>
      <c r="CV194" s="3">
        <f t="shared" si="74"/>
        <v>5903</v>
      </c>
      <c r="CY194" s="1">
        <v>43938</v>
      </c>
      <c r="CZ194">
        <f t="shared" si="75"/>
        <v>1346</v>
      </c>
      <c r="DA194" s="3">
        <f t="shared" si="76"/>
        <v>5214</v>
      </c>
      <c r="DG194" s="1">
        <v>43938</v>
      </c>
      <c r="DH194" s="3">
        <f t="shared" si="84"/>
        <v>5353</v>
      </c>
      <c r="DI194" s="3">
        <f t="shared" si="77"/>
        <v>2325</v>
      </c>
      <c r="DJ194" s="3">
        <f t="shared" si="78"/>
        <v>1748</v>
      </c>
      <c r="DK194" s="3">
        <f t="shared" si="79"/>
        <v>586</v>
      </c>
      <c r="DL194" s="3">
        <f t="shared" si="80"/>
        <v>1512</v>
      </c>
      <c r="DM194" s="3">
        <f t="shared" si="81"/>
        <v>919</v>
      </c>
    </row>
    <row r="195" spans="1:117" x14ac:dyDescent="0.2">
      <c r="A195" s="3">
        <v>55944</v>
      </c>
      <c r="B195" s="3">
        <v>51581</v>
      </c>
      <c r="C195" s="3">
        <v>39368</v>
      </c>
      <c r="D195" s="3">
        <v>43158</v>
      </c>
      <c r="E195" s="3">
        <v>38672</v>
      </c>
      <c r="F195" s="3"/>
      <c r="G195" s="3"/>
      <c r="H195" s="3"/>
      <c r="I195" s="3"/>
      <c r="J195" s="3"/>
      <c r="K195" s="3"/>
      <c r="L195" s="3"/>
      <c r="M195" s="3"/>
      <c r="N195" s="3">
        <v>18683</v>
      </c>
      <c r="O195" s="3">
        <v>12131</v>
      </c>
      <c r="P195" s="3">
        <v>7258</v>
      </c>
      <c r="Q195" s="3"/>
      <c r="R195" s="3"/>
      <c r="S195" s="3"/>
      <c r="T195" s="3">
        <v>19432</v>
      </c>
      <c r="U195" s="3">
        <v>8117</v>
      </c>
      <c r="V195" s="3">
        <v>6392</v>
      </c>
      <c r="W195" s="3">
        <v>1915</v>
      </c>
      <c r="X195" s="3">
        <v>1261</v>
      </c>
      <c r="Y195" s="3">
        <v>14384</v>
      </c>
      <c r="Z195" s="3">
        <v>5037</v>
      </c>
      <c r="AA195" s="3">
        <v>4680</v>
      </c>
      <c r="AB195" s="3"/>
      <c r="AC195" s="3"/>
      <c r="AD195" s="3">
        <v>3140</v>
      </c>
      <c r="AE195" s="3">
        <v>3190</v>
      </c>
      <c r="AF195" s="3">
        <v>32279</v>
      </c>
      <c r="AG195" s="3">
        <v>5067</v>
      </c>
      <c r="AH195" s="3">
        <v>5082</v>
      </c>
      <c r="AI195" s="3">
        <v>2340</v>
      </c>
      <c r="AJ195" s="3">
        <v>3699</v>
      </c>
      <c r="AN195" s="3"/>
      <c r="AO195" s="3"/>
      <c r="AP195" s="3"/>
      <c r="AQ195" s="3"/>
      <c r="AS195" s="3"/>
      <c r="AT195" s="3"/>
      <c r="AU195" s="3"/>
      <c r="AV195" s="3"/>
      <c r="AX195" s="3"/>
      <c r="AY195" s="3"/>
      <c r="AZ195">
        <v>236732</v>
      </c>
      <c r="BA195" s="5">
        <v>81420</v>
      </c>
      <c r="BB195" s="5">
        <v>36372</v>
      </c>
      <c r="BC195" s="5">
        <v>30791</v>
      </c>
      <c r="BD195" s="5">
        <v>31069</v>
      </c>
      <c r="BF195" s="5">
        <v>28963</v>
      </c>
      <c r="BQ195" s="3">
        <f>SUM(236732+359800)</f>
        <v>596532</v>
      </c>
      <c r="BR195" s="3">
        <f>SUM(81420+81116)</f>
        <v>162536</v>
      </c>
      <c r="BS195" s="3">
        <v>156806</v>
      </c>
      <c r="BT195" s="3">
        <f>SUM(30791+68936)</f>
        <v>99727</v>
      </c>
      <c r="BU195" s="3">
        <f>SUM(31069+122896)</f>
        <v>153965</v>
      </c>
      <c r="BV195" s="3">
        <f>SUM(28963+230703)</f>
        <v>259666</v>
      </c>
      <c r="BZ195" s="1">
        <v>43939</v>
      </c>
      <c r="CA195" s="3">
        <f t="shared" si="66"/>
        <v>7090</v>
      </c>
      <c r="CB195" s="3">
        <f t="shared" si="83"/>
        <v>23309</v>
      </c>
      <c r="CE195" s="1">
        <v>43939</v>
      </c>
      <c r="CF195">
        <f t="shared" si="68"/>
        <v>2953</v>
      </c>
      <c r="CG195" s="3">
        <f t="shared" si="69"/>
        <v>5087</v>
      </c>
      <c r="CJ195" s="1">
        <v>43939</v>
      </c>
      <c r="CK195">
        <f t="shared" si="70"/>
        <v>1970</v>
      </c>
      <c r="CL195" s="3">
        <f t="shared" si="71"/>
        <v>8062</v>
      </c>
      <c r="CO195" s="1">
        <v>43939</v>
      </c>
      <c r="CP195">
        <f t="shared" si="72"/>
        <v>768</v>
      </c>
      <c r="CQ195" s="3">
        <f t="shared" si="82"/>
        <v>768</v>
      </c>
      <c r="CT195" s="1">
        <v>43939</v>
      </c>
      <c r="CU195">
        <f t="shared" si="73"/>
        <v>1628</v>
      </c>
      <c r="CV195" s="3">
        <f>SUM(BU195-BU194)</f>
        <v>6592</v>
      </c>
      <c r="CY195" s="1">
        <v>43939</v>
      </c>
      <c r="CZ195">
        <f t="shared" si="75"/>
        <v>1435</v>
      </c>
      <c r="DA195" s="3">
        <f>SUM(BV195-BV194)</f>
        <v>8052</v>
      </c>
      <c r="DG195" s="1">
        <v>43939</v>
      </c>
      <c r="DH195" s="3">
        <f t="shared" si="84"/>
        <v>4934</v>
      </c>
      <c r="DI195" s="3">
        <f t="shared" si="77"/>
        <v>1711</v>
      </c>
      <c r="DJ195" s="3">
        <f t="shared" si="78"/>
        <v>1654</v>
      </c>
      <c r="DK195" s="3">
        <f t="shared" si="79"/>
        <v>510</v>
      </c>
      <c r="DL195" s="3"/>
      <c r="DM195" s="3"/>
    </row>
    <row r="196" spans="1:117" x14ac:dyDescent="0.2">
      <c r="A196" s="3">
        <v>56493</v>
      </c>
      <c r="B196" s="3">
        <v>51991</v>
      </c>
      <c r="C196" s="3">
        <v>39487</v>
      </c>
      <c r="D196" s="3">
        <v>43270</v>
      </c>
      <c r="E196" s="3">
        <v>38802</v>
      </c>
      <c r="F196" s="3"/>
      <c r="G196" s="3"/>
      <c r="H196" s="3"/>
      <c r="I196" s="3"/>
      <c r="J196" s="3"/>
      <c r="K196" s="3"/>
      <c r="L196" s="3"/>
      <c r="M196" s="3"/>
      <c r="N196" s="3">
        <v>18883</v>
      </c>
      <c r="O196" s="3">
        <v>12314</v>
      </c>
      <c r="P196" s="3">
        <v>7331</v>
      </c>
      <c r="Q196" s="3"/>
      <c r="R196" s="3"/>
      <c r="S196" s="3"/>
      <c r="T196" s="3">
        <v>19538</v>
      </c>
      <c r="U196" s="3">
        <v>8125</v>
      </c>
      <c r="V196" s="3">
        <v>6420</v>
      </c>
      <c r="W196" s="3">
        <v>1926</v>
      </c>
      <c r="X196" s="3">
        <v>1265</v>
      </c>
      <c r="Y196" s="3">
        <v>14637</v>
      </c>
      <c r="Z196" s="3">
        <v>5116</v>
      </c>
      <c r="AA196" s="3">
        <v>4836</v>
      </c>
      <c r="AB196" s="3"/>
      <c r="AC196" s="3"/>
      <c r="AD196" s="3">
        <v>3169</v>
      </c>
      <c r="AE196" s="3">
        <v>3257</v>
      </c>
      <c r="AF196" s="3">
        <v>33281</v>
      </c>
      <c r="AG196" s="3">
        <v>5163</v>
      </c>
      <c r="AH196" s="3">
        <v>5134</v>
      </c>
      <c r="AI196" s="3">
        <v>2362</v>
      </c>
      <c r="AJ196" s="3">
        <v>3843</v>
      </c>
      <c r="AN196" s="3"/>
      <c r="AO196" s="3"/>
      <c r="AP196" s="3"/>
      <c r="AQ196" s="3"/>
      <c r="AS196" s="3"/>
      <c r="AT196" s="3"/>
      <c r="AU196" s="3"/>
      <c r="AV196" s="3"/>
      <c r="AX196" s="3"/>
      <c r="AY196" s="3"/>
      <c r="AZ196">
        <v>242786</v>
      </c>
      <c r="BA196" s="5">
        <v>85301</v>
      </c>
      <c r="BB196" s="5">
        <v>38077</v>
      </c>
      <c r="BC196" s="5">
        <v>31424</v>
      </c>
      <c r="BD196" s="5">
        <v>32284</v>
      </c>
      <c r="BF196" s="5">
        <v>30333</v>
      </c>
      <c r="BQ196" s="3">
        <f>SUM(242786+374769)</f>
        <v>617555</v>
      </c>
      <c r="BR196" s="3">
        <f>SUM(85031+85387)</f>
        <v>170418</v>
      </c>
      <c r="BS196" s="3">
        <v>162241</v>
      </c>
      <c r="BT196" s="3">
        <f>SUM(31424+78237)</f>
        <v>109661</v>
      </c>
      <c r="BU196" s="3">
        <f>SUM(32284+126570)</f>
        <v>158854</v>
      </c>
      <c r="BV196" s="3">
        <f>SUM(30333+250567)</f>
        <v>280900</v>
      </c>
      <c r="BZ196" s="2">
        <v>43940</v>
      </c>
      <c r="CA196" s="3">
        <f t="shared" si="66"/>
        <v>6054</v>
      </c>
      <c r="CB196" s="3">
        <f>SUM(BQ196-BQ195)</f>
        <v>21023</v>
      </c>
      <c r="CE196" s="2">
        <v>43940</v>
      </c>
      <c r="CF196">
        <f t="shared" si="68"/>
        <v>3881</v>
      </c>
      <c r="CG196" s="3">
        <f t="shared" si="69"/>
        <v>7882</v>
      </c>
      <c r="CJ196" s="2">
        <v>43940</v>
      </c>
      <c r="CK196">
        <f t="shared" si="70"/>
        <v>1705</v>
      </c>
      <c r="CL196" s="3">
        <f t="shared" si="71"/>
        <v>5435</v>
      </c>
      <c r="CO196" s="2">
        <v>43940</v>
      </c>
      <c r="CP196">
        <f t="shared" si="72"/>
        <v>633</v>
      </c>
      <c r="CQ196" s="3">
        <f t="shared" si="82"/>
        <v>9934</v>
      </c>
      <c r="CT196" s="2">
        <v>43940</v>
      </c>
      <c r="CU196">
        <f t="shared" si="73"/>
        <v>1215</v>
      </c>
      <c r="CV196" s="3">
        <f>SUM(BU196-BU195)</f>
        <v>4889</v>
      </c>
      <c r="CY196" s="2">
        <v>43940</v>
      </c>
      <c r="CZ196">
        <f t="shared" si="75"/>
        <v>1370</v>
      </c>
      <c r="DA196" s="3">
        <f>SUM(BV196-BV195)</f>
        <v>21234</v>
      </c>
      <c r="DG196" s="2">
        <v>43940</v>
      </c>
      <c r="DH196" s="3"/>
      <c r="DI196" s="3">
        <f t="shared" si="77"/>
        <v>2411</v>
      </c>
      <c r="DJ196" s="3">
        <f t="shared" si="78"/>
        <v>1304</v>
      </c>
      <c r="DK196" s="3">
        <f t="shared" si="79"/>
        <v>430</v>
      </c>
      <c r="DL196" s="3">
        <f>SUM(AQ20+AR20+AS20+AT20+AU20)</f>
        <v>1083</v>
      </c>
      <c r="DM196" s="3"/>
    </row>
    <row r="197" spans="1:117" x14ac:dyDescent="0.2">
      <c r="A197" s="3">
        <v>56862</v>
      </c>
      <c r="B197" s="3">
        <v>52298</v>
      </c>
      <c r="C197" s="3">
        <v>39608</v>
      </c>
      <c r="D197" s="3">
        <v>43418</v>
      </c>
      <c r="E197" s="3">
        <v>38964</v>
      </c>
      <c r="F197" s="3"/>
      <c r="G197" s="3"/>
      <c r="H197" s="3"/>
      <c r="I197" s="3"/>
      <c r="J197" s="3"/>
      <c r="K197" s="3"/>
      <c r="L197" s="3"/>
      <c r="M197" s="3"/>
      <c r="N197" s="3">
        <v>19129</v>
      </c>
      <c r="O197" s="3">
        <v>12462</v>
      </c>
      <c r="P197" s="3">
        <v>7412</v>
      </c>
      <c r="Q197" s="3"/>
      <c r="R197" s="3"/>
      <c r="S197" s="3"/>
      <c r="T197" s="3">
        <v>19602</v>
      </c>
      <c r="U197" s="3">
        <v>8131</v>
      </c>
      <c r="V197" s="3">
        <v>6445</v>
      </c>
      <c r="W197" s="3">
        <v>1929</v>
      </c>
      <c r="X197" s="3">
        <v>1275</v>
      </c>
      <c r="Y197" s="3">
        <v>14883</v>
      </c>
      <c r="Z197" s="3">
        <v>5260</v>
      </c>
      <c r="AA197" s="3">
        <v>4976</v>
      </c>
      <c r="AB197" s="3"/>
      <c r="AC197" s="3"/>
      <c r="AD197" s="3">
        <v>3241</v>
      </c>
      <c r="AE197" s="3">
        <v>3371</v>
      </c>
      <c r="AF197" s="3">
        <v>34574</v>
      </c>
      <c r="AG197" s="3">
        <v>5280</v>
      </c>
      <c r="AH197" s="3">
        <v>5204</v>
      </c>
      <c r="AI197" s="3">
        <v>2370</v>
      </c>
      <c r="AJ197" s="3">
        <v>4025</v>
      </c>
      <c r="AN197" s="3"/>
      <c r="AO197" s="3"/>
      <c r="AP197" s="3"/>
      <c r="AQ197" s="3"/>
      <c r="AS197" s="3"/>
      <c r="AT197" s="3"/>
      <c r="AU197" s="3"/>
      <c r="AV197" s="3"/>
      <c r="AX197" s="3"/>
      <c r="AY197" s="3"/>
      <c r="AZ197">
        <v>247512</v>
      </c>
      <c r="BA197" s="5">
        <v>88806</v>
      </c>
      <c r="BB197" s="5">
        <v>39643</v>
      </c>
      <c r="BC197" s="5">
        <v>32000</v>
      </c>
      <c r="BD197" s="5">
        <v>33232</v>
      </c>
      <c r="BF197" s="5">
        <v>30978</v>
      </c>
      <c r="BQ197" s="3">
        <v>633861</v>
      </c>
      <c r="BR197" s="3">
        <f>SUM(88806+89251)</f>
        <v>178057</v>
      </c>
      <c r="BS197" s="3">
        <v>169398</v>
      </c>
      <c r="BT197" s="3">
        <f>SUM(32000+81798)</f>
        <v>113798</v>
      </c>
      <c r="BU197" s="3">
        <f>SUM(33232+129720)</f>
        <v>162952</v>
      </c>
      <c r="BV197" s="3">
        <f>SUM(30978+259522)</f>
        <v>290500</v>
      </c>
      <c r="BZ197" s="1">
        <v>43941</v>
      </c>
      <c r="CA197" s="3">
        <f t="shared" si="66"/>
        <v>4726</v>
      </c>
      <c r="CB197" s="3">
        <f>SUM(BQ197-BQ196)</f>
        <v>16306</v>
      </c>
      <c r="CE197" s="1">
        <v>43941</v>
      </c>
      <c r="CF197">
        <f t="shared" si="68"/>
        <v>3505</v>
      </c>
      <c r="CG197" s="3">
        <f t="shared" si="69"/>
        <v>7639</v>
      </c>
      <c r="CJ197" s="1">
        <v>43941</v>
      </c>
      <c r="CK197">
        <f t="shared" si="70"/>
        <v>1566</v>
      </c>
      <c r="CL197" s="3">
        <f t="shared" si="71"/>
        <v>7157</v>
      </c>
      <c r="CO197" s="1">
        <v>43941</v>
      </c>
      <c r="CP197">
        <f t="shared" si="72"/>
        <v>576</v>
      </c>
      <c r="CQ197" s="3">
        <f t="shared" si="82"/>
        <v>4137</v>
      </c>
      <c r="CT197" s="1">
        <v>43941</v>
      </c>
      <c r="CU197">
        <f t="shared" si="73"/>
        <v>948</v>
      </c>
      <c r="CV197" s="3">
        <f>SUM(BU197-BU196)</f>
        <v>4098</v>
      </c>
      <c r="CY197" s="1">
        <v>43941</v>
      </c>
      <c r="CZ197">
        <f t="shared" si="75"/>
        <v>645</v>
      </c>
      <c r="DA197" s="3">
        <f t="shared" ref="DA197:DA203" si="85">SUM(BV197-BV196)</f>
        <v>9600</v>
      </c>
      <c r="DG197" s="1">
        <v>43941</v>
      </c>
      <c r="DH197" s="3"/>
      <c r="DI197" s="3">
        <f t="shared" si="77"/>
        <v>2015</v>
      </c>
      <c r="DJ197" s="3">
        <f t="shared" si="78"/>
        <v>1180</v>
      </c>
      <c r="DK197" s="3">
        <f t="shared" si="79"/>
        <v>378</v>
      </c>
      <c r="DL197" s="3"/>
      <c r="DM197" s="3">
        <f t="shared" ref="DM197:DM203" si="86">SUM(BA21+BB21+BC21+BD21+BE21)</f>
        <v>1836</v>
      </c>
    </row>
    <row r="198" spans="1:117" x14ac:dyDescent="0.2">
      <c r="A198" s="3">
        <v>57180</v>
      </c>
      <c r="B198" s="3">
        <v>52485</v>
      </c>
      <c r="C198" s="3">
        <v>39726</v>
      </c>
      <c r="D198" s="3">
        <v>43603</v>
      </c>
      <c r="E198" s="3">
        <v>39090</v>
      </c>
      <c r="F198" s="3"/>
      <c r="G198" s="3"/>
      <c r="H198" s="3"/>
      <c r="I198" s="3"/>
      <c r="J198" s="3"/>
      <c r="K198" s="3"/>
      <c r="L198" s="3"/>
      <c r="M198" s="3"/>
      <c r="N198" s="3">
        <v>19345</v>
      </c>
      <c r="O198" s="3">
        <v>12587</v>
      </c>
      <c r="P198" s="3">
        <v>7474</v>
      </c>
      <c r="Q198" s="3"/>
      <c r="R198" s="3"/>
      <c r="S198" s="3"/>
      <c r="T198" s="3">
        <v>19697</v>
      </c>
      <c r="U198" s="3">
        <v>8192</v>
      </c>
      <c r="V198" s="3">
        <v>6482</v>
      </c>
      <c r="W198" s="3">
        <v>1936</v>
      </c>
      <c r="X198" s="3">
        <v>1282</v>
      </c>
      <c r="Y198" s="3">
        <v>15008</v>
      </c>
      <c r="Z198" s="3">
        <v>5292</v>
      </c>
      <c r="AA198" s="3">
        <v>5046</v>
      </c>
      <c r="AB198" s="3"/>
      <c r="AC198" s="3"/>
      <c r="AD198" s="3">
        <v>3259</v>
      </c>
      <c r="AE198" s="3">
        <v>3417</v>
      </c>
      <c r="AF198" s="3">
        <v>35427</v>
      </c>
      <c r="AG198" s="3">
        <v>5393</v>
      </c>
      <c r="AH198" s="3">
        <v>5339</v>
      </c>
      <c r="AI198" s="3">
        <v>2380</v>
      </c>
      <c r="AJ198" s="3">
        <v>4163</v>
      </c>
      <c r="AN198" s="3"/>
      <c r="AO198" s="3"/>
      <c r="AP198" s="3"/>
      <c r="AQ198" s="3"/>
      <c r="AS198" s="3"/>
      <c r="AT198" s="3"/>
      <c r="AU198" s="3"/>
      <c r="AV198" s="3"/>
      <c r="AX198" s="3"/>
      <c r="AY198" s="3"/>
      <c r="AZ198">
        <v>251690</v>
      </c>
      <c r="BA198" s="5">
        <v>92387</v>
      </c>
      <c r="BB198" s="5">
        <v>41199</v>
      </c>
      <c r="BC198" s="5">
        <v>32967</v>
      </c>
      <c r="BD198" s="5">
        <v>34528</v>
      </c>
      <c r="BF198" s="5">
        <v>33261</v>
      </c>
      <c r="BQ198" s="3">
        <v>649325</v>
      </c>
      <c r="BR198" s="4">
        <f>SUM(92387+92439)</f>
        <v>184826</v>
      </c>
      <c r="BS198" s="3">
        <v>175372</v>
      </c>
      <c r="BT198" s="3">
        <f>SUM(32967+84259)</f>
        <v>117226</v>
      </c>
      <c r="BU198" s="3">
        <v>166851</v>
      </c>
      <c r="BV198" s="3">
        <v>308700</v>
      </c>
      <c r="BZ198" s="1">
        <v>43942</v>
      </c>
      <c r="CA198" s="3">
        <f t="shared" si="66"/>
        <v>4178</v>
      </c>
      <c r="CB198" s="3">
        <f t="shared" ref="CB198:CB212" si="87">SUM(BQ198-BQ197)</f>
        <v>15464</v>
      </c>
      <c r="CE198" s="1">
        <v>43942</v>
      </c>
      <c r="CF198">
        <f t="shared" si="68"/>
        <v>3581</v>
      </c>
      <c r="CG198" s="3">
        <f t="shared" si="69"/>
        <v>6769</v>
      </c>
      <c r="CJ198" s="1">
        <v>43942</v>
      </c>
      <c r="CK198">
        <f t="shared" si="70"/>
        <v>1556</v>
      </c>
      <c r="CL198" s="3">
        <f t="shared" si="71"/>
        <v>5974</v>
      </c>
      <c r="CO198" s="1">
        <v>43942</v>
      </c>
      <c r="CP198">
        <f t="shared" si="72"/>
        <v>967</v>
      </c>
      <c r="CQ198" s="3">
        <f t="shared" si="82"/>
        <v>3428</v>
      </c>
      <c r="CT198" s="1">
        <v>43942</v>
      </c>
      <c r="CU198">
        <f t="shared" si="73"/>
        <v>1296</v>
      </c>
      <c r="CV198" s="3">
        <f>SUM(BU198-BU197)</f>
        <v>3899</v>
      </c>
      <c r="CY198" s="1">
        <v>43942</v>
      </c>
      <c r="CZ198">
        <f t="shared" si="75"/>
        <v>2283</v>
      </c>
      <c r="DA198" s="3">
        <f t="shared" si="85"/>
        <v>18200</v>
      </c>
      <c r="DG198" s="1">
        <v>43942</v>
      </c>
      <c r="DH198" s="3">
        <f t="shared" ref="DH198:DH212" si="88">SUM(C22+D22+E22+F22+G22)</f>
        <v>2974</v>
      </c>
      <c r="DI198" s="3">
        <f t="shared" si="77"/>
        <v>2009</v>
      </c>
      <c r="DJ198" s="3">
        <f t="shared" si="78"/>
        <v>1212</v>
      </c>
      <c r="DK198" s="3">
        <f t="shared" si="79"/>
        <v>654</v>
      </c>
      <c r="DL198" s="3"/>
      <c r="DM198" s="3">
        <f t="shared" si="86"/>
        <v>1633</v>
      </c>
    </row>
    <row r="199" spans="1:117" x14ac:dyDescent="0.2">
      <c r="A199" s="3">
        <v>57391</v>
      </c>
      <c r="B199" s="3">
        <v>52681</v>
      </c>
      <c r="C199" s="3">
        <v>39837</v>
      </c>
      <c r="D199" s="3">
        <v>43766</v>
      </c>
      <c r="F199" s="3"/>
      <c r="G199" s="3"/>
      <c r="H199" s="3"/>
      <c r="I199" s="3"/>
      <c r="J199" s="3"/>
      <c r="K199" s="3"/>
      <c r="L199" s="3"/>
      <c r="M199" s="3"/>
      <c r="N199" s="3">
        <v>19504</v>
      </c>
      <c r="O199" s="3">
        <v>12748</v>
      </c>
      <c r="P199" s="3">
        <v>7524</v>
      </c>
      <c r="Q199" s="3"/>
      <c r="R199" s="3"/>
      <c r="S199" s="3"/>
      <c r="T199" s="3">
        <v>19771</v>
      </c>
      <c r="U199" s="3">
        <v>8215</v>
      </c>
      <c r="V199" s="3">
        <v>6499</v>
      </c>
      <c r="W199" s="3">
        <v>1948</v>
      </c>
      <c r="X199" s="3">
        <v>1294</v>
      </c>
      <c r="Y199" s="3">
        <v>15218</v>
      </c>
      <c r="Z199" s="3">
        <v>5442</v>
      </c>
      <c r="AA199" s="3">
        <v>5084</v>
      </c>
      <c r="AB199" s="3"/>
      <c r="AC199" s="3"/>
      <c r="AD199" s="3">
        <v>3286</v>
      </c>
      <c r="AE199" s="3">
        <v>3453</v>
      </c>
      <c r="AF199" s="3">
        <v>36317</v>
      </c>
      <c r="AG199" s="3">
        <v>5525</v>
      </c>
      <c r="AH199" s="3">
        <v>5496</v>
      </c>
      <c r="AI199" s="3">
        <v>2395</v>
      </c>
      <c r="AJ199" s="3">
        <v>4281</v>
      </c>
      <c r="AN199" s="3"/>
      <c r="AO199" s="3"/>
      <c r="AP199" s="3"/>
      <c r="AQ199" s="3"/>
      <c r="AS199" s="3"/>
      <c r="AT199" s="3"/>
      <c r="AU199" s="3"/>
      <c r="AV199" s="3"/>
      <c r="AX199" s="3"/>
      <c r="AY199" s="3"/>
      <c r="AZ199" s="3">
        <v>257216</v>
      </c>
      <c r="BA199" s="5">
        <v>95865</v>
      </c>
      <c r="BB199" s="5">
        <v>42944</v>
      </c>
      <c r="BC199" s="5">
        <v>33966</v>
      </c>
      <c r="BD199" s="5">
        <v>35684</v>
      </c>
      <c r="BF199" s="5">
        <v>35396</v>
      </c>
      <c r="BQ199" s="3">
        <v>669982</v>
      </c>
      <c r="BR199" s="4">
        <f>SUM(95865+95794)</f>
        <v>191659</v>
      </c>
      <c r="BS199" s="3">
        <v>180462</v>
      </c>
      <c r="BT199" s="3">
        <f>SUM(33966+84259)</f>
        <v>118225</v>
      </c>
      <c r="BU199" s="3">
        <f>SUM(35684+136272)</f>
        <v>171956</v>
      </c>
      <c r="BV199" s="3">
        <v>482097</v>
      </c>
      <c r="BZ199" s="1">
        <v>43943</v>
      </c>
      <c r="CA199" s="3">
        <f t="shared" si="66"/>
        <v>5526</v>
      </c>
      <c r="CB199" s="3">
        <f t="shared" si="87"/>
        <v>20657</v>
      </c>
      <c r="CE199" s="1">
        <v>43943</v>
      </c>
      <c r="CF199">
        <f t="shared" si="68"/>
        <v>3478</v>
      </c>
      <c r="CG199" s="3">
        <f t="shared" si="69"/>
        <v>6833</v>
      </c>
      <c r="CJ199" s="1">
        <v>43943</v>
      </c>
      <c r="CK199">
        <f t="shared" si="70"/>
        <v>1745</v>
      </c>
      <c r="CL199" s="3">
        <f t="shared" si="71"/>
        <v>5090</v>
      </c>
      <c r="CO199" s="1">
        <v>43943</v>
      </c>
      <c r="CP199">
        <f t="shared" si="72"/>
        <v>999</v>
      </c>
      <c r="CQ199" s="3">
        <f t="shared" si="82"/>
        <v>999</v>
      </c>
      <c r="CT199" s="1">
        <v>43943</v>
      </c>
      <c r="CU199">
        <f t="shared" si="73"/>
        <v>1156</v>
      </c>
      <c r="CV199" s="3">
        <f t="shared" ref="CV199:CV210" si="89">SUM(BU199-BU198)</f>
        <v>5105</v>
      </c>
      <c r="CY199" s="1">
        <v>43943</v>
      </c>
      <c r="CZ199">
        <f t="shared" si="75"/>
        <v>2135</v>
      </c>
      <c r="DA199" s="3">
        <f t="shared" si="85"/>
        <v>173397</v>
      </c>
      <c r="DG199" s="1">
        <v>43943</v>
      </c>
      <c r="DH199" s="3">
        <f t="shared" si="88"/>
        <v>3733</v>
      </c>
      <c r="DI199" s="3">
        <f t="shared" si="77"/>
        <v>1638</v>
      </c>
      <c r="DJ199" s="3">
        <f t="shared" si="78"/>
        <v>1391</v>
      </c>
      <c r="DK199" s="3">
        <f t="shared" si="79"/>
        <v>623</v>
      </c>
      <c r="DL199" s="3">
        <f t="shared" ref="DL199:DL218" si="90">SUM(AQ23+AR23+AS23+AT23+AU23)</f>
        <v>708</v>
      </c>
      <c r="DM199" s="3">
        <f t="shared" si="86"/>
        <v>1646</v>
      </c>
    </row>
    <row r="200" spans="1:117" x14ac:dyDescent="0.2">
      <c r="A200" s="3">
        <v>57748</v>
      </c>
      <c r="B200" s="3">
        <v>52889</v>
      </c>
      <c r="C200" s="3">
        <v>39907</v>
      </c>
      <c r="D200" s="3">
        <v>43921</v>
      </c>
      <c r="F200" s="3"/>
      <c r="G200" s="3"/>
      <c r="H200" s="3"/>
      <c r="I200" s="3"/>
      <c r="J200" s="3"/>
      <c r="K200" s="3"/>
      <c r="L200" s="3"/>
      <c r="M200" s="3"/>
      <c r="N200" s="3"/>
      <c r="O200" s="3">
        <v>12920</v>
      </c>
      <c r="P200" s="3">
        <v>7565</v>
      </c>
      <c r="Q200" s="3"/>
      <c r="R200" s="3"/>
      <c r="S200" s="3"/>
      <c r="T200" s="3">
        <v>19816</v>
      </c>
      <c r="U200" s="3">
        <v>8226</v>
      </c>
      <c r="V200" s="3">
        <v>6516</v>
      </c>
      <c r="W200" s="3">
        <v>1961</v>
      </c>
      <c r="X200" s="3">
        <v>1298</v>
      </c>
      <c r="Y200" s="3">
        <v>15376</v>
      </c>
      <c r="Z200" s="3">
        <v>5513</v>
      </c>
      <c r="AA200" s="3">
        <v>5157</v>
      </c>
      <c r="AB200" s="3"/>
      <c r="AC200" s="3"/>
      <c r="AD200" s="3">
        <v>3318</v>
      </c>
      <c r="AE200" s="3">
        <v>3485</v>
      </c>
      <c r="AF200" s="3">
        <v>37352</v>
      </c>
      <c r="AG200" s="3">
        <v>5664</v>
      </c>
      <c r="AH200" s="3">
        <v>5633</v>
      </c>
      <c r="AI200" s="3">
        <v>2420</v>
      </c>
      <c r="AJ200" s="3">
        <v>4396</v>
      </c>
      <c r="AO200" s="3"/>
      <c r="AZ200" s="3">
        <v>263460</v>
      </c>
      <c r="BA200" s="5">
        <v>99989</v>
      </c>
      <c r="BB200" s="5">
        <v>46023</v>
      </c>
      <c r="BC200" s="5">
        <v>35291</v>
      </c>
      <c r="BD200" s="5">
        <v>37053</v>
      </c>
      <c r="BF200" s="5">
        <v>37369</v>
      </c>
      <c r="BQ200" s="3">
        <v>695920</v>
      </c>
      <c r="BR200" s="5">
        <f>SUM(99989+100159)</f>
        <v>200148</v>
      </c>
      <c r="BS200" s="5">
        <v>195076</v>
      </c>
      <c r="BT200" s="5">
        <f>SUM(35291+93030)</f>
        <v>128321</v>
      </c>
      <c r="BU200" s="5">
        <f>SUM(37053+142061)</f>
        <v>179114</v>
      </c>
      <c r="BV200" s="5">
        <v>494173</v>
      </c>
      <c r="BZ200" s="1">
        <v>43944</v>
      </c>
      <c r="CA200" s="3">
        <f t="shared" si="66"/>
        <v>6244</v>
      </c>
      <c r="CB200" s="3">
        <f t="shared" si="87"/>
        <v>25938</v>
      </c>
      <c r="CE200" s="1">
        <v>43944</v>
      </c>
      <c r="CF200">
        <f t="shared" si="68"/>
        <v>4124</v>
      </c>
      <c r="CG200" s="3">
        <f t="shared" si="69"/>
        <v>8489</v>
      </c>
      <c r="CJ200" s="1">
        <v>43944</v>
      </c>
      <c r="CK200">
        <f t="shared" si="70"/>
        <v>3079</v>
      </c>
      <c r="CL200" s="3">
        <f t="shared" si="71"/>
        <v>14614</v>
      </c>
      <c r="CO200" s="1">
        <v>43944</v>
      </c>
      <c r="CP200">
        <f t="shared" si="72"/>
        <v>1325</v>
      </c>
      <c r="CQ200" s="3">
        <f t="shared" si="82"/>
        <v>10096</v>
      </c>
      <c r="CT200" s="1">
        <v>43944</v>
      </c>
      <c r="CU200">
        <f t="shared" si="73"/>
        <v>1369</v>
      </c>
      <c r="CV200" s="3">
        <f t="shared" si="89"/>
        <v>7158</v>
      </c>
      <c r="CY200" s="1">
        <v>43944</v>
      </c>
      <c r="CZ200">
        <f t="shared" si="75"/>
        <v>1973</v>
      </c>
      <c r="DA200" s="3">
        <f t="shared" si="85"/>
        <v>12076</v>
      </c>
      <c r="DG200" s="1">
        <v>43944</v>
      </c>
      <c r="DH200" s="3">
        <f t="shared" si="88"/>
        <v>4137</v>
      </c>
      <c r="DI200" s="3">
        <f t="shared" si="77"/>
        <v>2326</v>
      </c>
      <c r="DJ200" s="3">
        <f t="shared" si="78"/>
        <v>2416</v>
      </c>
      <c r="DK200" s="3">
        <f t="shared" si="79"/>
        <v>911</v>
      </c>
      <c r="DL200" s="3">
        <f t="shared" si="90"/>
        <v>827</v>
      </c>
      <c r="DM200" s="3">
        <f t="shared" si="86"/>
        <v>1496</v>
      </c>
    </row>
    <row r="201" spans="1:117" x14ac:dyDescent="0.2">
      <c r="A201" s="3">
        <v>58084</v>
      </c>
      <c r="B201" s="3">
        <v>53385</v>
      </c>
      <c r="C201" s="3"/>
      <c r="D201" s="3">
        <v>44137</v>
      </c>
      <c r="F201" s="3"/>
      <c r="G201" s="3"/>
      <c r="H201" s="3"/>
      <c r="I201" s="3"/>
      <c r="J201" s="3"/>
      <c r="K201" s="3"/>
      <c r="L201" s="3"/>
      <c r="M201" s="3"/>
      <c r="N201" s="3">
        <v>19930</v>
      </c>
      <c r="O201" s="3">
        <v>13063</v>
      </c>
      <c r="P201" s="3">
        <v>7607</v>
      </c>
      <c r="Q201" s="3"/>
      <c r="R201" s="3"/>
      <c r="S201" s="3"/>
      <c r="Y201" s="3">
        <v>15624</v>
      </c>
      <c r="Z201" s="3">
        <v>5583</v>
      </c>
      <c r="AA201" s="3">
        <v>5252</v>
      </c>
      <c r="AB201" s="3"/>
      <c r="AC201" s="3"/>
      <c r="AD201" s="3">
        <v>3378</v>
      </c>
      <c r="AE201" s="3">
        <v>3530</v>
      </c>
      <c r="AF201" s="3">
        <v>37996</v>
      </c>
      <c r="AG201" s="3">
        <v>5838</v>
      </c>
      <c r="AH201" s="3">
        <v>5776</v>
      </c>
      <c r="AI201" s="3">
        <v>2453</v>
      </c>
      <c r="AJ201" s="3">
        <v>4466</v>
      </c>
      <c r="AO201" s="3"/>
      <c r="AZ201" s="3">
        <v>271590</v>
      </c>
      <c r="BA201" s="5">
        <v>102196</v>
      </c>
      <c r="BB201" s="5">
        <v>50969</v>
      </c>
      <c r="BC201" s="5">
        <v>36641</v>
      </c>
      <c r="BD201" s="5">
        <v>38652</v>
      </c>
      <c r="BF201" s="5">
        <v>39254</v>
      </c>
      <c r="BQ201" s="5">
        <v>730656</v>
      </c>
      <c r="BR201" s="3">
        <f>SUM(102196+103766)</f>
        <v>205962</v>
      </c>
      <c r="BS201" s="3">
        <v>215213</v>
      </c>
      <c r="BT201" s="3">
        <f>SUM(36641+99655)</f>
        <v>136296</v>
      </c>
      <c r="BU201" s="3">
        <f>SUM(38652+147491)</f>
        <v>186143</v>
      </c>
      <c r="BV201" s="3">
        <v>506035</v>
      </c>
      <c r="BZ201" s="1">
        <v>43945</v>
      </c>
      <c r="CA201" s="3">
        <f t="shared" si="66"/>
        <v>8130</v>
      </c>
      <c r="CB201" s="3">
        <f t="shared" si="87"/>
        <v>34736</v>
      </c>
      <c r="CE201" s="1">
        <v>43945</v>
      </c>
      <c r="CF201">
        <f t="shared" si="68"/>
        <v>2207</v>
      </c>
      <c r="CG201" s="3">
        <f t="shared" si="69"/>
        <v>5814</v>
      </c>
      <c r="CJ201" s="1">
        <v>43945</v>
      </c>
      <c r="CK201">
        <f t="shared" si="70"/>
        <v>4946</v>
      </c>
      <c r="CL201" s="3">
        <f t="shared" si="71"/>
        <v>20137</v>
      </c>
      <c r="CO201" s="1">
        <v>43945</v>
      </c>
      <c r="CP201">
        <f t="shared" si="72"/>
        <v>1350</v>
      </c>
      <c r="CQ201" s="3">
        <f t="shared" si="82"/>
        <v>7975</v>
      </c>
      <c r="CT201" s="1">
        <v>43945</v>
      </c>
      <c r="CU201">
        <f t="shared" si="73"/>
        <v>1599</v>
      </c>
      <c r="CV201" s="3">
        <f t="shared" si="89"/>
        <v>7029</v>
      </c>
      <c r="CY201" s="1">
        <v>43945</v>
      </c>
      <c r="CZ201">
        <f t="shared" si="75"/>
        <v>1885</v>
      </c>
      <c r="DA201" s="3">
        <f t="shared" si="85"/>
        <v>11862</v>
      </c>
      <c r="DG201" s="1">
        <v>43945</v>
      </c>
      <c r="DH201" s="3">
        <f t="shared" si="88"/>
        <v>5499</v>
      </c>
      <c r="DI201" s="3">
        <f t="shared" si="77"/>
        <v>1669</v>
      </c>
      <c r="DJ201" s="3">
        <f t="shared" si="78"/>
        <v>3431</v>
      </c>
      <c r="DK201" s="3">
        <f t="shared" si="79"/>
        <v>804</v>
      </c>
      <c r="DL201" s="3">
        <f t="shared" si="90"/>
        <v>887</v>
      </c>
      <c r="DM201" s="3">
        <f t="shared" si="86"/>
        <v>1605</v>
      </c>
    </row>
    <row r="202" spans="1:117" x14ac:dyDescent="0.2">
      <c r="A202" s="3">
        <v>58516</v>
      </c>
      <c r="B202" s="3">
        <v>59644.4142415846</v>
      </c>
      <c r="C202" s="3"/>
      <c r="D202" s="3">
        <v>44247</v>
      </c>
      <c r="E202" s="3"/>
      <c r="F202" s="3"/>
      <c r="G202" s="3"/>
      <c r="H202" s="3"/>
      <c r="I202" s="3"/>
      <c r="J202" s="3"/>
      <c r="K202" s="3"/>
      <c r="L202" s="3"/>
      <c r="M202" s="3"/>
      <c r="N202" s="3">
        <v>20085</v>
      </c>
      <c r="O202" s="3">
        <v>13221</v>
      </c>
      <c r="P202" s="3">
        <v>7691</v>
      </c>
      <c r="Q202" s="3"/>
      <c r="R202" s="3"/>
      <c r="S202" s="3"/>
      <c r="Y202" s="3">
        <v>15835</v>
      </c>
      <c r="Z202" s="3">
        <v>5697</v>
      </c>
      <c r="AA202" s="3">
        <v>5409</v>
      </c>
      <c r="AB202" s="3"/>
      <c r="AC202" s="3"/>
      <c r="AD202" s="3">
        <v>3396</v>
      </c>
      <c r="AE202" s="3">
        <v>3593</v>
      </c>
      <c r="AF202" s="3">
        <v>38477</v>
      </c>
      <c r="AG202" s="3">
        <v>5948</v>
      </c>
      <c r="AH202" s="3">
        <v>5873</v>
      </c>
      <c r="AI202" s="3">
        <v>2468</v>
      </c>
      <c r="AJ202" s="3">
        <v>4558</v>
      </c>
      <c r="AO202" s="3"/>
      <c r="AZ202" s="3">
        <v>282143</v>
      </c>
      <c r="BA202" s="5">
        <v>105523</v>
      </c>
      <c r="BB202" s="5">
        <v>53348</v>
      </c>
      <c r="BC202" s="5">
        <v>37203</v>
      </c>
      <c r="BD202" s="5">
        <v>40049</v>
      </c>
      <c r="BF202" s="5">
        <v>41137</v>
      </c>
      <c r="BQ202" s="3">
        <v>777568</v>
      </c>
      <c r="BR202" s="3">
        <f>SUM(105523+108163)</f>
        <v>213686</v>
      </c>
      <c r="BS202" s="3">
        <v>226845</v>
      </c>
      <c r="BT202" s="3">
        <f>SUM(37203+106841)</f>
        <v>144044</v>
      </c>
      <c r="BU202" s="3">
        <f>SUM(40049+152886)</f>
        <v>192935</v>
      </c>
      <c r="BV202" s="3">
        <v>526084</v>
      </c>
      <c r="BZ202" s="1">
        <v>43946</v>
      </c>
      <c r="CA202" s="3">
        <f t="shared" si="66"/>
        <v>10553</v>
      </c>
      <c r="CB202" s="3">
        <f t="shared" si="87"/>
        <v>46912</v>
      </c>
      <c r="CE202" s="1">
        <v>43946</v>
      </c>
      <c r="CF202">
        <f t="shared" si="68"/>
        <v>3327</v>
      </c>
      <c r="CG202" s="3">
        <f t="shared" si="69"/>
        <v>7724</v>
      </c>
      <c r="CJ202" s="1">
        <v>43946</v>
      </c>
      <c r="CK202">
        <f t="shared" si="70"/>
        <v>2379</v>
      </c>
      <c r="CL202" s="3">
        <f t="shared" si="71"/>
        <v>11632</v>
      </c>
      <c r="CO202" s="1">
        <v>43946</v>
      </c>
      <c r="CP202">
        <f t="shared" si="72"/>
        <v>562</v>
      </c>
      <c r="CQ202" s="3">
        <f t="shared" si="82"/>
        <v>7748</v>
      </c>
      <c r="CT202" s="1">
        <v>43946</v>
      </c>
      <c r="CU202">
        <f t="shared" si="73"/>
        <v>1397</v>
      </c>
      <c r="CV202" s="3">
        <f t="shared" si="89"/>
        <v>6792</v>
      </c>
      <c r="CY202" s="1">
        <v>43946</v>
      </c>
      <c r="CZ202">
        <f t="shared" si="75"/>
        <v>1883</v>
      </c>
      <c r="DA202" s="3">
        <f t="shared" si="85"/>
        <v>20049</v>
      </c>
      <c r="DG202" s="1">
        <v>43946</v>
      </c>
      <c r="DH202" s="3">
        <f t="shared" si="88"/>
        <v>5763</v>
      </c>
      <c r="DI202" s="3">
        <f t="shared" si="77"/>
        <v>1903</v>
      </c>
      <c r="DJ202" s="3">
        <f t="shared" si="78"/>
        <v>1863</v>
      </c>
      <c r="DK202" s="3">
        <f t="shared" si="79"/>
        <v>381</v>
      </c>
      <c r="DL202" s="3">
        <f t="shared" si="90"/>
        <v>734</v>
      </c>
      <c r="DM202" s="3">
        <f t="shared" si="86"/>
        <v>926</v>
      </c>
    </row>
    <row r="203" spans="1:117" x14ac:dyDescent="0.2">
      <c r="A203" s="3">
        <v>58841</v>
      </c>
      <c r="B203" s="3">
        <v>60460.1388287714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>
        <v>20232</v>
      </c>
      <c r="O203" s="3">
        <v>13334</v>
      </c>
      <c r="P203" s="3">
        <v>7724</v>
      </c>
      <c r="Q203" s="3"/>
      <c r="R203" s="3"/>
      <c r="S203" s="3"/>
      <c r="Y203" s="3">
        <v>16032</v>
      </c>
      <c r="Z203" s="3">
        <v>5797</v>
      </c>
      <c r="AA203" s="3">
        <v>5555</v>
      </c>
      <c r="AB203" s="3"/>
      <c r="AC203" s="3"/>
      <c r="AD203" s="3">
        <v>3440</v>
      </c>
      <c r="AE203" s="3">
        <v>3643</v>
      </c>
      <c r="AF203" s="3">
        <v>39670</v>
      </c>
      <c r="AG203" s="3">
        <v>6028</v>
      </c>
      <c r="AH203" s="3">
        <v>5963</v>
      </c>
      <c r="AI203" s="3">
        <v>2480</v>
      </c>
      <c r="AJ203" s="3">
        <v>4767</v>
      </c>
      <c r="AO203" s="3"/>
      <c r="AZ203" s="3">
        <v>288045</v>
      </c>
      <c r="BA203" s="5">
        <v>109038</v>
      </c>
      <c r="BB203" s="5">
        <v>54938</v>
      </c>
      <c r="BC203" s="5">
        <v>37778</v>
      </c>
      <c r="BD203" s="5">
        <v>41165</v>
      </c>
      <c r="BF203" s="5">
        <v>42164</v>
      </c>
      <c r="BQ203" s="3">
        <v>805350</v>
      </c>
      <c r="BR203" s="3">
        <f>SUM(109038+114106)</f>
        <v>223144</v>
      </c>
      <c r="BS203" s="3">
        <v>236100</v>
      </c>
      <c r="BT203" s="3">
        <f>SUM(37778+113228)</f>
        <v>151006</v>
      </c>
      <c r="BU203" s="3">
        <f>SUM(41165+157428)</f>
        <v>198593</v>
      </c>
      <c r="BV203" s="3">
        <v>553509</v>
      </c>
      <c r="BZ203" s="1">
        <v>43947</v>
      </c>
      <c r="CA203" s="3">
        <f t="shared" si="66"/>
        <v>5902</v>
      </c>
      <c r="CB203" s="3">
        <f t="shared" si="87"/>
        <v>27782</v>
      </c>
      <c r="CE203" s="1">
        <v>43947</v>
      </c>
      <c r="CF203">
        <f t="shared" si="68"/>
        <v>3515</v>
      </c>
      <c r="CG203" s="3">
        <f t="shared" si="69"/>
        <v>9458</v>
      </c>
      <c r="CJ203" s="1">
        <v>43947</v>
      </c>
      <c r="CK203">
        <f t="shared" si="70"/>
        <v>1590</v>
      </c>
      <c r="CL203" s="3">
        <f t="shared" si="71"/>
        <v>9255</v>
      </c>
      <c r="CO203" s="1">
        <v>43947</v>
      </c>
      <c r="CP203">
        <f t="shared" si="72"/>
        <v>575</v>
      </c>
      <c r="CQ203" s="3">
        <f t="shared" ref="CQ203:CQ212" si="91">SUM(BT203-BT202)</f>
        <v>6962</v>
      </c>
      <c r="CT203" s="1">
        <v>43947</v>
      </c>
      <c r="CU203">
        <f t="shared" si="73"/>
        <v>1116</v>
      </c>
      <c r="CV203" s="3">
        <f t="shared" si="89"/>
        <v>5658</v>
      </c>
      <c r="CY203" s="1">
        <v>43947</v>
      </c>
      <c r="CZ203">
        <f t="shared" si="75"/>
        <v>1027</v>
      </c>
      <c r="DA203" s="3">
        <f t="shared" si="85"/>
        <v>27425</v>
      </c>
      <c r="DG203" s="1">
        <v>43947</v>
      </c>
      <c r="DH203" s="3">
        <f t="shared" si="88"/>
        <v>3913</v>
      </c>
      <c r="DI203" s="3">
        <f t="shared" si="77"/>
        <v>1640</v>
      </c>
      <c r="DJ203" s="3">
        <f t="shared" si="78"/>
        <v>1225</v>
      </c>
      <c r="DK203" s="3"/>
      <c r="DL203" s="3">
        <f t="shared" si="90"/>
        <v>620</v>
      </c>
      <c r="DM203" s="3">
        <f t="shared" si="86"/>
        <v>903</v>
      </c>
    </row>
    <row r="204" spans="1:117" x14ac:dyDescent="0.2">
      <c r="A204" s="3">
        <v>59132</v>
      </c>
      <c r="B204" s="3">
        <v>61275.863415958302</v>
      </c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>
        <v>20437</v>
      </c>
      <c r="O204" s="3">
        <v>13457</v>
      </c>
      <c r="P204" s="3">
        <v>7759</v>
      </c>
      <c r="Q204" s="3"/>
      <c r="R204" s="3"/>
      <c r="S204" s="3"/>
      <c r="Y204" s="3">
        <v>16140</v>
      </c>
      <c r="Z204" s="3">
        <v>5872</v>
      </c>
      <c r="AA204" s="3">
        <v>5619</v>
      </c>
      <c r="AB204" s="3"/>
      <c r="AC204" s="3"/>
      <c r="AD204" s="3">
        <v>3470</v>
      </c>
      <c r="AE204" s="3">
        <v>3677</v>
      </c>
      <c r="AF204" s="3">
        <v>40932</v>
      </c>
      <c r="AG204" s="3">
        <v>6142</v>
      </c>
      <c r="AH204" s="3">
        <v>6090</v>
      </c>
      <c r="AI204" s="3">
        <v>2508</v>
      </c>
      <c r="AJ204" s="3">
        <v>4866</v>
      </c>
      <c r="AO204" s="3"/>
      <c r="AZ204" s="3">
        <v>291996</v>
      </c>
      <c r="BA204" s="5">
        <v>111188</v>
      </c>
      <c r="BB204" s="5">
        <v>56462</v>
      </c>
      <c r="BC204" s="5">
        <v>38210</v>
      </c>
      <c r="BD204" s="5">
        <v>42050</v>
      </c>
      <c r="BF204" s="5">
        <v>43464</v>
      </c>
      <c r="BQ204" s="3">
        <v>826095</v>
      </c>
      <c r="BR204" s="3">
        <f>SUM(111188+116587)</f>
        <v>227775</v>
      </c>
      <c r="BS204" s="3">
        <v>244887</v>
      </c>
      <c r="BT204" s="3">
        <f>SUM(38210+119550)</f>
        <v>157760</v>
      </c>
      <c r="BU204" s="3">
        <f>SUM(42050+161372)</f>
        <v>203422</v>
      </c>
      <c r="BV204" s="3">
        <v>577608</v>
      </c>
      <c r="BZ204" s="1">
        <v>43948</v>
      </c>
      <c r="CA204" s="3">
        <f t="shared" si="66"/>
        <v>3951</v>
      </c>
      <c r="CB204" s="3">
        <f t="shared" si="87"/>
        <v>20745</v>
      </c>
      <c r="CE204" s="1">
        <v>43948</v>
      </c>
      <c r="CF204">
        <f t="shared" si="68"/>
        <v>2150</v>
      </c>
      <c r="CG204" s="3">
        <f t="shared" si="69"/>
        <v>4631</v>
      </c>
      <c r="CJ204" s="1">
        <v>43948</v>
      </c>
      <c r="CK204">
        <f t="shared" si="70"/>
        <v>1524</v>
      </c>
      <c r="CL204" s="3">
        <f t="shared" si="71"/>
        <v>8787</v>
      </c>
      <c r="CO204" s="1">
        <v>43948</v>
      </c>
      <c r="CP204">
        <f t="shared" si="72"/>
        <v>432</v>
      </c>
      <c r="CQ204" s="3">
        <f t="shared" si="91"/>
        <v>6754</v>
      </c>
      <c r="CT204" s="1">
        <v>43948</v>
      </c>
      <c r="CU204">
        <f t="shared" si="73"/>
        <v>885</v>
      </c>
      <c r="CV204" s="3">
        <f t="shared" si="89"/>
        <v>4829</v>
      </c>
      <c r="CY204" s="1">
        <v>43948</v>
      </c>
      <c r="CZ204">
        <f t="shared" si="75"/>
        <v>1300</v>
      </c>
      <c r="DA204" s="3">
        <f>SUM(BV204-BV203)</f>
        <v>24099</v>
      </c>
      <c r="DG204" s="1">
        <v>43948</v>
      </c>
      <c r="DH204" s="3">
        <f t="shared" si="88"/>
        <v>2521</v>
      </c>
      <c r="DI204" s="3">
        <f t="shared" si="77"/>
        <v>910</v>
      </c>
      <c r="DJ204" s="3">
        <f t="shared" si="78"/>
        <v>1146</v>
      </c>
      <c r="DK204" s="3"/>
      <c r="DL204" s="3">
        <f t="shared" si="90"/>
        <v>443</v>
      </c>
      <c r="DM204" s="3"/>
    </row>
    <row r="205" spans="1:117" x14ac:dyDescent="0.2">
      <c r="A205" s="3">
        <v>59324</v>
      </c>
      <c r="B205" s="3">
        <v>62091.588003145203</v>
      </c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>
        <v>20539</v>
      </c>
      <c r="O205" s="3">
        <v>13575</v>
      </c>
      <c r="P205" s="3">
        <v>7812</v>
      </c>
      <c r="Q205" s="3"/>
      <c r="R205" s="3"/>
      <c r="S205" s="3"/>
      <c r="Y205" s="3">
        <v>16340</v>
      </c>
      <c r="Z205" s="3">
        <v>6012</v>
      </c>
      <c r="AA205" s="3">
        <v>5689</v>
      </c>
      <c r="AB205" s="3"/>
      <c r="AC205" s="3"/>
      <c r="AD205" s="3">
        <v>3491</v>
      </c>
      <c r="AE205" s="3">
        <v>3719</v>
      </c>
      <c r="AF205" s="3">
        <v>42063</v>
      </c>
      <c r="AG205" s="3">
        <v>6317</v>
      </c>
      <c r="AH205" s="3">
        <v>6245</v>
      </c>
      <c r="AI205" s="3">
        <v>2520</v>
      </c>
      <c r="AJ205" s="3">
        <v>4975</v>
      </c>
      <c r="AO205" s="3"/>
      <c r="AZ205" s="3">
        <v>295106</v>
      </c>
      <c r="BA205" s="5">
        <v>113856</v>
      </c>
      <c r="BB205" s="5">
        <v>58302</v>
      </c>
      <c r="BC205" s="5">
        <v>39262</v>
      </c>
      <c r="BD205" s="5">
        <v>43264</v>
      </c>
      <c r="BF205" s="5">
        <v>45031</v>
      </c>
      <c r="BQ205" s="3">
        <v>844994</v>
      </c>
      <c r="BR205" s="3">
        <f>SUM(113856+120503)</f>
        <v>234359</v>
      </c>
      <c r="BS205" s="3">
        <v>254500</v>
      </c>
      <c r="BT205" s="3">
        <f>SUM(39262+125543)</f>
        <v>164805</v>
      </c>
      <c r="BU205" s="3">
        <f>SUM(43264+165824)</f>
        <v>209088</v>
      </c>
      <c r="BV205" s="3">
        <v>603139</v>
      </c>
      <c r="BZ205" s="1">
        <v>43949</v>
      </c>
      <c r="CA205" s="3">
        <f t="shared" si="66"/>
        <v>3110</v>
      </c>
      <c r="CB205" s="3">
        <f t="shared" si="87"/>
        <v>18899</v>
      </c>
      <c r="CE205" s="1">
        <v>43949</v>
      </c>
      <c r="CF205">
        <f t="shared" si="68"/>
        <v>2668</v>
      </c>
      <c r="CG205" s="3">
        <f t="shared" si="69"/>
        <v>6584</v>
      </c>
      <c r="CJ205" s="1">
        <v>43949</v>
      </c>
      <c r="CK205">
        <f t="shared" si="70"/>
        <v>1840</v>
      </c>
      <c r="CL205" s="3">
        <f t="shared" si="71"/>
        <v>9613</v>
      </c>
      <c r="CO205" s="1">
        <v>43949</v>
      </c>
      <c r="CP205">
        <f t="shared" si="72"/>
        <v>1052</v>
      </c>
      <c r="CQ205" s="3">
        <f t="shared" si="91"/>
        <v>7045</v>
      </c>
      <c r="CT205" s="1">
        <v>43949</v>
      </c>
      <c r="CU205">
        <f t="shared" si="73"/>
        <v>1214</v>
      </c>
      <c r="CV205" s="3">
        <f t="shared" si="89"/>
        <v>5666</v>
      </c>
      <c r="CY205" s="1">
        <v>43949</v>
      </c>
      <c r="CZ205">
        <f t="shared" si="75"/>
        <v>1567</v>
      </c>
      <c r="DA205" s="3">
        <f>SUM(BV205-BV204)</f>
        <v>25531</v>
      </c>
      <c r="DG205" s="1">
        <v>43949</v>
      </c>
      <c r="DH205" s="3">
        <f t="shared" si="88"/>
        <v>2015</v>
      </c>
      <c r="DI205" s="3">
        <f t="shared" si="77"/>
        <v>1257</v>
      </c>
      <c r="DJ205" s="3">
        <f t="shared" si="78"/>
        <v>1409</v>
      </c>
      <c r="DK205" s="3"/>
      <c r="DL205" s="3">
        <f t="shared" si="90"/>
        <v>699</v>
      </c>
      <c r="DM205" s="3"/>
    </row>
    <row r="206" spans="1:117" x14ac:dyDescent="0.2">
      <c r="A206" s="3">
        <v>59508</v>
      </c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>
        <v>23062.2889667784</v>
      </c>
      <c r="O206" s="3">
        <v>14915.1313131313</v>
      </c>
      <c r="Q206" s="3"/>
      <c r="R206" s="3"/>
      <c r="S206" s="3"/>
      <c r="Y206" s="3">
        <v>16487</v>
      </c>
      <c r="Z206" s="3">
        <v>6063</v>
      </c>
      <c r="AA206" s="3">
        <v>5754</v>
      </c>
      <c r="AB206" s="3"/>
      <c r="AC206" s="3"/>
      <c r="AD206" s="3">
        <v>3513</v>
      </c>
      <c r="AE206" s="3">
        <v>3735</v>
      </c>
      <c r="AF206" s="3">
        <v>43025</v>
      </c>
      <c r="AG206" s="3">
        <v>6436</v>
      </c>
      <c r="AH206" s="3">
        <v>6351</v>
      </c>
      <c r="AI206" s="3">
        <v>2537</v>
      </c>
      <c r="AJ206" s="3">
        <v>5144</v>
      </c>
      <c r="AO206" s="3"/>
      <c r="AZ206" s="3">
        <v>299691</v>
      </c>
      <c r="BA206" s="5">
        <v>116264</v>
      </c>
      <c r="BB206" s="5">
        <v>60265</v>
      </c>
      <c r="BC206" s="5">
        <v>40399</v>
      </c>
      <c r="BD206" s="5">
        <v>44366</v>
      </c>
      <c r="BF206" s="5">
        <v>46500</v>
      </c>
      <c r="BQ206" s="3">
        <v>872481</v>
      </c>
      <c r="BR206" s="3">
        <f>SUM(116264+125054)</f>
        <v>241318</v>
      </c>
      <c r="BS206" s="3">
        <v>265618</v>
      </c>
      <c r="BT206" s="3">
        <f>SUM(40399+131953)</f>
        <v>172352</v>
      </c>
      <c r="BU206" s="3">
        <f>SUM(44366+170517)</f>
        <v>214883</v>
      </c>
      <c r="BV206" s="3">
        <v>625337</v>
      </c>
      <c r="BZ206" s="1">
        <v>43950</v>
      </c>
      <c r="CA206" s="3">
        <f t="shared" si="66"/>
        <v>4585</v>
      </c>
      <c r="CB206" s="3">
        <f t="shared" si="87"/>
        <v>27487</v>
      </c>
      <c r="CE206" s="1">
        <v>43950</v>
      </c>
      <c r="CF206">
        <f t="shared" si="68"/>
        <v>2408</v>
      </c>
      <c r="CG206" s="3">
        <f t="shared" si="69"/>
        <v>6959</v>
      </c>
      <c r="CJ206" s="1">
        <v>43950</v>
      </c>
      <c r="CK206">
        <f t="shared" si="70"/>
        <v>1963</v>
      </c>
      <c r="CL206" s="3">
        <f t="shared" si="71"/>
        <v>11118</v>
      </c>
      <c r="CO206" s="1">
        <v>43950</v>
      </c>
      <c r="CP206">
        <f t="shared" si="72"/>
        <v>1137</v>
      </c>
      <c r="CQ206" s="3">
        <f t="shared" si="91"/>
        <v>7547</v>
      </c>
      <c r="CT206" s="1">
        <v>43950</v>
      </c>
      <c r="CU206">
        <f t="shared" si="73"/>
        <v>1102</v>
      </c>
      <c r="CV206" s="3">
        <f t="shared" si="89"/>
        <v>5795</v>
      </c>
      <c r="CY206" s="1">
        <v>43950</v>
      </c>
      <c r="CZ206">
        <f t="shared" si="75"/>
        <v>1469</v>
      </c>
      <c r="DA206" s="3">
        <f t="shared" ref="DA206:DA236" si="92">SUM(BV206-BV205)</f>
        <v>22198</v>
      </c>
      <c r="DG206" s="1">
        <v>43950</v>
      </c>
      <c r="DH206" s="3">
        <f t="shared" si="88"/>
        <v>3028</v>
      </c>
      <c r="DI206" s="3">
        <f t="shared" si="77"/>
        <v>1359</v>
      </c>
      <c r="DJ206" s="3">
        <f t="shared" si="78"/>
        <v>1623</v>
      </c>
      <c r="DK206" s="3">
        <f>SUM(AG30+AH30+AI30+AJ30+AK30)</f>
        <v>606</v>
      </c>
      <c r="DL206" s="3">
        <f t="shared" si="90"/>
        <v>637</v>
      </c>
      <c r="DM206" s="3">
        <f t="shared" ref="DM206:DM236" si="93">SUM(BA30+BB30+BC30+BD30+BE30)</f>
        <v>1819</v>
      </c>
    </row>
    <row r="207" spans="1:117" x14ac:dyDescent="0.2">
      <c r="A207" s="3">
        <v>59752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Q207" s="3"/>
      <c r="R207" s="3"/>
      <c r="S207" s="3"/>
      <c r="Y207" s="3">
        <v>16645</v>
      </c>
      <c r="Z207" s="3">
        <v>6154</v>
      </c>
      <c r="AA207" s="3">
        <v>5844</v>
      </c>
      <c r="AB207" s="3"/>
      <c r="AC207" s="3"/>
      <c r="AD207" s="3">
        <v>3550</v>
      </c>
      <c r="AE207" s="3">
        <v>3763</v>
      </c>
      <c r="AF207" s="3">
        <v>44029</v>
      </c>
      <c r="AG207" s="3">
        <v>6561</v>
      </c>
      <c r="AH207" s="3">
        <v>6460</v>
      </c>
      <c r="AI207" s="3">
        <v>2593</v>
      </c>
      <c r="AJ207" s="3">
        <v>5313</v>
      </c>
      <c r="AO207" s="3"/>
      <c r="AZ207" s="3">
        <v>304372</v>
      </c>
      <c r="BA207" s="5">
        <v>118652</v>
      </c>
      <c r="BB207" s="5">
        <v>62205</v>
      </c>
      <c r="BC207" s="5">
        <v>41379</v>
      </c>
      <c r="BD207" s="5">
        <v>45763</v>
      </c>
      <c r="BF207" s="5">
        <v>48917</v>
      </c>
      <c r="BQ207" s="3">
        <v>900636</v>
      </c>
      <c r="BR207" s="3">
        <f>SUM(118652+129266)</f>
        <v>247918</v>
      </c>
      <c r="BS207" s="3">
        <v>275647</v>
      </c>
      <c r="BT207" s="3">
        <f>SUM(41379+138888)</f>
        <v>180267</v>
      </c>
      <c r="BU207" s="3">
        <f>SUM(45763+175602)</f>
        <v>221365</v>
      </c>
      <c r="BV207" s="3">
        <v>654985</v>
      </c>
      <c r="BZ207" s="1">
        <v>43951</v>
      </c>
      <c r="CA207" s="3">
        <f t="shared" si="66"/>
        <v>4681</v>
      </c>
      <c r="CB207" s="3">
        <f t="shared" si="87"/>
        <v>28155</v>
      </c>
      <c r="CE207" s="1">
        <v>43951</v>
      </c>
      <c r="CF207">
        <f t="shared" si="68"/>
        <v>2388</v>
      </c>
      <c r="CG207" s="3">
        <f t="shared" si="69"/>
        <v>6600</v>
      </c>
      <c r="CJ207" s="1">
        <v>43951</v>
      </c>
      <c r="CK207">
        <f t="shared" si="70"/>
        <v>1940</v>
      </c>
      <c r="CL207" s="3">
        <f t="shared" si="71"/>
        <v>10029</v>
      </c>
      <c r="CO207" s="1">
        <v>43951</v>
      </c>
      <c r="CP207">
        <f t="shared" si="72"/>
        <v>980</v>
      </c>
      <c r="CQ207" s="3">
        <f t="shared" si="91"/>
        <v>7915</v>
      </c>
      <c r="CT207" s="1">
        <v>43951</v>
      </c>
      <c r="CU207">
        <f t="shared" si="73"/>
        <v>1397</v>
      </c>
      <c r="CV207" s="3">
        <f t="shared" si="89"/>
        <v>6482</v>
      </c>
      <c r="CY207" s="1">
        <v>43951</v>
      </c>
      <c r="CZ207">
        <f t="shared" si="75"/>
        <v>2417</v>
      </c>
      <c r="DA207" s="3">
        <f t="shared" si="92"/>
        <v>29648</v>
      </c>
      <c r="DG207" s="1">
        <v>43951</v>
      </c>
      <c r="DH207" s="3">
        <f t="shared" si="88"/>
        <v>2918</v>
      </c>
      <c r="DI207" s="3">
        <f t="shared" si="77"/>
        <v>1183</v>
      </c>
      <c r="DJ207" s="3">
        <f t="shared" si="78"/>
        <v>1499</v>
      </c>
      <c r="DK207" s="3">
        <f>SUM(AG31+AH31+AI31+AJ31+AK31)</f>
        <v>469</v>
      </c>
      <c r="DL207" s="3">
        <f t="shared" si="90"/>
        <v>757</v>
      </c>
      <c r="DM207" s="3">
        <f t="shared" si="93"/>
        <v>1172</v>
      </c>
    </row>
    <row r="208" spans="1:117" x14ac:dyDescent="0.2">
      <c r="A208" s="3">
        <v>60025</v>
      </c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Q208" s="3"/>
      <c r="R208" s="3"/>
      <c r="S208" s="3"/>
      <c r="Y208" s="3">
        <v>16840</v>
      </c>
      <c r="Z208" s="3">
        <v>6268</v>
      </c>
      <c r="AA208" s="3">
        <v>5969</v>
      </c>
      <c r="AB208" s="3"/>
      <c r="AC208" s="3"/>
      <c r="AD208" s="3">
        <v>3586</v>
      </c>
      <c r="AE208" s="3">
        <v>3784</v>
      </c>
      <c r="AF208" s="3">
        <v>44954</v>
      </c>
      <c r="AG208" s="3">
        <v>6703</v>
      </c>
      <c r="AH208" s="3">
        <v>6571</v>
      </c>
      <c r="AI208" s="3">
        <v>2623</v>
      </c>
      <c r="AJ208" s="3">
        <v>5439</v>
      </c>
      <c r="AO208" s="3"/>
      <c r="AZ208" s="3">
        <v>308314</v>
      </c>
      <c r="BA208" s="5">
        <v>121190</v>
      </c>
      <c r="BB208" s="5">
        <v>64311</v>
      </c>
      <c r="BC208" s="5">
        <v>42356</v>
      </c>
      <c r="BD208" s="5">
        <v>46971</v>
      </c>
      <c r="BF208" s="5">
        <v>50442</v>
      </c>
      <c r="BQ208" s="3">
        <v>927438</v>
      </c>
      <c r="BR208" s="3">
        <f>SUM(121190+135355)</f>
        <v>256545</v>
      </c>
      <c r="BS208" s="3">
        <v>289636</v>
      </c>
      <c r="BT208" s="3">
        <f>SUM(42356+148149)</f>
        <v>190505</v>
      </c>
      <c r="BU208" s="3">
        <f>SUM(180477+46971)</f>
        <v>227448</v>
      </c>
      <c r="BV208" s="3">
        <v>685048</v>
      </c>
      <c r="BZ208" s="1">
        <v>43952</v>
      </c>
      <c r="CA208" s="3">
        <f t="shared" si="66"/>
        <v>3942</v>
      </c>
      <c r="CB208" s="3">
        <f t="shared" si="87"/>
        <v>26802</v>
      </c>
      <c r="CE208" s="1">
        <v>43952</v>
      </c>
      <c r="CF208">
        <f t="shared" si="68"/>
        <v>2538</v>
      </c>
      <c r="CG208" s="3">
        <f t="shared" si="69"/>
        <v>8627</v>
      </c>
      <c r="CJ208" s="1">
        <v>43952</v>
      </c>
      <c r="CK208">
        <f t="shared" si="70"/>
        <v>2106</v>
      </c>
      <c r="CL208" s="3">
        <f t="shared" si="71"/>
        <v>13989</v>
      </c>
      <c r="CO208" s="1">
        <v>43952</v>
      </c>
      <c r="CP208">
        <f t="shared" si="72"/>
        <v>977</v>
      </c>
      <c r="CQ208" s="3">
        <f t="shared" si="91"/>
        <v>10238</v>
      </c>
      <c r="CT208" s="1">
        <v>43952</v>
      </c>
      <c r="CU208">
        <f t="shared" si="73"/>
        <v>1208</v>
      </c>
      <c r="CV208" s="3">
        <f t="shared" si="89"/>
        <v>6083</v>
      </c>
      <c r="CY208" s="1">
        <v>43952</v>
      </c>
      <c r="CZ208">
        <f t="shared" si="75"/>
        <v>1525</v>
      </c>
      <c r="DA208" s="3">
        <f t="shared" si="92"/>
        <v>30063</v>
      </c>
      <c r="DG208" s="1">
        <v>43952</v>
      </c>
      <c r="DH208" s="3">
        <f t="shared" si="88"/>
        <v>2511</v>
      </c>
      <c r="DI208" s="3">
        <f t="shared" si="77"/>
        <v>1330</v>
      </c>
      <c r="DJ208" s="3">
        <f t="shared" si="78"/>
        <v>1565</v>
      </c>
      <c r="DK208" s="3">
        <f>SUM(AG32+AH32+AI32+AJ32+AK32)</f>
        <v>542</v>
      </c>
      <c r="DL208" s="3">
        <f t="shared" si="90"/>
        <v>602</v>
      </c>
      <c r="DM208" s="3">
        <f t="shared" si="93"/>
        <v>1315</v>
      </c>
    </row>
    <row r="209" spans="1:117" x14ac:dyDescent="0.2">
      <c r="A209" s="3">
        <v>60236</v>
      </c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Q209" s="3"/>
      <c r="R209" s="3"/>
      <c r="S209" s="3"/>
      <c r="Y209" s="3">
        <v>17057</v>
      </c>
      <c r="Z209" s="3">
        <v>6366</v>
      </c>
      <c r="AA209" s="3">
        <v>6060</v>
      </c>
      <c r="AB209" s="3"/>
      <c r="AC209" s="3"/>
      <c r="AD209" s="3">
        <v>3613</v>
      </c>
      <c r="AE209" s="3">
        <v>3838</v>
      </c>
      <c r="AF209" s="3">
        <v>45952</v>
      </c>
      <c r="AG209" s="3">
        <v>6799</v>
      </c>
      <c r="AH209" s="3">
        <v>6900</v>
      </c>
      <c r="AI209" s="3">
        <v>2647</v>
      </c>
      <c r="AJ209" s="3">
        <v>5601</v>
      </c>
      <c r="AO209" s="3"/>
      <c r="AZ209" s="3">
        <v>312977</v>
      </c>
      <c r="BA209" s="5">
        <v>123717</v>
      </c>
      <c r="BB209" s="5">
        <v>66263</v>
      </c>
      <c r="BC209" s="5">
        <v>43207</v>
      </c>
      <c r="BD209" s="5">
        <v>48305</v>
      </c>
      <c r="BF209" s="5">
        <v>52197</v>
      </c>
      <c r="BQ209" s="3">
        <v>959017</v>
      </c>
      <c r="BR209" s="3">
        <f>SUM(123717+138595)</f>
        <v>262312</v>
      </c>
      <c r="BS209" s="3">
        <v>298994</v>
      </c>
      <c r="BT209" s="3">
        <f>SUM(43207+158502)</f>
        <v>201709</v>
      </c>
      <c r="BU209" s="3">
        <f>SUM(48305+187071)</f>
        <v>235376</v>
      </c>
      <c r="BV209" s="3">
        <v>715751</v>
      </c>
      <c r="BZ209" s="1">
        <v>43953</v>
      </c>
      <c r="CA209" s="3">
        <f t="shared" si="66"/>
        <v>4663</v>
      </c>
      <c r="CB209" s="3">
        <f t="shared" si="87"/>
        <v>31579</v>
      </c>
      <c r="CE209" s="1">
        <v>43953</v>
      </c>
      <c r="CF209">
        <f t="shared" si="68"/>
        <v>2527</v>
      </c>
      <c r="CG209" s="3">
        <f t="shared" si="69"/>
        <v>5767</v>
      </c>
      <c r="CJ209" s="1">
        <v>43953</v>
      </c>
      <c r="CK209">
        <f t="shared" si="70"/>
        <v>1952</v>
      </c>
      <c r="CL209" s="3">
        <f t="shared" si="71"/>
        <v>9358</v>
      </c>
      <c r="CO209" s="1">
        <v>43953</v>
      </c>
      <c r="CP209">
        <f t="shared" si="72"/>
        <v>851</v>
      </c>
      <c r="CQ209" s="3">
        <f t="shared" si="91"/>
        <v>11204</v>
      </c>
      <c r="CT209" s="1">
        <v>43953</v>
      </c>
      <c r="CU209">
        <f t="shared" si="73"/>
        <v>1334</v>
      </c>
      <c r="CV209" s="3">
        <f t="shared" si="89"/>
        <v>7928</v>
      </c>
      <c r="CY209" s="1">
        <v>43953</v>
      </c>
      <c r="CZ209">
        <f t="shared" si="75"/>
        <v>1755</v>
      </c>
      <c r="DA209" s="3">
        <f t="shared" si="92"/>
        <v>30703</v>
      </c>
      <c r="DG209" s="1">
        <v>43953</v>
      </c>
      <c r="DH209" s="3">
        <f t="shared" si="88"/>
        <v>2985</v>
      </c>
      <c r="DI209" s="3">
        <f t="shared" si="77"/>
        <v>1136</v>
      </c>
      <c r="DJ209" s="3">
        <f t="shared" si="78"/>
        <v>1550</v>
      </c>
      <c r="DK209" s="3">
        <f>SUM(AG33+AH33+AI33+AJ33+AK33)</f>
        <v>261</v>
      </c>
      <c r="DL209" s="3">
        <f t="shared" si="90"/>
        <v>744</v>
      </c>
      <c r="DM209" s="3">
        <f t="shared" si="93"/>
        <v>1025</v>
      </c>
    </row>
    <row r="210" spans="1:117" x14ac:dyDescent="0.2">
      <c r="A210" s="3">
        <v>60422</v>
      </c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Q210" s="3"/>
      <c r="R210" s="3"/>
      <c r="S210" s="3"/>
      <c r="Y210" s="3">
        <v>17208</v>
      </c>
      <c r="Z210" s="3">
        <v>6464</v>
      </c>
      <c r="AA210" s="3">
        <v>6114</v>
      </c>
      <c r="AB210" s="3"/>
      <c r="AC210" s="3"/>
      <c r="AD210" s="3">
        <v>3628</v>
      </c>
      <c r="AE210" s="3">
        <v>3845</v>
      </c>
      <c r="AO210" s="3"/>
      <c r="AZ210" s="3">
        <v>316415</v>
      </c>
      <c r="BA210" s="5">
        <v>126744</v>
      </c>
      <c r="BB210" s="5">
        <v>68087</v>
      </c>
      <c r="BC210" s="5">
        <v>43754</v>
      </c>
      <c r="BD210" s="5">
        <v>49267</v>
      </c>
      <c r="BF210" s="5">
        <v>53616</v>
      </c>
      <c r="BQ210" s="3">
        <v>985911</v>
      </c>
      <c r="BR210" s="3">
        <f>SUM(126744+148322)</f>
        <v>275066</v>
      </c>
      <c r="BS210" s="3">
        <v>314646</v>
      </c>
      <c r="BT210" s="3">
        <f>SUM(43754+168778)</f>
        <v>212532</v>
      </c>
      <c r="BU210" s="3">
        <f>SUM(49267+191374)</f>
        <v>240641</v>
      </c>
      <c r="BV210" s="3">
        <v>747874</v>
      </c>
      <c r="BZ210" s="1">
        <v>43954</v>
      </c>
      <c r="CA210" s="3">
        <f t="shared" si="66"/>
        <v>3438</v>
      </c>
      <c r="CB210" s="3">
        <f t="shared" si="87"/>
        <v>26894</v>
      </c>
      <c r="CE210" s="1">
        <v>43954</v>
      </c>
      <c r="CF210">
        <f t="shared" si="68"/>
        <v>3027</v>
      </c>
      <c r="CG210" s="3">
        <f t="shared" si="69"/>
        <v>12754</v>
      </c>
      <c r="CJ210" s="1">
        <v>43954</v>
      </c>
      <c r="CK210">
        <f t="shared" si="70"/>
        <v>1824</v>
      </c>
      <c r="CL210" s="3">
        <f t="shared" si="71"/>
        <v>15652</v>
      </c>
      <c r="CO210" s="1">
        <v>43954</v>
      </c>
      <c r="CP210">
        <f t="shared" si="72"/>
        <v>547</v>
      </c>
      <c r="CQ210" s="3">
        <f t="shared" si="91"/>
        <v>10823</v>
      </c>
      <c r="CT210" s="1">
        <v>43954</v>
      </c>
      <c r="CU210">
        <f t="shared" si="73"/>
        <v>962</v>
      </c>
      <c r="CV210" s="3">
        <f t="shared" si="89"/>
        <v>5265</v>
      </c>
      <c r="CY210" s="1">
        <v>43954</v>
      </c>
      <c r="CZ210">
        <f t="shared" si="75"/>
        <v>1419</v>
      </c>
      <c r="DA210" s="3">
        <f t="shared" si="92"/>
        <v>32123</v>
      </c>
      <c r="DG210" s="1">
        <v>43954</v>
      </c>
      <c r="DH210" s="3">
        <f t="shared" si="88"/>
        <v>2269</v>
      </c>
      <c r="DI210" s="3">
        <f t="shared" si="77"/>
        <v>1363</v>
      </c>
      <c r="DJ210" s="3">
        <f t="shared" si="78"/>
        <v>925</v>
      </c>
      <c r="DK210" s="3">
        <f>SUM(AG34+AH34+AI34+AJ34+AK34)</f>
        <v>351</v>
      </c>
      <c r="DL210" s="3">
        <f t="shared" si="90"/>
        <v>514</v>
      </c>
      <c r="DM210" s="3">
        <f t="shared" si="93"/>
        <v>992</v>
      </c>
    </row>
    <row r="211" spans="1:117" x14ac:dyDescent="0.2">
      <c r="A211" s="3">
        <v>60636</v>
      </c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Q211" s="3"/>
      <c r="R211" s="3"/>
      <c r="S211" s="3"/>
      <c r="Y211" s="3">
        <v>17384</v>
      </c>
      <c r="Z211" s="3">
        <v>6525</v>
      </c>
      <c r="AA211" s="3">
        <v>6179</v>
      </c>
      <c r="AB211" s="3"/>
      <c r="AC211" s="3"/>
      <c r="AD211" s="3">
        <v>3651</v>
      </c>
      <c r="AE211" s="3">
        <v>3885</v>
      </c>
      <c r="AO211" s="3"/>
      <c r="AZ211" s="3">
        <v>318953</v>
      </c>
      <c r="BA211" s="5">
        <v>128269</v>
      </c>
      <c r="BB211" s="5">
        <v>69087</v>
      </c>
      <c r="BC211" s="5">
        <v>43950</v>
      </c>
      <c r="BD211" s="5">
        <v>52992</v>
      </c>
      <c r="BF211" s="5">
        <v>54937</v>
      </c>
      <c r="BQ211" s="3">
        <v>1007310</v>
      </c>
      <c r="BR211" s="3">
        <f>SUM(128269+148951)</f>
        <v>277220</v>
      </c>
      <c r="BS211" s="3">
        <v>324268</v>
      </c>
      <c r="BT211" s="3">
        <f>SUM(43950+178439)</f>
        <v>222389</v>
      </c>
      <c r="BU211" s="3">
        <f>SUM(50092+195498)</f>
        <v>245590</v>
      </c>
      <c r="BV211" s="3">
        <v>779902</v>
      </c>
      <c r="BZ211" s="1">
        <v>43955</v>
      </c>
      <c r="CA211" s="3">
        <f t="shared" ref="CA211:CA237" si="94">SUM(AZ211-AZ210)</f>
        <v>2538</v>
      </c>
      <c r="CB211" s="3">
        <f t="shared" si="87"/>
        <v>21399</v>
      </c>
      <c r="CE211" s="1">
        <v>43955</v>
      </c>
      <c r="CF211">
        <f t="shared" ref="CF211:CF237" si="95">SUM(BA211-BA210)</f>
        <v>1525</v>
      </c>
      <c r="CG211" s="3">
        <f t="shared" si="69"/>
        <v>2154</v>
      </c>
      <c r="CJ211" s="1">
        <v>43955</v>
      </c>
      <c r="CK211">
        <f t="shared" ref="CK211:CK237" si="96">SUM(BB211-BB210)</f>
        <v>1000</v>
      </c>
      <c r="CL211" s="3">
        <f t="shared" ref="CL211:CL237" si="97">SUM(BS211-BS210)</f>
        <v>9622</v>
      </c>
      <c r="CO211" s="1">
        <v>43955</v>
      </c>
      <c r="CP211">
        <f t="shared" ref="CP211:CP229" si="98">SUM(BC211-BC210)</f>
        <v>196</v>
      </c>
      <c r="CQ211" s="3">
        <f t="shared" si="91"/>
        <v>9857</v>
      </c>
      <c r="CT211" s="1">
        <v>43955</v>
      </c>
      <c r="CU211">
        <f t="shared" ref="CU211:CU237" si="99">SUM(BD211-BD210)</f>
        <v>3725</v>
      </c>
      <c r="CV211" s="3">
        <f>SUM(BU211-BU210)</f>
        <v>4949</v>
      </c>
      <c r="CY211" s="1">
        <v>43955</v>
      </c>
      <c r="CZ211">
        <f t="shared" ref="CZ211:CZ237" si="100">SUM(BF211-BF210)</f>
        <v>1321</v>
      </c>
      <c r="DA211" s="3">
        <f t="shared" si="92"/>
        <v>32028</v>
      </c>
      <c r="DG211" s="1">
        <v>43955</v>
      </c>
      <c r="DH211" s="3">
        <f t="shared" si="88"/>
        <v>1508</v>
      </c>
      <c r="DI211" s="3">
        <f t="shared" si="77"/>
        <v>573</v>
      </c>
      <c r="DJ211" s="3">
        <f t="shared" ref="DJ211:DJ237" si="101">SUM(W35+X35+Y35+Z35+AA35)</f>
        <v>1067</v>
      </c>
      <c r="DK211" s="3"/>
      <c r="DL211" s="3">
        <f t="shared" si="90"/>
        <v>337</v>
      </c>
      <c r="DM211" s="3">
        <f t="shared" si="93"/>
        <v>890</v>
      </c>
    </row>
    <row r="212" spans="1:117" x14ac:dyDescent="0.2">
      <c r="A212" s="3">
        <v>60828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Q212" s="3"/>
      <c r="R212" s="3"/>
      <c r="S212" s="3"/>
      <c r="Y212" s="3">
        <v>17495</v>
      </c>
      <c r="Z212" s="3">
        <v>6576</v>
      </c>
      <c r="AA212" s="3">
        <v>6210</v>
      </c>
      <c r="AB212" s="3"/>
      <c r="AC212" s="3"/>
      <c r="AD212" s="3">
        <v>3667</v>
      </c>
      <c r="AE212" s="3">
        <v>3903</v>
      </c>
      <c r="AO212" s="3"/>
      <c r="AZ212" s="3">
        <v>321192</v>
      </c>
      <c r="BA212" s="5">
        <v>130593</v>
      </c>
      <c r="BB212" s="5">
        <v>70271</v>
      </c>
      <c r="BC212" s="5">
        <v>44397</v>
      </c>
      <c r="BD212" s="5">
        <v>50957</v>
      </c>
      <c r="BF212" s="5">
        <v>56212</v>
      </c>
      <c r="BQ212" s="3">
        <v>1028899</v>
      </c>
      <c r="BR212" s="3">
        <f>SUM(130593+157030)</f>
        <v>287623</v>
      </c>
      <c r="BS212" s="3">
        <v>333349</v>
      </c>
      <c r="BT212" s="3">
        <f>SUM(44397+178439)</f>
        <v>222836</v>
      </c>
      <c r="BU212" s="3">
        <f>SUM(50957+199925)</f>
        <v>250882</v>
      </c>
      <c r="BV212">
        <f>SUM(58815+750221)</f>
        <v>809036</v>
      </c>
      <c r="BZ212" s="1">
        <v>43956</v>
      </c>
      <c r="CA212" s="3">
        <f t="shared" si="94"/>
        <v>2239</v>
      </c>
      <c r="CB212" s="3">
        <f t="shared" si="87"/>
        <v>21589</v>
      </c>
      <c r="CE212" s="1">
        <v>43956</v>
      </c>
      <c r="CF212">
        <f t="shared" si="95"/>
        <v>2324</v>
      </c>
      <c r="CG212" s="3">
        <f t="shared" si="69"/>
        <v>10403</v>
      </c>
      <c r="CJ212" s="1">
        <v>43956</v>
      </c>
      <c r="CK212">
        <f t="shared" si="96"/>
        <v>1184</v>
      </c>
      <c r="CL212" s="3">
        <f t="shared" si="97"/>
        <v>9081</v>
      </c>
      <c r="CO212" s="1">
        <v>43956</v>
      </c>
      <c r="CP212">
        <f t="shared" si="98"/>
        <v>447</v>
      </c>
      <c r="CQ212" s="3">
        <f t="shared" si="91"/>
        <v>447</v>
      </c>
      <c r="CT212" s="1">
        <v>43956</v>
      </c>
      <c r="CV212" s="3"/>
      <c r="CY212" s="1">
        <v>43956</v>
      </c>
      <c r="CZ212">
        <f t="shared" si="100"/>
        <v>1275</v>
      </c>
      <c r="DA212" s="3">
        <f t="shared" si="92"/>
        <v>29134</v>
      </c>
      <c r="DG212" s="1">
        <v>43956</v>
      </c>
      <c r="DH212" s="3">
        <f t="shared" si="88"/>
        <v>1392</v>
      </c>
      <c r="DI212" s="3">
        <f t="shared" si="77"/>
        <v>1062</v>
      </c>
      <c r="DJ212" s="3">
        <f t="shared" si="101"/>
        <v>871</v>
      </c>
      <c r="DK212" s="3"/>
      <c r="DL212" s="3">
        <f t="shared" si="90"/>
        <v>204</v>
      </c>
      <c r="DM212" s="3">
        <f t="shared" si="93"/>
        <v>1783</v>
      </c>
    </row>
    <row r="213" spans="1:117" x14ac:dyDescent="0.2">
      <c r="AZ213" s="3">
        <v>323978</v>
      </c>
      <c r="BA213" s="5">
        <v>131890</v>
      </c>
      <c r="BB213" s="5">
        <v>72025</v>
      </c>
      <c r="BC213" s="5">
        <v>45054</v>
      </c>
      <c r="BD213" s="5">
        <v>51845</v>
      </c>
      <c r="BF213" s="5">
        <v>58815</v>
      </c>
      <c r="BQ213" s="3">
        <f>SUM(323978+731943)</f>
        <v>1055921</v>
      </c>
      <c r="BR213" s="3">
        <f>SUM(131890+157030)</f>
        <v>288920</v>
      </c>
      <c r="BS213" s="3">
        <f>SUM(72025+267614)</f>
        <v>339639</v>
      </c>
      <c r="BT213" s="3">
        <f>SUM(45054+188177)</f>
        <v>233231</v>
      </c>
      <c r="BU213" s="3">
        <f>SUM(51845+204495)</f>
        <v>256340</v>
      </c>
      <c r="BV213" s="3">
        <v>842874</v>
      </c>
      <c r="BZ213" s="1">
        <v>43957</v>
      </c>
      <c r="CA213" s="3">
        <f t="shared" si="94"/>
        <v>2786</v>
      </c>
      <c r="CB213" s="3">
        <f t="shared" ref="CB213:CB219" si="102">SUM(BQ213-BQ212)</f>
        <v>27022</v>
      </c>
      <c r="CE213" s="1">
        <v>43957</v>
      </c>
      <c r="CF213">
        <f t="shared" si="95"/>
        <v>1297</v>
      </c>
      <c r="CG213" s="3">
        <f t="shared" si="69"/>
        <v>1297</v>
      </c>
      <c r="CJ213" s="1">
        <v>43957</v>
      </c>
      <c r="CK213">
        <f t="shared" si="96"/>
        <v>1754</v>
      </c>
      <c r="CL213" s="3">
        <f t="shared" si="97"/>
        <v>6290</v>
      </c>
      <c r="CO213" s="1">
        <v>43957</v>
      </c>
      <c r="CP213">
        <f t="shared" si="98"/>
        <v>657</v>
      </c>
      <c r="CQ213" s="3">
        <f t="shared" ref="CQ213:CQ229" si="103">SUM(BT213-BT212)</f>
        <v>10395</v>
      </c>
      <c r="CT213" s="1">
        <v>43957</v>
      </c>
      <c r="CV213" s="3"/>
      <c r="CY213" s="1">
        <v>43957</v>
      </c>
      <c r="CZ213">
        <f t="shared" si="100"/>
        <v>2603</v>
      </c>
      <c r="DA213" s="3">
        <f t="shared" si="92"/>
        <v>33838</v>
      </c>
      <c r="DG213" s="1">
        <v>43957</v>
      </c>
      <c r="DH213" s="3"/>
      <c r="DI213" s="3">
        <f t="shared" si="77"/>
        <v>544</v>
      </c>
      <c r="DJ213" s="3">
        <f t="shared" si="101"/>
        <v>1554</v>
      </c>
      <c r="DK213" s="3">
        <f t="shared" ref="DK213:DK237" si="104">SUM(AG37+AH37+AI37+AJ37+AK37)</f>
        <v>322</v>
      </c>
      <c r="DL213" s="3">
        <f t="shared" si="90"/>
        <v>352</v>
      </c>
      <c r="DM213" s="3">
        <f t="shared" si="93"/>
        <v>1531</v>
      </c>
    </row>
    <row r="214" spans="1:117" x14ac:dyDescent="0.2">
      <c r="AZ214" s="3">
        <v>327469</v>
      </c>
      <c r="BA214" s="5">
        <v>133635</v>
      </c>
      <c r="BB214" s="5">
        <v>73721</v>
      </c>
      <c r="BC214" s="5">
        <v>45646</v>
      </c>
      <c r="BD214" s="5">
        <v>52915</v>
      </c>
      <c r="BF214" s="5">
        <v>60614</v>
      </c>
      <c r="BQ214" s="3">
        <v>1089916</v>
      </c>
      <c r="BR214" s="3">
        <f>SUM(133635+159023)</f>
        <v>292658</v>
      </c>
      <c r="BS214" s="3">
        <v>351632</v>
      </c>
      <c r="BT214" s="3">
        <f>SUM(45646+201416)</f>
        <v>247062</v>
      </c>
      <c r="BU214" s="3">
        <f>SUM(52915+209873)</f>
        <v>262788</v>
      </c>
      <c r="BV214" s="3">
        <v>875272</v>
      </c>
      <c r="BZ214" s="1">
        <v>43958</v>
      </c>
      <c r="CA214" s="3">
        <f t="shared" si="94"/>
        <v>3491</v>
      </c>
      <c r="CB214" s="3">
        <f t="shared" si="102"/>
        <v>33995</v>
      </c>
      <c r="CE214" s="1">
        <v>43958</v>
      </c>
      <c r="CF214">
        <f t="shared" si="95"/>
        <v>1745</v>
      </c>
      <c r="CG214" s="3">
        <f t="shared" si="69"/>
        <v>3738</v>
      </c>
      <c r="CJ214" s="1">
        <v>43958</v>
      </c>
      <c r="CK214">
        <f t="shared" si="96"/>
        <v>1696</v>
      </c>
      <c r="CL214" s="3">
        <f t="shared" si="97"/>
        <v>11993</v>
      </c>
      <c r="CO214" s="1">
        <v>43958</v>
      </c>
      <c r="CP214">
        <f t="shared" si="98"/>
        <v>592</v>
      </c>
      <c r="CQ214" s="3">
        <f t="shared" si="103"/>
        <v>13831</v>
      </c>
      <c r="CT214" s="1">
        <v>43958</v>
      </c>
      <c r="CU214">
        <f t="shared" si="99"/>
        <v>1070</v>
      </c>
      <c r="CV214" s="3">
        <f>SUM(BU214-BU213)</f>
        <v>6448</v>
      </c>
      <c r="CY214" s="1">
        <v>43958</v>
      </c>
      <c r="CZ214">
        <f t="shared" si="100"/>
        <v>1799</v>
      </c>
      <c r="DA214" s="3">
        <f t="shared" si="92"/>
        <v>32398</v>
      </c>
      <c r="DG214" s="1">
        <v>43958</v>
      </c>
      <c r="DH214" s="3"/>
      <c r="DI214" s="3">
        <f t="shared" si="77"/>
        <v>729</v>
      </c>
      <c r="DJ214" s="3">
        <f t="shared" si="101"/>
        <v>1195</v>
      </c>
      <c r="DK214" s="3">
        <f t="shared" si="104"/>
        <v>223</v>
      </c>
      <c r="DL214" s="3">
        <f t="shared" si="90"/>
        <v>241</v>
      </c>
      <c r="DM214" s="3">
        <f t="shared" si="93"/>
        <v>1178</v>
      </c>
    </row>
    <row r="215" spans="1:117" x14ac:dyDescent="0.2">
      <c r="AZ215" s="3">
        <v>330407</v>
      </c>
      <c r="BA215" s="5">
        <v>135454</v>
      </c>
      <c r="BB215" s="5">
        <v>75333</v>
      </c>
      <c r="BC215" s="5">
        <v>46326</v>
      </c>
      <c r="BD215" s="5">
        <v>54238</v>
      </c>
      <c r="BF215" s="5">
        <v>62512</v>
      </c>
      <c r="BQ215" s="3">
        <v>1121543</v>
      </c>
      <c r="BR215" s="3">
        <f>SUM(135454+163305)</f>
        <v>298759</v>
      </c>
      <c r="BS215" s="3">
        <v>366032</v>
      </c>
      <c r="BT215" s="3">
        <f>SUM(46326+213927)</f>
        <v>260253</v>
      </c>
      <c r="BU215" s="3">
        <f>SUM(54238+216321)</f>
        <v>270559</v>
      </c>
      <c r="BV215" s="3">
        <v>912570</v>
      </c>
      <c r="BZ215" s="1">
        <v>43959</v>
      </c>
      <c r="CA215" s="3">
        <f t="shared" si="94"/>
        <v>2938</v>
      </c>
      <c r="CB215" s="3">
        <f t="shared" si="102"/>
        <v>31627</v>
      </c>
      <c r="CE215" s="1">
        <v>43959</v>
      </c>
      <c r="CF215">
        <f t="shared" si="95"/>
        <v>1819</v>
      </c>
      <c r="CG215" s="3">
        <f t="shared" si="69"/>
        <v>6101</v>
      </c>
      <c r="CJ215" s="1">
        <v>43959</v>
      </c>
      <c r="CK215">
        <f t="shared" si="96"/>
        <v>1612</v>
      </c>
      <c r="CL215" s="3">
        <f t="shared" si="97"/>
        <v>14400</v>
      </c>
      <c r="CO215" s="1">
        <v>43959</v>
      </c>
      <c r="CP215">
        <f t="shared" si="98"/>
        <v>680</v>
      </c>
      <c r="CQ215" s="3">
        <f t="shared" si="103"/>
        <v>13191</v>
      </c>
      <c r="CT215" s="1">
        <v>43959</v>
      </c>
      <c r="CU215">
        <f t="shared" si="99"/>
        <v>1323</v>
      </c>
      <c r="CV215" s="3">
        <f t="shared" ref="CV215:CV237" si="105">SUM(BU215-BU214)</f>
        <v>7771</v>
      </c>
      <c r="CY215" s="1">
        <v>43959</v>
      </c>
      <c r="CZ215">
        <f t="shared" si="100"/>
        <v>1898</v>
      </c>
      <c r="DA215" s="3">
        <f t="shared" si="92"/>
        <v>37298</v>
      </c>
      <c r="DG215" s="1">
        <v>43959</v>
      </c>
      <c r="DH215" s="3">
        <f>SUM(C39+D39+E39+F39+G39)</f>
        <v>1844</v>
      </c>
      <c r="DI215" s="3">
        <f t="shared" si="77"/>
        <v>710</v>
      </c>
      <c r="DJ215" s="3">
        <f t="shared" si="101"/>
        <v>1220</v>
      </c>
      <c r="DK215" s="3">
        <f t="shared" si="104"/>
        <v>312</v>
      </c>
      <c r="DL215" s="3">
        <f t="shared" si="90"/>
        <v>816</v>
      </c>
      <c r="DM215" s="3">
        <f t="shared" si="93"/>
        <v>1226</v>
      </c>
    </row>
    <row r="216" spans="1:117" x14ac:dyDescent="0.2">
      <c r="AZ216" s="3">
        <v>333122</v>
      </c>
      <c r="BA216" s="5">
        <v>137085</v>
      </c>
      <c r="BB216" s="5">
        <v>76743</v>
      </c>
      <c r="BC216" s="5">
        <v>46756</v>
      </c>
      <c r="BD216" s="5">
        <v>55316</v>
      </c>
      <c r="BF216" s="5">
        <v>64561</v>
      </c>
      <c r="BQ216" s="3">
        <v>1153768</v>
      </c>
      <c r="BR216" s="3">
        <f>SUM(137085+168121)</f>
        <v>305206</v>
      </c>
      <c r="BS216" s="3">
        <v>376537</v>
      </c>
      <c r="BT216" s="3">
        <f>SUM(46756+226730)</f>
        <v>273486</v>
      </c>
      <c r="BU216" s="3">
        <f>SUM(55316+221791)</f>
        <v>277107</v>
      </c>
      <c r="BV216" s="3">
        <v>955664</v>
      </c>
      <c r="BZ216" s="1">
        <v>43960</v>
      </c>
      <c r="CA216" s="3">
        <f t="shared" si="94"/>
        <v>2715</v>
      </c>
      <c r="CB216" s="3">
        <f t="shared" si="102"/>
        <v>32225</v>
      </c>
      <c r="CE216" s="1">
        <v>43960</v>
      </c>
      <c r="CF216">
        <f t="shared" si="95"/>
        <v>1631</v>
      </c>
      <c r="CG216" s="3">
        <f t="shared" ref="CG216:CG231" si="106">SUM(BR216-BR215)</f>
        <v>6447</v>
      </c>
      <c r="CJ216" s="1">
        <v>43960</v>
      </c>
      <c r="CK216">
        <f t="shared" si="96"/>
        <v>1410</v>
      </c>
      <c r="CL216" s="3">
        <f t="shared" si="97"/>
        <v>10505</v>
      </c>
      <c r="CO216" s="1">
        <v>43960</v>
      </c>
      <c r="CP216">
        <f t="shared" si="98"/>
        <v>430</v>
      </c>
      <c r="CQ216" s="3">
        <f t="shared" si="103"/>
        <v>13233</v>
      </c>
      <c r="CT216" s="1">
        <v>43960</v>
      </c>
      <c r="CU216">
        <f t="shared" si="99"/>
        <v>1078</v>
      </c>
      <c r="CV216" s="3">
        <f t="shared" si="105"/>
        <v>6548</v>
      </c>
      <c r="CY216" s="1">
        <v>43960</v>
      </c>
      <c r="CZ216">
        <f t="shared" si="100"/>
        <v>2049</v>
      </c>
      <c r="DA216" s="3">
        <f t="shared" si="92"/>
        <v>43094</v>
      </c>
      <c r="DG216" s="1">
        <v>43960</v>
      </c>
      <c r="DH216" s="3">
        <f>SUM(C40+D40+E40+F40+G40)</f>
        <v>1737</v>
      </c>
      <c r="DI216" s="3"/>
      <c r="DJ216" s="3">
        <f t="shared" si="101"/>
        <v>971</v>
      </c>
      <c r="DK216" s="3">
        <f t="shared" si="104"/>
        <v>247</v>
      </c>
      <c r="DL216" s="3">
        <f t="shared" si="90"/>
        <v>584</v>
      </c>
      <c r="DM216" s="3">
        <f t="shared" si="93"/>
        <v>1367</v>
      </c>
    </row>
    <row r="217" spans="1:117" x14ac:dyDescent="0.2">
      <c r="AZ217" s="3">
        <v>335395</v>
      </c>
      <c r="BA217" s="5">
        <v>138532</v>
      </c>
      <c r="BB217" s="5">
        <v>77793</v>
      </c>
      <c r="BC217" s="5">
        <v>47138</v>
      </c>
      <c r="BD217" s="5">
        <v>56611</v>
      </c>
      <c r="BF217" s="5">
        <v>66680</v>
      </c>
      <c r="BQ217" s="3">
        <v>1182998</v>
      </c>
      <c r="BR217" s="3">
        <f>SUM(138532+173915)</f>
        <v>312447</v>
      </c>
      <c r="BS217" s="3">
        <v>388389</v>
      </c>
      <c r="BT217" s="3">
        <f>SUM(47138+238540)</f>
        <v>285678</v>
      </c>
      <c r="BU217" s="3">
        <f>SUM(56611+227772)</f>
        <v>284383</v>
      </c>
      <c r="BV217" s="3">
        <v>991897</v>
      </c>
      <c r="BZ217" s="1">
        <v>43961</v>
      </c>
      <c r="CA217" s="3">
        <f t="shared" si="94"/>
        <v>2273</v>
      </c>
      <c r="CB217" s="3">
        <f t="shared" si="102"/>
        <v>29230</v>
      </c>
      <c r="CE217" s="1">
        <v>43961</v>
      </c>
      <c r="CF217">
        <f t="shared" si="95"/>
        <v>1447</v>
      </c>
      <c r="CG217" s="3">
        <f t="shared" si="106"/>
        <v>7241</v>
      </c>
      <c r="CJ217" s="1">
        <v>43961</v>
      </c>
      <c r="CK217">
        <f t="shared" si="96"/>
        <v>1050</v>
      </c>
      <c r="CL217" s="3">
        <f t="shared" si="97"/>
        <v>11852</v>
      </c>
      <c r="CO217" s="1">
        <v>43961</v>
      </c>
      <c r="CP217">
        <f t="shared" si="98"/>
        <v>382</v>
      </c>
      <c r="CQ217" s="3">
        <f t="shared" si="103"/>
        <v>12192</v>
      </c>
      <c r="CT217" s="1">
        <v>43961</v>
      </c>
      <c r="CU217">
        <f t="shared" si="99"/>
        <v>1295</v>
      </c>
      <c r="CV217" s="3">
        <f t="shared" si="105"/>
        <v>7276</v>
      </c>
      <c r="CY217" s="1">
        <v>43961</v>
      </c>
      <c r="CZ217">
        <f t="shared" si="100"/>
        <v>2119</v>
      </c>
      <c r="DA217" s="3">
        <f t="shared" si="92"/>
        <v>36233</v>
      </c>
      <c r="DG217" s="1">
        <v>43961</v>
      </c>
      <c r="DH217" s="3">
        <f>SUM(C41+D41+E41+F41+G41)</f>
        <v>1410</v>
      </c>
      <c r="DI217" s="3"/>
      <c r="DJ217" s="3">
        <f t="shared" si="101"/>
        <v>781</v>
      </c>
      <c r="DK217" s="3">
        <f t="shared" si="104"/>
        <v>196</v>
      </c>
      <c r="DL217" s="3">
        <f t="shared" si="90"/>
        <v>716</v>
      </c>
      <c r="DM217" s="3">
        <f t="shared" si="93"/>
        <v>808</v>
      </c>
    </row>
    <row r="218" spans="1:117" x14ac:dyDescent="0.2">
      <c r="AZ218" s="3">
        <v>337055</v>
      </c>
      <c r="BA218" s="5">
        <v>139945</v>
      </c>
      <c r="BB218" s="5">
        <v>78462</v>
      </c>
      <c r="BC218" s="5">
        <v>47552</v>
      </c>
      <c r="BD218" s="5">
        <v>57154</v>
      </c>
      <c r="BF218" s="5">
        <v>67939</v>
      </c>
      <c r="BQ218" s="3">
        <v>1204650</v>
      </c>
      <c r="BR218" s="3">
        <f>SUM(139945+285988)</f>
        <v>425933</v>
      </c>
      <c r="BS218" s="3">
        <v>394728</v>
      </c>
      <c r="BT218" s="3">
        <f>SUM(47552+251396)</f>
        <v>298948</v>
      </c>
      <c r="BU218" s="3">
        <f>SUM(57154+231704)</f>
        <v>288858</v>
      </c>
      <c r="BV218" s="3">
        <v>1033370</v>
      </c>
      <c r="BZ218" s="1">
        <v>43962</v>
      </c>
      <c r="CA218" s="3">
        <f t="shared" si="94"/>
        <v>1660</v>
      </c>
      <c r="CB218" s="3">
        <f t="shared" si="102"/>
        <v>21652</v>
      </c>
      <c r="CE218" s="1">
        <v>43962</v>
      </c>
      <c r="CF218">
        <f t="shared" si="95"/>
        <v>1413</v>
      </c>
      <c r="CG218" s="3">
        <f t="shared" si="106"/>
        <v>113486</v>
      </c>
      <c r="CJ218" s="1">
        <v>43962</v>
      </c>
      <c r="CK218">
        <f t="shared" si="96"/>
        <v>669</v>
      </c>
      <c r="CL218" s="3">
        <f t="shared" si="97"/>
        <v>6339</v>
      </c>
      <c r="CO218" s="1">
        <v>43962</v>
      </c>
      <c r="CP218">
        <f t="shared" si="98"/>
        <v>414</v>
      </c>
      <c r="CQ218" s="3">
        <f t="shared" si="103"/>
        <v>13270</v>
      </c>
      <c r="CT218" s="1">
        <v>43962</v>
      </c>
      <c r="CU218">
        <f t="shared" si="99"/>
        <v>543</v>
      </c>
      <c r="CV218" s="3">
        <f t="shared" si="105"/>
        <v>4475</v>
      </c>
      <c r="CY218" s="1">
        <v>43962</v>
      </c>
      <c r="CZ218">
        <f t="shared" si="100"/>
        <v>1259</v>
      </c>
      <c r="DA218" s="3">
        <f t="shared" si="92"/>
        <v>41473</v>
      </c>
      <c r="DG218" s="1">
        <v>43962</v>
      </c>
      <c r="DH218" s="3"/>
      <c r="DI218" s="3">
        <f>SUM(M42+N42+O42+P42+Q42)</f>
        <v>500</v>
      </c>
      <c r="DJ218" s="3">
        <f t="shared" si="101"/>
        <v>468</v>
      </c>
      <c r="DK218" s="3">
        <f t="shared" si="104"/>
        <v>174</v>
      </c>
      <c r="DL218" s="3">
        <f t="shared" si="90"/>
        <v>291</v>
      </c>
      <c r="DM218" s="3">
        <f t="shared" si="93"/>
        <v>919</v>
      </c>
    </row>
    <row r="219" spans="1:117" x14ac:dyDescent="0.2">
      <c r="AZ219" s="3">
        <v>338485</v>
      </c>
      <c r="BA219" s="5">
        <v>140743</v>
      </c>
      <c r="BB219" s="5">
        <v>79332</v>
      </c>
      <c r="BC219" s="5">
        <v>48021</v>
      </c>
      <c r="BD219" s="5">
        <v>57991</v>
      </c>
      <c r="BF219" s="5">
        <v>69382</v>
      </c>
      <c r="BQ219" s="3">
        <v>1225113</v>
      </c>
      <c r="BR219" s="3">
        <f>SUM(140743+292317)</f>
        <v>433060</v>
      </c>
      <c r="BS219" s="3">
        <v>401496</v>
      </c>
      <c r="BT219" s="3">
        <f>SUM(48021+259869)</f>
        <v>307890</v>
      </c>
      <c r="BU219" s="3">
        <f>SUM(57991+237989)</f>
        <v>295980</v>
      </c>
      <c r="BV219" s="3">
        <v>1065592</v>
      </c>
      <c r="BZ219" s="1">
        <v>43963</v>
      </c>
      <c r="CA219" s="3">
        <f t="shared" si="94"/>
        <v>1430</v>
      </c>
      <c r="CB219" s="3">
        <f t="shared" si="102"/>
        <v>20463</v>
      </c>
      <c r="CE219" s="1">
        <v>43963</v>
      </c>
      <c r="CF219">
        <f t="shared" si="95"/>
        <v>798</v>
      </c>
      <c r="CG219" s="3">
        <f t="shared" si="106"/>
        <v>7127</v>
      </c>
      <c r="CJ219" s="1">
        <v>43963</v>
      </c>
      <c r="CK219">
        <f t="shared" si="96"/>
        <v>870</v>
      </c>
      <c r="CL219" s="3">
        <f t="shared" si="97"/>
        <v>6768</v>
      </c>
      <c r="CO219" s="1">
        <v>43963</v>
      </c>
      <c r="CP219">
        <f t="shared" si="98"/>
        <v>469</v>
      </c>
      <c r="CQ219" s="3">
        <f t="shared" si="103"/>
        <v>8942</v>
      </c>
      <c r="CT219" s="1">
        <v>43963</v>
      </c>
      <c r="CU219">
        <f t="shared" si="99"/>
        <v>837</v>
      </c>
      <c r="CV219" s="3">
        <f t="shared" si="105"/>
        <v>7122</v>
      </c>
      <c r="CY219" s="1">
        <v>43963</v>
      </c>
      <c r="CZ219">
        <f t="shared" si="100"/>
        <v>1443</v>
      </c>
      <c r="DA219" s="3">
        <f t="shared" si="92"/>
        <v>32222</v>
      </c>
      <c r="DG219" s="1">
        <v>43963</v>
      </c>
      <c r="DH219" s="3"/>
      <c r="DI219" s="3">
        <f>SUM(M43+N43+O43+P43+Q43)</f>
        <v>295</v>
      </c>
      <c r="DJ219" s="3">
        <f t="shared" si="101"/>
        <v>600</v>
      </c>
      <c r="DK219" s="3">
        <f t="shared" si="104"/>
        <v>176</v>
      </c>
      <c r="DL219" s="3"/>
      <c r="DM219" s="3">
        <f t="shared" si="93"/>
        <v>1316</v>
      </c>
    </row>
    <row r="220" spans="1:117" x14ac:dyDescent="0.2">
      <c r="AZ220" s="5">
        <v>340661</v>
      </c>
      <c r="BA220" s="5">
        <v>141560</v>
      </c>
      <c r="BB220" s="5">
        <v>80497</v>
      </c>
      <c r="BC220" s="5">
        <v>48391</v>
      </c>
      <c r="BD220" s="5">
        <v>58698</v>
      </c>
      <c r="BF220" s="5">
        <v>71141</v>
      </c>
      <c r="BQ220" s="3">
        <v>1258907</v>
      </c>
      <c r="BR220" s="3">
        <f>SUM(141560+299890)</f>
        <v>441450</v>
      </c>
      <c r="BS220" s="3">
        <v>410032</v>
      </c>
      <c r="BT220" s="3">
        <f>SUM(48391+259869)</f>
        <v>308260</v>
      </c>
      <c r="BU220" s="3">
        <f>SUM(58698+244171)</f>
        <v>302869</v>
      </c>
      <c r="BV220" s="3">
        <v>1104651</v>
      </c>
      <c r="BZ220" s="1">
        <v>43964</v>
      </c>
      <c r="CA220" s="3">
        <f t="shared" si="94"/>
        <v>2176</v>
      </c>
      <c r="CB220" s="3">
        <f t="shared" ref="CB220:CB237" si="107">SUM(BQ220-BQ219)</f>
        <v>33794</v>
      </c>
      <c r="CE220" s="1">
        <v>43964</v>
      </c>
      <c r="CF220">
        <f t="shared" si="95"/>
        <v>817</v>
      </c>
      <c r="CG220" s="3">
        <f t="shared" si="106"/>
        <v>8390</v>
      </c>
      <c r="CJ220" s="1">
        <v>43964</v>
      </c>
      <c r="CK220">
        <f t="shared" si="96"/>
        <v>1165</v>
      </c>
      <c r="CL220" s="3">
        <f t="shared" si="97"/>
        <v>8536</v>
      </c>
      <c r="CO220" s="1">
        <v>43964</v>
      </c>
      <c r="CP220">
        <f t="shared" si="98"/>
        <v>370</v>
      </c>
      <c r="CQ220" s="3">
        <f t="shared" si="103"/>
        <v>370</v>
      </c>
      <c r="CT220" s="1">
        <v>43964</v>
      </c>
      <c r="CU220">
        <f t="shared" si="99"/>
        <v>707</v>
      </c>
      <c r="CV220" s="3">
        <f t="shared" si="105"/>
        <v>6889</v>
      </c>
      <c r="CY220" s="1">
        <v>43964</v>
      </c>
      <c r="CZ220">
        <f t="shared" si="100"/>
        <v>1759</v>
      </c>
      <c r="DA220" s="3">
        <f t="shared" si="92"/>
        <v>39059</v>
      </c>
      <c r="DG220" s="1">
        <v>43964</v>
      </c>
      <c r="DH220" s="3">
        <f t="shared" ref="DH220:DH237" si="108">SUM(C44+D44+E44+F44+G44)</f>
        <v>1325</v>
      </c>
      <c r="DI220" s="3">
        <f>SUM(M44+N44+O44+P44+Q44)</f>
        <v>327</v>
      </c>
      <c r="DJ220" s="3">
        <f t="shared" si="101"/>
        <v>877</v>
      </c>
      <c r="DK220" s="3">
        <f t="shared" si="104"/>
        <v>207</v>
      </c>
      <c r="DL220" s="3">
        <f>SUM(AQ44+AR44+AS44+AT44+AU44)</f>
        <v>366</v>
      </c>
      <c r="DM220" s="3">
        <f t="shared" si="93"/>
        <v>1670</v>
      </c>
    </row>
    <row r="221" spans="1:117" x14ac:dyDescent="0.2">
      <c r="AZ221" s="5">
        <v>343051</v>
      </c>
      <c r="BA221" s="5">
        <v>142704</v>
      </c>
      <c r="BB221" s="5">
        <v>82182</v>
      </c>
      <c r="BC221" s="5">
        <v>49582</v>
      </c>
      <c r="BD221" s="5">
        <v>59636</v>
      </c>
      <c r="BF221" s="5">
        <v>73164</v>
      </c>
      <c r="BQ221" s="3">
        <v>1298757</v>
      </c>
      <c r="BR221" s="3">
        <f>SUM(142704+308992)</f>
        <v>451696</v>
      </c>
      <c r="BS221" s="3">
        <v>424361</v>
      </c>
      <c r="BT221" s="3">
        <f>SUM(49582+286301)</f>
        <v>335883</v>
      </c>
      <c r="BU221" s="3">
        <f>SUM(59636+251559)</f>
        <v>311195</v>
      </c>
      <c r="BV221" s="3">
        <v>1133906</v>
      </c>
      <c r="BZ221" s="1">
        <v>43965</v>
      </c>
      <c r="CA221" s="3">
        <f t="shared" si="94"/>
        <v>2390</v>
      </c>
      <c r="CB221" s="3">
        <f t="shared" si="107"/>
        <v>39850</v>
      </c>
      <c r="CE221" s="1">
        <v>43965</v>
      </c>
      <c r="CF221">
        <f t="shared" si="95"/>
        <v>1144</v>
      </c>
      <c r="CG221" s="3">
        <f t="shared" si="106"/>
        <v>10246</v>
      </c>
      <c r="CJ221" s="1">
        <v>43965</v>
      </c>
      <c r="CK221">
        <f t="shared" si="96"/>
        <v>1685</v>
      </c>
      <c r="CL221" s="3">
        <f t="shared" si="97"/>
        <v>14329</v>
      </c>
      <c r="CO221" s="1">
        <v>43965</v>
      </c>
      <c r="CP221">
        <f t="shared" si="98"/>
        <v>1191</v>
      </c>
      <c r="CQ221" s="3">
        <f t="shared" si="103"/>
        <v>27623</v>
      </c>
      <c r="CT221" s="1">
        <v>43965</v>
      </c>
      <c r="CU221">
        <f t="shared" si="99"/>
        <v>938</v>
      </c>
      <c r="CV221" s="3">
        <f t="shared" si="105"/>
        <v>8326</v>
      </c>
      <c r="CY221" s="1">
        <v>43965</v>
      </c>
      <c r="CZ221">
        <f t="shared" si="100"/>
        <v>2023</v>
      </c>
      <c r="DA221" s="3">
        <f t="shared" si="92"/>
        <v>29255</v>
      </c>
      <c r="DG221" s="1">
        <v>43965</v>
      </c>
      <c r="DH221" s="3">
        <f t="shared" si="108"/>
        <v>1462</v>
      </c>
      <c r="DI221" s="3"/>
      <c r="DJ221" s="3">
        <f t="shared" si="101"/>
        <v>1164</v>
      </c>
      <c r="DK221" s="3">
        <f t="shared" si="104"/>
        <v>648</v>
      </c>
      <c r="DL221" s="3"/>
      <c r="DM221" s="3">
        <f t="shared" si="93"/>
        <v>1249</v>
      </c>
    </row>
    <row r="222" spans="1:117" x14ac:dyDescent="0.2">
      <c r="AZ222" s="5">
        <v>345813</v>
      </c>
      <c r="BA222" s="5">
        <v>143905</v>
      </c>
      <c r="BB222" s="5">
        <v>83421</v>
      </c>
      <c r="BC222" s="5">
        <v>50079</v>
      </c>
      <c r="BD222" s="5">
        <v>60622</v>
      </c>
      <c r="BF222" s="5">
        <v>74936</v>
      </c>
      <c r="BQ222" s="3">
        <v>1338048</v>
      </c>
      <c r="BR222" s="3">
        <f>SUM(143905+319067)</f>
        <v>462972</v>
      </c>
      <c r="BS222" s="3">
        <v>435679</v>
      </c>
      <c r="BT222" s="3">
        <f>SUM(50079+307417)</f>
        <v>357496</v>
      </c>
      <c r="BU222" s="3">
        <f>SUM(60622+259210)</f>
        <v>319832</v>
      </c>
      <c r="BV222" s="3">
        <v>1179126</v>
      </c>
      <c r="BZ222" s="1">
        <v>43966</v>
      </c>
      <c r="CA222" s="3">
        <f t="shared" si="94"/>
        <v>2762</v>
      </c>
      <c r="CB222" s="3">
        <f t="shared" si="107"/>
        <v>39291</v>
      </c>
      <c r="CE222" s="1">
        <v>43966</v>
      </c>
      <c r="CF222">
        <f t="shared" si="95"/>
        <v>1201</v>
      </c>
      <c r="CG222" s="3">
        <f t="shared" si="106"/>
        <v>11276</v>
      </c>
      <c r="CJ222" s="1">
        <v>43966</v>
      </c>
      <c r="CK222">
        <f t="shared" si="96"/>
        <v>1239</v>
      </c>
      <c r="CL222" s="3">
        <f t="shared" si="97"/>
        <v>11318</v>
      </c>
      <c r="CO222" s="1">
        <v>43966</v>
      </c>
      <c r="CP222">
        <f t="shared" si="98"/>
        <v>497</v>
      </c>
      <c r="CQ222" s="3">
        <f t="shared" si="103"/>
        <v>21613</v>
      </c>
      <c r="CT222" s="1">
        <v>43966</v>
      </c>
      <c r="CU222">
        <f t="shared" si="99"/>
        <v>986</v>
      </c>
      <c r="CV222" s="3">
        <f t="shared" si="105"/>
        <v>8637</v>
      </c>
      <c r="CY222" s="1">
        <v>43966</v>
      </c>
      <c r="CZ222">
        <f t="shared" si="100"/>
        <v>1772</v>
      </c>
      <c r="DA222" s="3">
        <f t="shared" si="92"/>
        <v>45220</v>
      </c>
      <c r="DG222" s="1">
        <v>43966</v>
      </c>
      <c r="DH222" s="3">
        <f t="shared" si="108"/>
        <v>1753</v>
      </c>
      <c r="DI222" s="3"/>
      <c r="DJ222" s="3">
        <f t="shared" si="101"/>
        <v>902</v>
      </c>
      <c r="DK222" s="3">
        <f t="shared" si="104"/>
        <v>223</v>
      </c>
      <c r="DL222" s="3"/>
      <c r="DM222" s="3">
        <f t="shared" si="93"/>
        <v>1312</v>
      </c>
    </row>
    <row r="223" spans="1:117" x14ac:dyDescent="0.2">
      <c r="AZ223" s="5">
        <v>348232</v>
      </c>
      <c r="BA223" s="5">
        <v>145089</v>
      </c>
      <c r="BB223" s="5">
        <v>84933</v>
      </c>
      <c r="BC223" s="5">
        <v>50504</v>
      </c>
      <c r="BD223" s="5">
        <v>61611</v>
      </c>
      <c r="BF223" s="5">
        <v>76793</v>
      </c>
      <c r="BQ223" s="3">
        <v>1378717</v>
      </c>
      <c r="BR223" s="3">
        <f>SUM(145089+330135)</f>
        <v>475224</v>
      </c>
      <c r="BS223" s="3">
        <v>448089</v>
      </c>
      <c r="BT223" s="3">
        <f>SUM(50504+307417)</f>
        <v>357921</v>
      </c>
      <c r="BU223" s="3">
        <f>SUM(61611+266225)</f>
        <v>327836</v>
      </c>
      <c r="BV223" s="3">
        <v>1235243</v>
      </c>
      <c r="BZ223" s="1">
        <v>43967</v>
      </c>
      <c r="CA223" s="3">
        <f t="shared" si="94"/>
        <v>2419</v>
      </c>
      <c r="CB223" s="3">
        <f t="shared" si="107"/>
        <v>40669</v>
      </c>
      <c r="CE223" s="1">
        <v>43967</v>
      </c>
      <c r="CF223">
        <f t="shared" si="95"/>
        <v>1184</v>
      </c>
      <c r="CG223" s="3">
        <f t="shared" si="106"/>
        <v>12252</v>
      </c>
      <c r="CJ223" s="1">
        <v>43967</v>
      </c>
      <c r="CK223">
        <f t="shared" si="96"/>
        <v>1512</v>
      </c>
      <c r="CL223" s="3">
        <f t="shared" si="97"/>
        <v>12410</v>
      </c>
      <c r="CO223" s="1">
        <v>43967</v>
      </c>
      <c r="CP223">
        <f t="shared" si="98"/>
        <v>425</v>
      </c>
      <c r="CQ223" s="3">
        <f t="shared" si="103"/>
        <v>425</v>
      </c>
      <c r="CT223" s="1">
        <v>43967</v>
      </c>
      <c r="CU223">
        <f t="shared" si="99"/>
        <v>989</v>
      </c>
      <c r="CV223" s="3">
        <f t="shared" si="105"/>
        <v>8004</v>
      </c>
      <c r="CY223" s="1">
        <v>43967</v>
      </c>
      <c r="CZ223">
        <f t="shared" si="100"/>
        <v>1857</v>
      </c>
      <c r="DA223" s="3">
        <f t="shared" si="92"/>
        <v>56117</v>
      </c>
      <c r="DG223" s="1">
        <v>43967</v>
      </c>
      <c r="DH223" s="3">
        <f t="shared" si="108"/>
        <v>1420</v>
      </c>
      <c r="DI223" s="3">
        <f>SUM(M47+N47+O47+P47+Q47)</f>
        <v>397</v>
      </c>
      <c r="DJ223" s="3">
        <f t="shared" si="101"/>
        <v>1095</v>
      </c>
      <c r="DK223" s="3">
        <f t="shared" si="104"/>
        <v>208</v>
      </c>
      <c r="DL223" s="3">
        <f t="shared" ref="DL223:DL237" si="109">SUM(AQ47+AR47+AS47+AT47+AU47)</f>
        <v>537</v>
      </c>
      <c r="DM223" s="3">
        <f t="shared" si="93"/>
        <v>1451</v>
      </c>
    </row>
    <row r="224" spans="1:117" x14ac:dyDescent="0.2">
      <c r="AZ224" s="5">
        <v>350121</v>
      </c>
      <c r="BA224" s="5">
        <v>146334</v>
      </c>
      <c r="BB224" s="5">
        <v>86010</v>
      </c>
      <c r="BC224" s="5">
        <v>51142</v>
      </c>
      <c r="BD224" s="5">
        <v>62234</v>
      </c>
      <c r="BF224" s="5">
        <v>78839</v>
      </c>
      <c r="BQ224" s="3">
        <v>1413396</v>
      </c>
      <c r="BR224" s="3">
        <v>487565</v>
      </c>
      <c r="BS224" s="3">
        <v>460826</v>
      </c>
      <c r="BT224" s="3">
        <f>SUM(51142+345816)</f>
        <v>396958</v>
      </c>
      <c r="BU224" s="3">
        <f>SUM(62234+270670)</f>
        <v>332904</v>
      </c>
      <c r="BV224" s="3">
        <v>1292672</v>
      </c>
      <c r="BZ224" s="1">
        <v>43968</v>
      </c>
      <c r="CA224" s="3">
        <f t="shared" si="94"/>
        <v>1889</v>
      </c>
      <c r="CB224" s="3">
        <f t="shared" si="107"/>
        <v>34679</v>
      </c>
      <c r="CE224" s="1">
        <v>43968</v>
      </c>
      <c r="CF224">
        <f t="shared" si="95"/>
        <v>1245</v>
      </c>
      <c r="CG224" s="3">
        <f t="shared" si="106"/>
        <v>12341</v>
      </c>
      <c r="CJ224" s="1">
        <v>43968</v>
      </c>
      <c r="CK224">
        <f t="shared" si="96"/>
        <v>1077</v>
      </c>
      <c r="CL224" s="3">
        <f t="shared" si="97"/>
        <v>12737</v>
      </c>
      <c r="CO224" s="1">
        <v>43968</v>
      </c>
      <c r="CP224">
        <f t="shared" si="98"/>
        <v>638</v>
      </c>
      <c r="CQ224" s="3">
        <f t="shared" si="103"/>
        <v>39037</v>
      </c>
      <c r="CT224" s="1">
        <v>43968</v>
      </c>
      <c r="CU224">
        <f t="shared" si="99"/>
        <v>623</v>
      </c>
      <c r="CV224" s="3">
        <f t="shared" si="105"/>
        <v>5068</v>
      </c>
      <c r="CY224" s="1">
        <v>43968</v>
      </c>
      <c r="CZ224">
        <f t="shared" si="100"/>
        <v>2046</v>
      </c>
      <c r="DA224" s="3">
        <f t="shared" si="92"/>
        <v>57429</v>
      </c>
      <c r="DG224" s="1">
        <v>43968</v>
      </c>
      <c r="DH224" s="3">
        <f t="shared" si="108"/>
        <v>1086</v>
      </c>
      <c r="DI224" s="3">
        <f>SUM(M48+N48+O48+P48+Q48)</f>
        <v>651</v>
      </c>
      <c r="DJ224" s="3">
        <f t="shared" si="101"/>
        <v>774</v>
      </c>
      <c r="DK224" s="3">
        <f t="shared" si="104"/>
        <v>132</v>
      </c>
      <c r="DL224" s="3">
        <f t="shared" si="109"/>
        <v>311</v>
      </c>
      <c r="DM224" s="3">
        <f t="shared" si="93"/>
        <v>1064</v>
      </c>
    </row>
    <row r="225" spans="49:117" x14ac:dyDescent="0.2">
      <c r="AZ225" s="5">
        <v>351371</v>
      </c>
      <c r="BA225" s="5">
        <v>148039</v>
      </c>
      <c r="BB225" s="5">
        <v>87052</v>
      </c>
      <c r="BC225" s="5">
        <v>51915</v>
      </c>
      <c r="BD225" s="5">
        <v>63056</v>
      </c>
      <c r="BF225" s="5">
        <v>80430</v>
      </c>
      <c r="BQ225" s="3">
        <v>1439557</v>
      </c>
      <c r="BR225" s="3">
        <f>SUM(148039+357530)</f>
        <v>505569</v>
      </c>
      <c r="BS225" s="3">
        <v>469199</v>
      </c>
      <c r="BT225" s="3">
        <f>SUM(51915+358263)</f>
        <v>410178</v>
      </c>
      <c r="BU225" s="3">
        <f>SUM(63056+277553)</f>
        <v>340609</v>
      </c>
      <c r="BV225" s="3">
        <v>1339316</v>
      </c>
      <c r="BZ225" s="1">
        <v>43969</v>
      </c>
      <c r="CA225" s="3">
        <f t="shared" si="94"/>
        <v>1250</v>
      </c>
      <c r="CB225" s="3">
        <f t="shared" si="107"/>
        <v>26161</v>
      </c>
      <c r="CE225" s="1">
        <v>43969</v>
      </c>
      <c r="CF225">
        <f t="shared" si="95"/>
        <v>1705</v>
      </c>
      <c r="CG225" s="3">
        <f t="shared" si="106"/>
        <v>18004</v>
      </c>
      <c r="CJ225" s="1">
        <v>43969</v>
      </c>
      <c r="CK225">
        <f t="shared" si="96"/>
        <v>1042</v>
      </c>
      <c r="CL225" s="3">
        <f t="shared" si="97"/>
        <v>8373</v>
      </c>
      <c r="CO225" s="1">
        <v>43969</v>
      </c>
      <c r="CP225">
        <f t="shared" si="98"/>
        <v>773</v>
      </c>
      <c r="CQ225" s="3">
        <f t="shared" si="103"/>
        <v>13220</v>
      </c>
      <c r="CT225" s="1">
        <v>43969</v>
      </c>
      <c r="CU225">
        <f t="shared" si="99"/>
        <v>822</v>
      </c>
      <c r="CV225" s="3">
        <f t="shared" si="105"/>
        <v>7705</v>
      </c>
      <c r="CY225" s="1">
        <v>43969</v>
      </c>
      <c r="CZ225">
        <f t="shared" si="100"/>
        <v>1591</v>
      </c>
      <c r="DA225" s="3">
        <f t="shared" si="92"/>
        <v>46644</v>
      </c>
      <c r="DG225" s="1">
        <v>43969</v>
      </c>
      <c r="DH225" s="3">
        <f t="shared" si="108"/>
        <v>711</v>
      </c>
      <c r="DI225" s="3"/>
      <c r="DJ225" s="3">
        <f t="shared" si="101"/>
        <v>773</v>
      </c>
      <c r="DK225" s="3">
        <f t="shared" si="104"/>
        <v>88</v>
      </c>
      <c r="DL225" s="3">
        <f t="shared" si="109"/>
        <v>473</v>
      </c>
      <c r="DM225" s="3">
        <f t="shared" si="93"/>
        <v>795</v>
      </c>
    </row>
    <row r="226" spans="49:117" x14ac:dyDescent="0.2">
      <c r="AZ226" s="5">
        <v>352845</v>
      </c>
      <c r="BA226" s="5">
        <v>149013</v>
      </c>
      <c r="BB226" s="5">
        <v>87925</v>
      </c>
      <c r="BC226" s="5">
        <v>52350</v>
      </c>
      <c r="BD226" s="5">
        <v>63666</v>
      </c>
      <c r="BF226" s="5">
        <v>81795</v>
      </c>
      <c r="BQ226" s="3">
        <v>1467739</v>
      </c>
      <c r="BR226" s="3">
        <f>SUM(149013+371169)</f>
        <v>520182</v>
      </c>
      <c r="BS226" s="3">
        <v>476940</v>
      </c>
      <c r="BT226" s="3">
        <f>SUM(52350+370554)</f>
        <v>422904</v>
      </c>
      <c r="BU226" s="3">
        <f>SUM(63666+286034)</f>
        <v>349700</v>
      </c>
      <c r="BV226" s="3">
        <v>1380120</v>
      </c>
      <c r="BZ226" s="1">
        <v>43970</v>
      </c>
      <c r="CA226" s="3">
        <f t="shared" si="94"/>
        <v>1474</v>
      </c>
      <c r="CB226" s="3">
        <f t="shared" si="107"/>
        <v>28182</v>
      </c>
      <c r="CE226" s="1">
        <v>43970</v>
      </c>
      <c r="CF226">
        <f t="shared" si="95"/>
        <v>974</v>
      </c>
      <c r="CG226" s="3">
        <f t="shared" si="106"/>
        <v>14613</v>
      </c>
      <c r="CJ226" s="1">
        <v>43970</v>
      </c>
      <c r="CK226">
        <f t="shared" si="96"/>
        <v>873</v>
      </c>
      <c r="CL226" s="3">
        <f t="shared" si="97"/>
        <v>7741</v>
      </c>
      <c r="CO226" s="1">
        <v>43970</v>
      </c>
      <c r="CP226">
        <f t="shared" si="98"/>
        <v>435</v>
      </c>
      <c r="CQ226" s="3">
        <f t="shared" si="103"/>
        <v>12726</v>
      </c>
      <c r="CT226" s="1">
        <v>43970</v>
      </c>
      <c r="CU226">
        <f t="shared" si="99"/>
        <v>610</v>
      </c>
      <c r="CV226" s="3">
        <f t="shared" si="105"/>
        <v>9091</v>
      </c>
      <c r="CY226" s="1">
        <v>43970</v>
      </c>
      <c r="CZ226">
        <f t="shared" si="100"/>
        <v>1365</v>
      </c>
      <c r="DA226" s="3">
        <f t="shared" si="92"/>
        <v>40804</v>
      </c>
      <c r="DG226" s="1">
        <v>43970</v>
      </c>
      <c r="DH226" s="3">
        <f t="shared" si="108"/>
        <v>665</v>
      </c>
      <c r="DI226" s="3"/>
      <c r="DJ226" s="3">
        <f t="shared" si="101"/>
        <v>655</v>
      </c>
      <c r="DK226" s="3">
        <f t="shared" si="104"/>
        <v>230</v>
      </c>
      <c r="DL226" s="3">
        <f t="shared" si="109"/>
        <v>301</v>
      </c>
      <c r="DM226" s="3">
        <f t="shared" si="93"/>
        <v>1584</v>
      </c>
    </row>
    <row r="227" spans="49:117" x14ac:dyDescent="0.2">
      <c r="AZ227" s="5">
        <v>354370</v>
      </c>
      <c r="BA227" s="5">
        <v>150399</v>
      </c>
      <c r="BB227" s="5">
        <v>88970</v>
      </c>
      <c r="BC227" s="5">
        <v>53009</v>
      </c>
      <c r="BD227" s="5">
        <v>64412</v>
      </c>
      <c r="BF227" s="5">
        <v>84057</v>
      </c>
      <c r="BQ227" s="3">
        <v>1505836</v>
      </c>
      <c r="BR227" s="3">
        <v>531343</v>
      </c>
      <c r="BS227" s="3">
        <v>489953</v>
      </c>
      <c r="BT227" s="3">
        <f>SUM(53009+384063)</f>
        <v>437072</v>
      </c>
      <c r="BU227" s="3">
        <f>SUM(64412+293244)</f>
        <v>357656</v>
      </c>
      <c r="BV227" s="3">
        <v>1421127</v>
      </c>
      <c r="BZ227" s="1">
        <v>43971</v>
      </c>
      <c r="CA227" s="3">
        <f t="shared" si="94"/>
        <v>1525</v>
      </c>
      <c r="CB227" s="3">
        <f t="shared" si="107"/>
        <v>38097</v>
      </c>
      <c r="CE227" s="1">
        <v>43971</v>
      </c>
      <c r="CF227">
        <f t="shared" si="95"/>
        <v>1386</v>
      </c>
      <c r="CG227" s="3">
        <f t="shared" si="106"/>
        <v>11161</v>
      </c>
      <c r="CJ227" s="1">
        <v>43971</v>
      </c>
      <c r="CK227">
        <f t="shared" si="96"/>
        <v>1045</v>
      </c>
      <c r="CL227" s="3">
        <f t="shared" si="97"/>
        <v>13013</v>
      </c>
      <c r="CO227" s="1">
        <v>43971</v>
      </c>
      <c r="CP227">
        <f t="shared" si="98"/>
        <v>659</v>
      </c>
      <c r="CQ227" s="3">
        <f t="shared" si="103"/>
        <v>14168</v>
      </c>
      <c r="CT227" s="1">
        <v>43971</v>
      </c>
      <c r="CU227">
        <f t="shared" si="99"/>
        <v>746</v>
      </c>
      <c r="CV227" s="3">
        <f t="shared" si="105"/>
        <v>7956</v>
      </c>
      <c r="CY227" s="1">
        <v>43971</v>
      </c>
      <c r="CZ227">
        <f t="shared" si="100"/>
        <v>2262</v>
      </c>
      <c r="DA227" s="3">
        <f t="shared" si="92"/>
        <v>41007</v>
      </c>
      <c r="DG227" s="1">
        <v>43971</v>
      </c>
      <c r="DH227" s="3">
        <f t="shared" si="108"/>
        <v>757</v>
      </c>
      <c r="DI227" s="3"/>
      <c r="DJ227" s="3">
        <f t="shared" si="101"/>
        <v>753</v>
      </c>
      <c r="DK227" s="3">
        <f t="shared" si="104"/>
        <v>238</v>
      </c>
      <c r="DL227" s="3">
        <f t="shared" si="109"/>
        <v>404</v>
      </c>
      <c r="DM227" s="3">
        <f t="shared" si="93"/>
        <v>1630</v>
      </c>
    </row>
    <row r="228" spans="49:117" x14ac:dyDescent="0.2">
      <c r="AZ228" s="5">
        <v>356458</v>
      </c>
      <c r="BA228" s="5">
        <v>151472</v>
      </c>
      <c r="BB228" s="5">
        <v>90084</v>
      </c>
      <c r="BC228" s="5">
        <v>53510</v>
      </c>
      <c r="BD228" s="5">
        <v>65392</v>
      </c>
      <c r="BF228" s="5">
        <v>86197</v>
      </c>
      <c r="BQ228" s="3">
        <v>1555055</v>
      </c>
      <c r="BR228" s="3">
        <v>544274</v>
      </c>
      <c r="BS228" s="3">
        <v>501486</v>
      </c>
      <c r="BT228" s="3">
        <f>SUM(53510+401230)</f>
        <v>454740</v>
      </c>
      <c r="BU228" s="3">
        <f>SUM(65392+303514)</f>
        <v>368906</v>
      </c>
      <c r="BV228" s="3">
        <v>1466773</v>
      </c>
      <c r="BZ228" s="1">
        <v>43972</v>
      </c>
      <c r="CA228" s="3">
        <f t="shared" si="94"/>
        <v>2088</v>
      </c>
      <c r="CB228" s="3">
        <f t="shared" si="107"/>
        <v>49219</v>
      </c>
      <c r="CE228" s="1">
        <v>43972</v>
      </c>
      <c r="CF228">
        <f t="shared" si="95"/>
        <v>1073</v>
      </c>
      <c r="CG228" s="3">
        <f t="shared" si="106"/>
        <v>12931</v>
      </c>
      <c r="CJ228" s="1">
        <v>43972</v>
      </c>
      <c r="CK228">
        <f t="shared" si="96"/>
        <v>1114</v>
      </c>
      <c r="CL228" s="3">
        <f t="shared" si="97"/>
        <v>11533</v>
      </c>
      <c r="CO228" s="1">
        <v>43972</v>
      </c>
      <c r="CP228">
        <f t="shared" si="98"/>
        <v>501</v>
      </c>
      <c r="CQ228" s="3">
        <f t="shared" si="103"/>
        <v>17668</v>
      </c>
      <c r="CT228" s="1">
        <v>43972</v>
      </c>
      <c r="CU228">
        <f t="shared" si="99"/>
        <v>980</v>
      </c>
      <c r="CV228" s="3">
        <f t="shared" si="105"/>
        <v>11250</v>
      </c>
      <c r="CY228" s="1">
        <v>43972</v>
      </c>
      <c r="CZ228">
        <f t="shared" si="100"/>
        <v>2140</v>
      </c>
      <c r="DA228" s="3">
        <f t="shared" si="92"/>
        <v>45646</v>
      </c>
      <c r="DG228" s="1">
        <v>43972</v>
      </c>
      <c r="DH228" s="3">
        <f t="shared" si="108"/>
        <v>1215</v>
      </c>
      <c r="DI228" s="3"/>
      <c r="DJ228" s="3">
        <f t="shared" si="101"/>
        <v>793</v>
      </c>
      <c r="DK228" s="3">
        <f t="shared" si="104"/>
        <v>157</v>
      </c>
      <c r="DL228" s="3">
        <f t="shared" si="109"/>
        <v>491</v>
      </c>
      <c r="DM228" s="3">
        <f t="shared" si="93"/>
        <v>1582</v>
      </c>
    </row>
    <row r="229" spans="49:117" x14ac:dyDescent="0.2">
      <c r="AZ229" s="5">
        <v>358154</v>
      </c>
      <c r="BA229" s="5">
        <v>152719</v>
      </c>
      <c r="BB229" s="5">
        <v>90889</v>
      </c>
      <c r="BC229" s="5">
        <v>53913</v>
      </c>
      <c r="BD229" s="5">
        <v>66258</v>
      </c>
      <c r="BF229" s="5">
        <v>88444</v>
      </c>
      <c r="BQ229" s="3">
        <v>1600793</v>
      </c>
      <c r="BR229" s="3">
        <v>555314</v>
      </c>
      <c r="BS229" s="3">
        <v>511644</v>
      </c>
      <c r="BT229" s="3">
        <f>SUM(53913+417871)</f>
        <v>471784</v>
      </c>
      <c r="BU229" s="3">
        <f>SUM(66258+312743)</f>
        <v>379001</v>
      </c>
      <c r="BV229" s="3">
        <v>1515306</v>
      </c>
      <c r="BZ229" s="1">
        <v>43973</v>
      </c>
      <c r="CA229" s="3">
        <f t="shared" si="94"/>
        <v>1696</v>
      </c>
      <c r="CB229" s="3">
        <f t="shared" si="107"/>
        <v>45738</v>
      </c>
      <c r="CE229" s="1">
        <v>43973</v>
      </c>
      <c r="CF229">
        <f t="shared" si="95"/>
        <v>1247</v>
      </c>
      <c r="CG229" s="3">
        <f t="shared" si="106"/>
        <v>11040</v>
      </c>
      <c r="CJ229" s="1">
        <v>43973</v>
      </c>
      <c r="CK229">
        <f t="shared" si="96"/>
        <v>805</v>
      </c>
      <c r="CL229" s="3">
        <f t="shared" si="97"/>
        <v>10158</v>
      </c>
      <c r="CO229" s="1">
        <v>43973</v>
      </c>
      <c r="CP229">
        <f t="shared" si="98"/>
        <v>403</v>
      </c>
      <c r="CQ229" s="3">
        <f t="shared" si="103"/>
        <v>17044</v>
      </c>
      <c r="CT229" s="1">
        <v>43973</v>
      </c>
      <c r="CU229">
        <f t="shared" si="99"/>
        <v>866</v>
      </c>
      <c r="CV229" s="3">
        <f t="shared" si="105"/>
        <v>10095</v>
      </c>
      <c r="CY229" s="1">
        <v>43973</v>
      </c>
      <c r="CZ229">
        <f t="shared" si="100"/>
        <v>2247</v>
      </c>
      <c r="DA229" s="3">
        <f t="shared" si="92"/>
        <v>48533</v>
      </c>
      <c r="DG229" s="1">
        <v>43973</v>
      </c>
      <c r="DH229" s="3">
        <f t="shared" si="108"/>
        <v>868</v>
      </c>
      <c r="DI229" s="3">
        <f>SUM(M53+N53+O53+P53+Q53)</f>
        <v>383</v>
      </c>
      <c r="DJ229" s="3">
        <f t="shared" si="101"/>
        <v>541</v>
      </c>
      <c r="DK229" s="3">
        <f t="shared" si="104"/>
        <v>108</v>
      </c>
      <c r="DL229" s="3">
        <f t="shared" si="109"/>
        <v>487</v>
      </c>
      <c r="DM229" s="3">
        <f t="shared" si="93"/>
        <v>1373</v>
      </c>
    </row>
    <row r="230" spans="49:117" x14ac:dyDescent="0.2">
      <c r="AZ230" s="5">
        <v>359926</v>
      </c>
      <c r="BA230" s="5">
        <v>153104</v>
      </c>
      <c r="BB230" s="5">
        <v>91622</v>
      </c>
      <c r="BC230" s="5">
        <v>54365</v>
      </c>
      <c r="BD230" s="5">
        <v>66983</v>
      </c>
      <c r="BF230" s="5">
        <v>90631</v>
      </c>
      <c r="BQ230" s="3">
        <v>1652061</v>
      </c>
      <c r="BR230" s="3">
        <v>578735</v>
      </c>
      <c r="BS230" s="3">
        <v>520986</v>
      </c>
      <c r="BT230" s="3"/>
      <c r="BU230" s="3">
        <f>SUM(66983+321469)</f>
        <v>388452</v>
      </c>
      <c r="BV230" s="3">
        <v>1582745</v>
      </c>
      <c r="BZ230" s="1">
        <v>43974</v>
      </c>
      <c r="CA230" s="3">
        <f t="shared" si="94"/>
        <v>1772</v>
      </c>
      <c r="CB230" s="3">
        <f t="shared" si="107"/>
        <v>51268</v>
      </c>
      <c r="CE230" s="1">
        <v>43974</v>
      </c>
      <c r="CF230">
        <f t="shared" si="95"/>
        <v>385</v>
      </c>
      <c r="CG230" s="3">
        <f t="shared" si="106"/>
        <v>23421</v>
      </c>
      <c r="CJ230" s="1">
        <v>43974</v>
      </c>
      <c r="CK230">
        <f t="shared" si="96"/>
        <v>733</v>
      </c>
      <c r="CL230" s="3">
        <f t="shared" si="97"/>
        <v>9342</v>
      </c>
      <c r="CO230" s="1">
        <v>43974</v>
      </c>
      <c r="CQ230" s="3"/>
      <c r="CT230" s="1">
        <v>43974</v>
      </c>
      <c r="CU230">
        <f t="shared" si="99"/>
        <v>725</v>
      </c>
      <c r="CV230" s="3">
        <f t="shared" si="105"/>
        <v>9451</v>
      </c>
      <c r="CY230" s="1">
        <v>43974</v>
      </c>
      <c r="CZ230">
        <f t="shared" si="100"/>
        <v>2187</v>
      </c>
      <c r="DA230" s="3">
        <f t="shared" si="92"/>
        <v>67439</v>
      </c>
      <c r="DG230" s="1">
        <v>43974</v>
      </c>
      <c r="DH230" s="3">
        <f t="shared" si="108"/>
        <v>852</v>
      </c>
      <c r="DI230" s="3"/>
      <c r="DJ230" s="3">
        <f t="shared" si="101"/>
        <v>556</v>
      </c>
      <c r="DK230" s="3">
        <f t="shared" si="104"/>
        <v>207</v>
      </c>
      <c r="DL230" s="3">
        <f t="shared" si="109"/>
        <v>325</v>
      </c>
      <c r="DM230" s="3">
        <f t="shared" si="93"/>
        <v>1463</v>
      </c>
    </row>
    <row r="231" spans="49:117" x14ac:dyDescent="0.2">
      <c r="AZ231" s="5">
        <v>361515</v>
      </c>
      <c r="BA231" s="5">
        <v>154154</v>
      </c>
      <c r="BB231" s="5">
        <v>92675</v>
      </c>
      <c r="BC231" s="5">
        <v>54365</v>
      </c>
      <c r="BD231" s="5">
        <v>67713</v>
      </c>
      <c r="BF231" s="5">
        <v>92710</v>
      </c>
      <c r="BQ231" s="3">
        <v>1699826</v>
      </c>
      <c r="BR231" s="3">
        <v>603807</v>
      </c>
      <c r="BS231" s="3">
        <v>532373</v>
      </c>
      <c r="BT231" s="3"/>
      <c r="BU231" s="3">
        <f>SUM(67713+328382)</f>
        <v>396095</v>
      </c>
      <c r="BV231" s="3">
        <v>1644102</v>
      </c>
      <c r="BZ231" s="1">
        <v>43975</v>
      </c>
      <c r="CA231" s="3">
        <f t="shared" si="94"/>
        <v>1589</v>
      </c>
      <c r="CB231" s="3">
        <f t="shared" si="107"/>
        <v>47765</v>
      </c>
      <c r="CE231" s="1">
        <v>43975</v>
      </c>
      <c r="CF231">
        <f t="shared" si="95"/>
        <v>1050</v>
      </c>
      <c r="CG231" s="3">
        <f t="shared" si="106"/>
        <v>25072</v>
      </c>
      <c r="CJ231" s="1">
        <v>43975</v>
      </c>
      <c r="CK231">
        <f t="shared" si="96"/>
        <v>1053</v>
      </c>
      <c r="CL231" s="3">
        <f t="shared" si="97"/>
        <v>11387</v>
      </c>
      <c r="CO231" s="1">
        <v>43975</v>
      </c>
      <c r="CQ231" s="3"/>
      <c r="CT231" s="1">
        <v>43975</v>
      </c>
      <c r="CU231">
        <f t="shared" si="99"/>
        <v>730</v>
      </c>
      <c r="CV231" s="3">
        <f t="shared" si="105"/>
        <v>7643</v>
      </c>
      <c r="CY231" s="1">
        <v>43975</v>
      </c>
      <c r="CZ231">
        <f t="shared" si="100"/>
        <v>2079</v>
      </c>
      <c r="DA231" s="3">
        <f t="shared" si="92"/>
        <v>61357</v>
      </c>
      <c r="DG231" s="1">
        <v>43975</v>
      </c>
      <c r="DH231" s="3">
        <f t="shared" si="108"/>
        <v>976</v>
      </c>
      <c r="DI231" s="3"/>
      <c r="DJ231" s="3">
        <f t="shared" si="101"/>
        <v>687</v>
      </c>
      <c r="DK231" s="3">
        <f t="shared" si="104"/>
        <v>138</v>
      </c>
      <c r="DL231" s="3">
        <f t="shared" si="109"/>
        <v>365</v>
      </c>
      <c r="DM231" s="3">
        <f t="shared" si="93"/>
        <v>1334</v>
      </c>
    </row>
    <row r="232" spans="49:117" x14ac:dyDescent="0.2">
      <c r="AZ232" s="5">
        <v>362764</v>
      </c>
      <c r="BA232" s="5">
        <v>155092</v>
      </c>
      <c r="BB232" s="5">
        <v>93271</v>
      </c>
      <c r="BC232" s="5">
        <v>54881</v>
      </c>
      <c r="BD232" s="5">
        <v>68186</v>
      </c>
      <c r="BF232" s="5">
        <v>94558</v>
      </c>
      <c r="BQ232" s="3">
        <v>1739449</v>
      </c>
      <c r="BR232" s="3">
        <v>623797</v>
      </c>
      <c r="BS232" s="3">
        <v>540561</v>
      </c>
      <c r="BT232" s="3">
        <f>SUM(54881+417979)</f>
        <v>472860</v>
      </c>
      <c r="BU232" s="3">
        <f>SUM(68186+334928)</f>
        <v>403114</v>
      </c>
      <c r="BV232" s="3">
        <v>1696396</v>
      </c>
      <c r="BZ232" s="1">
        <v>43976</v>
      </c>
      <c r="CA232" s="3">
        <f t="shared" si="94"/>
        <v>1249</v>
      </c>
      <c r="CB232" s="3">
        <f t="shared" si="107"/>
        <v>39623</v>
      </c>
      <c r="CE232" s="1">
        <v>43976</v>
      </c>
      <c r="CF232">
        <f t="shared" si="95"/>
        <v>938</v>
      </c>
      <c r="CG232" s="3">
        <f t="shared" ref="CG232:CG237" si="110">SUM(BR232-BR231)</f>
        <v>19990</v>
      </c>
      <c r="CJ232" s="1">
        <v>43976</v>
      </c>
      <c r="CK232">
        <f t="shared" si="96"/>
        <v>596</v>
      </c>
      <c r="CL232" s="3">
        <f t="shared" si="97"/>
        <v>8188</v>
      </c>
      <c r="CO232" s="1">
        <v>43976</v>
      </c>
      <c r="CQ232" s="3"/>
      <c r="CT232" s="1">
        <v>43976</v>
      </c>
      <c r="CU232">
        <f t="shared" si="99"/>
        <v>473</v>
      </c>
      <c r="CV232" s="3">
        <f t="shared" si="105"/>
        <v>7019</v>
      </c>
      <c r="CY232" s="1">
        <v>43976</v>
      </c>
      <c r="CZ232">
        <f t="shared" si="100"/>
        <v>1848</v>
      </c>
      <c r="DA232" s="3">
        <f t="shared" si="92"/>
        <v>52294</v>
      </c>
      <c r="DG232" s="1">
        <v>43976</v>
      </c>
      <c r="DH232" s="3">
        <f t="shared" si="108"/>
        <v>683</v>
      </c>
      <c r="DI232" s="3">
        <f>SUM(M56+N56+O56+P56+Q56)</f>
        <v>368</v>
      </c>
      <c r="DJ232" s="3">
        <f t="shared" si="101"/>
        <v>389</v>
      </c>
      <c r="DK232" s="3">
        <f t="shared" si="104"/>
        <v>90</v>
      </c>
      <c r="DL232" s="3">
        <f t="shared" si="109"/>
        <v>227</v>
      </c>
      <c r="DM232" s="3">
        <f t="shared" si="93"/>
        <v>1609</v>
      </c>
    </row>
    <row r="233" spans="49:117" x14ac:dyDescent="0.2">
      <c r="AZ233" s="5">
        <v>363836</v>
      </c>
      <c r="BA233" s="5">
        <v>155764</v>
      </c>
      <c r="BB233" s="5">
        <v>93693</v>
      </c>
      <c r="BC233" s="5">
        <v>55104</v>
      </c>
      <c r="BD233" s="5">
        <v>68637</v>
      </c>
      <c r="BF233" s="5">
        <v>96733</v>
      </c>
      <c r="BQ233" s="3">
        <v>1774128</v>
      </c>
      <c r="BR233" s="3">
        <v>635892</v>
      </c>
      <c r="BS233" s="3">
        <v>545481</v>
      </c>
      <c r="BT233" s="3">
        <v>484279</v>
      </c>
      <c r="BU233" s="3">
        <f>SUM(68637+339835)</f>
        <v>408472</v>
      </c>
      <c r="BV233" s="3">
        <v>1736894</v>
      </c>
      <c r="BZ233" s="1">
        <v>43977</v>
      </c>
      <c r="CA233" s="3">
        <f t="shared" si="94"/>
        <v>1072</v>
      </c>
      <c r="CB233" s="3">
        <f t="shared" si="107"/>
        <v>34679</v>
      </c>
      <c r="CE233" s="1">
        <v>43977</v>
      </c>
      <c r="CF233">
        <f t="shared" si="95"/>
        <v>672</v>
      </c>
      <c r="CG233" s="3">
        <f t="shared" si="110"/>
        <v>12095</v>
      </c>
      <c r="CJ233" s="1">
        <v>43977</v>
      </c>
      <c r="CK233">
        <f t="shared" si="96"/>
        <v>422</v>
      </c>
      <c r="CL233" s="3">
        <f t="shared" si="97"/>
        <v>4920</v>
      </c>
      <c r="CO233" s="1">
        <v>43977</v>
      </c>
      <c r="CP233">
        <f>SUM(BC233-BC232)</f>
        <v>223</v>
      </c>
      <c r="CQ233" s="3">
        <f>SUM(BT233-BT232)</f>
        <v>11419</v>
      </c>
      <c r="CT233" s="1">
        <v>43977</v>
      </c>
      <c r="CU233">
        <f t="shared" si="99"/>
        <v>451</v>
      </c>
      <c r="CV233" s="3">
        <f t="shared" si="105"/>
        <v>5358</v>
      </c>
      <c r="CY233" s="1">
        <v>43977</v>
      </c>
      <c r="CZ233">
        <f t="shared" si="100"/>
        <v>2175</v>
      </c>
      <c r="DA233" s="3">
        <f t="shared" si="92"/>
        <v>40498</v>
      </c>
      <c r="DG233" s="1">
        <v>43977</v>
      </c>
      <c r="DH233" s="3">
        <f t="shared" si="108"/>
        <v>625</v>
      </c>
      <c r="DI233" s="3">
        <f>SUM(M57+N57+O57+P57+Q57)</f>
        <v>287</v>
      </c>
      <c r="DJ233" s="3">
        <f t="shared" si="101"/>
        <v>281</v>
      </c>
      <c r="DK233" s="3">
        <f t="shared" si="104"/>
        <v>142</v>
      </c>
      <c r="DL233" s="3">
        <f t="shared" si="109"/>
        <v>182</v>
      </c>
      <c r="DM233" s="3">
        <f t="shared" si="93"/>
        <v>1972</v>
      </c>
    </row>
    <row r="234" spans="49:117" x14ac:dyDescent="0.2">
      <c r="AW234" s="3"/>
      <c r="AZ234" s="5">
        <v>364965</v>
      </c>
      <c r="BA234" s="5">
        <v>156628</v>
      </c>
      <c r="BB234" s="5">
        <v>94220</v>
      </c>
      <c r="BC234" s="5">
        <v>55608</v>
      </c>
      <c r="BD234" s="5">
        <v>69417</v>
      </c>
      <c r="BF234" s="5">
        <v>98980</v>
      </c>
      <c r="BQ234" s="3">
        <v>1811544</v>
      </c>
      <c r="BR234" s="3">
        <v>660325</v>
      </c>
      <c r="BS234" s="3">
        <v>552144</v>
      </c>
      <c r="BT234" s="3">
        <f>SUM(55608+438644)</f>
        <v>494252</v>
      </c>
      <c r="BU234" s="3">
        <f>SUM(69417+349990)</f>
        <v>419407</v>
      </c>
      <c r="BV234" s="3">
        <v>1790559</v>
      </c>
      <c r="BZ234" s="1">
        <v>43978</v>
      </c>
      <c r="CA234" s="3">
        <f t="shared" si="94"/>
        <v>1129</v>
      </c>
      <c r="CB234" s="3">
        <f t="shared" si="107"/>
        <v>37416</v>
      </c>
      <c r="CE234" s="1">
        <v>43978</v>
      </c>
      <c r="CF234">
        <f t="shared" si="95"/>
        <v>864</v>
      </c>
      <c r="CG234" s="3">
        <f t="shared" si="110"/>
        <v>24433</v>
      </c>
      <c r="CJ234" s="1">
        <v>43978</v>
      </c>
      <c r="CK234">
        <f t="shared" si="96"/>
        <v>527</v>
      </c>
      <c r="CL234" s="3">
        <f t="shared" si="97"/>
        <v>6663</v>
      </c>
      <c r="CO234" s="1">
        <v>43978</v>
      </c>
      <c r="CP234">
        <f>SUM(BC234-BC233)</f>
        <v>504</v>
      </c>
      <c r="CQ234" s="3">
        <f>SUM(BT234-BT233)</f>
        <v>9973</v>
      </c>
      <c r="CT234" s="1">
        <v>43978</v>
      </c>
      <c r="CU234">
        <f t="shared" si="99"/>
        <v>780</v>
      </c>
      <c r="CV234" s="3">
        <f t="shared" si="105"/>
        <v>10935</v>
      </c>
      <c r="CY234" s="1">
        <v>43978</v>
      </c>
      <c r="CZ234">
        <f t="shared" si="100"/>
        <v>2247</v>
      </c>
      <c r="DA234" s="3">
        <f t="shared" si="92"/>
        <v>53665</v>
      </c>
      <c r="DG234" s="1">
        <v>43978</v>
      </c>
      <c r="DH234" s="3">
        <f t="shared" si="108"/>
        <v>642</v>
      </c>
      <c r="DI234" s="3">
        <f>SUM(M58+N58+O58+P58+Q58)</f>
        <v>257</v>
      </c>
      <c r="DJ234" s="3">
        <f t="shared" si="101"/>
        <v>383</v>
      </c>
      <c r="DK234" s="3">
        <f t="shared" si="104"/>
        <v>134</v>
      </c>
      <c r="DL234" s="3">
        <f t="shared" si="109"/>
        <v>484</v>
      </c>
      <c r="DM234" s="3">
        <f t="shared" si="93"/>
        <v>1510</v>
      </c>
    </row>
    <row r="235" spans="49:117" x14ac:dyDescent="0.2">
      <c r="AW235" s="3"/>
      <c r="AZ235" s="5">
        <v>366733</v>
      </c>
      <c r="BA235" s="5">
        <v>157815</v>
      </c>
      <c r="BB235" s="5">
        <v>94894</v>
      </c>
      <c r="BC235" s="5">
        <v>56014</v>
      </c>
      <c r="BD235" s="5">
        <v>70042</v>
      </c>
      <c r="BF235" s="5">
        <v>101697</v>
      </c>
      <c r="BQ235" s="3">
        <v>1876789</v>
      </c>
      <c r="BR235" s="3">
        <v>685857</v>
      </c>
      <c r="BS235" s="3">
        <v>562323</v>
      </c>
      <c r="BT235" s="3">
        <f>SUM(55014+448444)</f>
        <v>503458</v>
      </c>
      <c r="BU235" s="3">
        <f>SUM(70042+357804)</f>
        <v>427846</v>
      </c>
      <c r="BV235" s="3">
        <v>1835478</v>
      </c>
      <c r="BZ235" s="1">
        <v>43979</v>
      </c>
      <c r="CA235" s="3">
        <f t="shared" si="94"/>
        <v>1768</v>
      </c>
      <c r="CB235" s="3">
        <f t="shared" si="107"/>
        <v>65245</v>
      </c>
      <c r="CE235" s="1">
        <v>43979</v>
      </c>
      <c r="CF235">
        <f t="shared" si="95"/>
        <v>1187</v>
      </c>
      <c r="CG235" s="3">
        <f t="shared" si="110"/>
        <v>25532</v>
      </c>
      <c r="CJ235" s="1">
        <v>43979</v>
      </c>
      <c r="CK235">
        <f t="shared" si="96"/>
        <v>674</v>
      </c>
      <c r="CL235" s="3">
        <f t="shared" si="97"/>
        <v>10179</v>
      </c>
      <c r="CO235" s="1">
        <v>43979</v>
      </c>
      <c r="CP235">
        <f>SUM(BC235-BC234)</f>
        <v>406</v>
      </c>
      <c r="CQ235" s="3">
        <f>SUM(BT235-BT234)</f>
        <v>9206</v>
      </c>
      <c r="CT235" s="1">
        <v>43979</v>
      </c>
      <c r="CU235">
        <f t="shared" si="99"/>
        <v>625</v>
      </c>
      <c r="CV235" s="3">
        <f t="shared" si="105"/>
        <v>8439</v>
      </c>
      <c r="CY235" s="1">
        <v>43979</v>
      </c>
      <c r="CZ235">
        <f t="shared" si="100"/>
        <v>2717</v>
      </c>
      <c r="DA235" s="3">
        <f t="shared" si="92"/>
        <v>44919</v>
      </c>
      <c r="DG235" s="1">
        <v>43979</v>
      </c>
      <c r="DH235" s="3">
        <f t="shared" si="108"/>
        <v>1100</v>
      </c>
      <c r="DI235" s="3">
        <f>SUM(M59+N59+O59+P59+Q59)</f>
        <v>578</v>
      </c>
      <c r="DJ235" s="3">
        <f t="shared" si="101"/>
        <v>479</v>
      </c>
      <c r="DK235" s="3">
        <f t="shared" si="104"/>
        <v>129</v>
      </c>
      <c r="DL235" s="3">
        <f t="shared" si="109"/>
        <v>295</v>
      </c>
      <c r="DM235" s="3">
        <f t="shared" si="93"/>
        <v>1565</v>
      </c>
    </row>
    <row r="236" spans="49:117" x14ac:dyDescent="0.2">
      <c r="AW236" s="3"/>
      <c r="AZ236" s="5">
        <v>368284</v>
      </c>
      <c r="BA236" s="5">
        <v>158844</v>
      </c>
      <c r="BB236" s="5">
        <v>95512</v>
      </c>
      <c r="BC236" s="5">
        <v>56621</v>
      </c>
      <c r="BD236" s="5">
        <v>70735</v>
      </c>
      <c r="BF236" s="5">
        <v>103886</v>
      </c>
      <c r="BQ236" s="3">
        <v>1944130</v>
      </c>
      <c r="BR236" s="3">
        <v>716411</v>
      </c>
      <c r="BS236" s="3">
        <v>571745</v>
      </c>
      <c r="BT236" s="3">
        <v>521607</v>
      </c>
      <c r="BU236" s="3">
        <f>SUM(70735+366970)</f>
        <v>437705</v>
      </c>
      <c r="BV236" s="3">
        <v>1888595</v>
      </c>
      <c r="BZ236" s="1">
        <v>43980</v>
      </c>
      <c r="CA236" s="3">
        <f t="shared" si="94"/>
        <v>1551</v>
      </c>
      <c r="CB236" s="3">
        <f t="shared" si="107"/>
        <v>67341</v>
      </c>
      <c r="CE236" s="1">
        <v>43980</v>
      </c>
      <c r="CF236">
        <f t="shared" si="95"/>
        <v>1029</v>
      </c>
      <c r="CG236" s="3">
        <f t="shared" si="110"/>
        <v>30554</v>
      </c>
      <c r="CJ236" s="1">
        <v>43980</v>
      </c>
      <c r="CK236">
        <f t="shared" si="96"/>
        <v>618</v>
      </c>
      <c r="CL236" s="3">
        <f t="shared" si="97"/>
        <v>9422</v>
      </c>
      <c r="CO236" s="1">
        <v>43980</v>
      </c>
      <c r="CP236">
        <f>SUM(BC236-BC235)</f>
        <v>607</v>
      </c>
      <c r="CQ236" s="3">
        <f>SUM(BT236-BT235)</f>
        <v>18149</v>
      </c>
      <c r="CT236" s="1">
        <v>43980</v>
      </c>
      <c r="CU236">
        <f t="shared" si="99"/>
        <v>693</v>
      </c>
      <c r="CV236" s="3">
        <f t="shared" si="105"/>
        <v>9859</v>
      </c>
      <c r="CY236" s="1">
        <v>43980</v>
      </c>
      <c r="CZ236">
        <f t="shared" si="100"/>
        <v>2189</v>
      </c>
      <c r="DA236" s="3">
        <f t="shared" si="92"/>
        <v>53117</v>
      </c>
      <c r="DG236" s="1">
        <v>43980</v>
      </c>
      <c r="DH236" s="3">
        <f t="shared" si="108"/>
        <v>936</v>
      </c>
      <c r="DI236" s="3">
        <f>SUM(M60+N60+O60+P60+Q60)</f>
        <v>443</v>
      </c>
      <c r="DJ236" s="3">
        <f t="shared" si="101"/>
        <v>441</v>
      </c>
      <c r="DK236" s="3">
        <f t="shared" si="104"/>
        <v>248</v>
      </c>
      <c r="DL236" s="3">
        <f t="shared" si="109"/>
        <v>355</v>
      </c>
      <c r="DM236" s="3">
        <f t="shared" si="93"/>
        <v>2133</v>
      </c>
    </row>
    <row r="237" spans="49:117" x14ac:dyDescent="0.2">
      <c r="AW237" s="3"/>
      <c r="AZ237" s="5">
        <v>369660</v>
      </c>
      <c r="BA237" s="5">
        <v>159608</v>
      </c>
      <c r="BB237" s="5">
        <v>96301</v>
      </c>
      <c r="BC237" s="5">
        <v>56884</v>
      </c>
      <c r="BD237" s="5">
        <v>71415</v>
      </c>
      <c r="BF237" s="5">
        <v>106878</v>
      </c>
      <c r="BM237" s="3"/>
      <c r="BQ237" s="3">
        <v>2005381</v>
      </c>
      <c r="BR237" s="3">
        <v>745308</v>
      </c>
      <c r="BS237" s="3">
        <v>582519</v>
      </c>
      <c r="BT237" s="3">
        <f>SUM(56884+481928)</f>
        <v>538812</v>
      </c>
      <c r="BU237" s="3">
        <f>SUM(71415+375731)</f>
        <v>447146</v>
      </c>
      <c r="BV237" s="3">
        <v>1944848</v>
      </c>
      <c r="BZ237" s="1">
        <v>43981</v>
      </c>
      <c r="CA237" s="3">
        <f t="shared" si="94"/>
        <v>1376</v>
      </c>
      <c r="CB237" s="3">
        <f t="shared" si="107"/>
        <v>61251</v>
      </c>
      <c r="CE237" s="1">
        <v>43981</v>
      </c>
      <c r="CF237">
        <f t="shared" si="95"/>
        <v>764</v>
      </c>
      <c r="CG237" s="3">
        <f t="shared" si="110"/>
        <v>28897</v>
      </c>
      <c r="CJ237" s="1">
        <v>43981</v>
      </c>
      <c r="CK237">
        <f t="shared" si="96"/>
        <v>789</v>
      </c>
      <c r="CL237" s="3">
        <f t="shared" si="97"/>
        <v>10774</v>
      </c>
      <c r="CO237" s="1">
        <v>43981</v>
      </c>
      <c r="CP237">
        <f>SUM(BC237-BC236)</f>
        <v>263</v>
      </c>
      <c r="CQ237" s="3">
        <f>SUM(BT237-BT236)</f>
        <v>17205</v>
      </c>
      <c r="CT237" s="1">
        <v>43981</v>
      </c>
      <c r="CU237">
        <f t="shared" si="99"/>
        <v>680</v>
      </c>
      <c r="CV237" s="3">
        <f t="shared" si="105"/>
        <v>9441</v>
      </c>
      <c r="CY237" s="1">
        <v>43981</v>
      </c>
      <c r="CZ237">
        <f t="shared" si="100"/>
        <v>2992</v>
      </c>
      <c r="DA237" s="3">
        <f>SUM(BV237-BV236)</f>
        <v>56253</v>
      </c>
      <c r="DG237" s="1">
        <v>43981</v>
      </c>
      <c r="DH237" s="3">
        <f t="shared" si="108"/>
        <v>774</v>
      </c>
      <c r="DI237" s="3"/>
      <c r="DJ237" s="3">
        <f t="shared" si="101"/>
        <v>455</v>
      </c>
      <c r="DK237" s="3">
        <f t="shared" si="104"/>
        <v>62</v>
      </c>
      <c r="DL237" s="3">
        <f t="shared" si="109"/>
        <v>355</v>
      </c>
    </row>
    <row r="238" spans="49:117" x14ac:dyDescent="0.2">
      <c r="AW238" s="3"/>
      <c r="AZ238" s="3">
        <v>370770</v>
      </c>
      <c r="BA238" s="5">
        <v>160445</v>
      </c>
      <c r="BB238" s="5">
        <v>96965</v>
      </c>
      <c r="BC238" s="5">
        <v>57397</v>
      </c>
      <c r="BD238" s="5">
        <v>71926</v>
      </c>
      <c r="BF238" s="5">
        <v>110583</v>
      </c>
      <c r="BM238" s="3"/>
      <c r="BP238" t="s">
        <v>47</v>
      </c>
      <c r="BQ238" s="3">
        <v>2063825</v>
      </c>
      <c r="BR238" s="3">
        <v>746145</v>
      </c>
      <c r="BS238" s="3">
        <v>592853</v>
      </c>
      <c r="BT238" s="3">
        <v>554630</v>
      </c>
      <c r="BV238" s="3">
        <v>2012583</v>
      </c>
      <c r="BZ238" s="1">
        <v>43982</v>
      </c>
      <c r="CA238" s="3">
        <f>SUM(AZ238-AZ237)</f>
        <v>1110</v>
      </c>
      <c r="CB238" s="3">
        <f>SUM(BQ238-BQ237)</f>
        <v>58444</v>
      </c>
      <c r="CE238" s="1">
        <v>43982</v>
      </c>
      <c r="CF238">
        <f>SUM(BA238-BA237)</f>
        <v>837</v>
      </c>
      <c r="CG238" s="3">
        <f>SUM(BR238-BR237)</f>
        <v>837</v>
      </c>
      <c r="CJ238" s="1">
        <v>43982</v>
      </c>
      <c r="CK238">
        <f>SUM(BB238-BB237)</f>
        <v>664</v>
      </c>
      <c r="CL238" s="3">
        <f>SUM(BS238-BS237)</f>
        <v>10334</v>
      </c>
      <c r="CO238" s="1">
        <v>43982</v>
      </c>
      <c r="CP238">
        <f>SUM(BC238-BC237)</f>
        <v>513</v>
      </c>
      <c r="CQ238" s="3">
        <f>SUM(BT238-BT237)</f>
        <v>15818</v>
      </c>
      <c r="CT238" s="1">
        <v>43982</v>
      </c>
      <c r="CU238">
        <f>SUM(BD238-BD237)</f>
        <v>511</v>
      </c>
      <c r="CV238" s="3"/>
      <c r="CY238" s="1">
        <v>43982</v>
      </c>
      <c r="CZ238">
        <f>SUM(BF238-BF237)</f>
        <v>3705</v>
      </c>
      <c r="DA238" s="3">
        <f>SUM(BV238-BV237)</f>
        <v>67735</v>
      </c>
      <c r="DG238" s="1">
        <v>43982</v>
      </c>
      <c r="DH238" s="3">
        <f>SUM(C62+D62+E62+F62+G62)</f>
        <v>694</v>
      </c>
      <c r="DJ238" s="3">
        <f>SUM(W62+X62+Y62+Z62+AA62)</f>
        <v>532</v>
      </c>
      <c r="DK238">
        <f>SUM(AG62+AH62+AI62+AJ62+AK62)</f>
        <v>323</v>
      </c>
      <c r="DL238">
        <f>SUM(AQ62+AR62+AS62+AT62+AU62)</f>
        <v>252</v>
      </c>
      <c r="DM238">
        <f>SUM(BA62+BB62+BC62+BD62+BE62)</f>
        <v>1828</v>
      </c>
    </row>
    <row r="239" spans="49:117" x14ac:dyDescent="0.2">
      <c r="AZ239" s="3">
        <v>371711</v>
      </c>
      <c r="BA239" s="5">
        <v>160918</v>
      </c>
      <c r="BB239" s="5">
        <v>100805</v>
      </c>
      <c r="BC239" s="5">
        <v>57532</v>
      </c>
      <c r="BD239" s="5">
        <v>72282</v>
      </c>
      <c r="BF239" s="5">
        <v>113006</v>
      </c>
      <c r="BQ239" s="3">
        <v>2113777</v>
      </c>
      <c r="BR239" s="3">
        <v>795600</v>
      </c>
      <c r="BS239" s="3">
        <v>599919</v>
      </c>
      <c r="BT239" s="3">
        <v>568023</v>
      </c>
      <c r="BU239" s="3">
        <v>461713</v>
      </c>
      <c r="BV239" s="3">
        <v>2071591</v>
      </c>
      <c r="BZ239" s="1">
        <v>43983</v>
      </c>
      <c r="CA239" s="3">
        <f>SUM(AZ239-AZ238)</f>
        <v>941</v>
      </c>
      <c r="CB239" s="3">
        <f>SUM(BQ239-BQ238)</f>
        <v>49952</v>
      </c>
      <c r="CE239" s="1">
        <v>43983</v>
      </c>
      <c r="CF239">
        <f>SUM(BA239-BA238)</f>
        <v>473</v>
      </c>
      <c r="CG239" s="3">
        <f>SUM(BR239-BR238)</f>
        <v>49455</v>
      </c>
      <c r="CJ239" s="1">
        <v>43983</v>
      </c>
      <c r="CK239">
        <f>SUM(BB239-BB238)</f>
        <v>3840</v>
      </c>
      <c r="CL239" s="3">
        <f>SUM(BS239-BS238)</f>
        <v>7066</v>
      </c>
      <c r="CO239" s="1">
        <v>43983</v>
      </c>
      <c r="CP239">
        <f>SUM(BC239-BC238)</f>
        <v>135</v>
      </c>
      <c r="CQ239" s="3">
        <f>SUM(BT239-BT238)</f>
        <v>13393</v>
      </c>
      <c r="CT239" s="1">
        <v>43983</v>
      </c>
      <c r="CU239">
        <f>SUM(BD239-BD238)</f>
        <v>356</v>
      </c>
      <c r="CV239" s="3"/>
      <c r="CY239" s="1">
        <v>43983</v>
      </c>
      <c r="CZ239">
        <f>SUM(BF239-BF238)</f>
        <v>2423</v>
      </c>
      <c r="DA239" s="3">
        <f>SUM(BV239-BV238)</f>
        <v>59008</v>
      </c>
      <c r="DG239" s="1">
        <v>43983</v>
      </c>
      <c r="DH239" s="3">
        <f>SUM(C63+D63+E63+F63+G63)</f>
        <v>523</v>
      </c>
      <c r="DI239">
        <f>SUM(Q63+P63+O63+N63+M63)</f>
        <v>172</v>
      </c>
      <c r="DJ239" s="3">
        <f>SUM(W63+X63+Y63+Z63+AA63)</f>
        <v>2919</v>
      </c>
      <c r="DK239">
        <f>SUM(AG63+AH63+AI63+AJ63+AK63)</f>
        <v>57</v>
      </c>
      <c r="DL239">
        <f>SUM(AQ63+AR63+AS63+AT63+AU63)</f>
        <v>161</v>
      </c>
      <c r="DM239">
        <f>SUM(BA63+BB63+BC63+BD63+BE63)</f>
        <v>1384</v>
      </c>
    </row>
    <row r="240" spans="49:117" x14ac:dyDescent="0.2">
      <c r="AZ240" s="5">
        <v>373040</v>
      </c>
      <c r="BA240" s="5">
        <v>161545</v>
      </c>
      <c r="BB240" s="5">
        <v>101163</v>
      </c>
      <c r="BC240" s="5">
        <v>57731</v>
      </c>
      <c r="BD240" s="5">
        <v>72894</v>
      </c>
      <c r="BF240" s="5">
        <v>115310</v>
      </c>
      <c r="BQ240" s="3">
        <v>2167831</v>
      </c>
      <c r="BR240" s="3">
        <v>817677</v>
      </c>
      <c r="BS240" s="3">
        <v>605771</v>
      </c>
      <c r="BT240" s="3">
        <v>577268</v>
      </c>
      <c r="BU240" s="3">
        <v>472255</v>
      </c>
      <c r="BV240" s="3">
        <v>2131294</v>
      </c>
      <c r="BZ240" s="1">
        <v>43984</v>
      </c>
      <c r="CA240" s="3">
        <f>SUM(AZ240-AZ239)</f>
        <v>1329</v>
      </c>
      <c r="CB240" s="3">
        <f>SUM(BQ240-BQ239)</f>
        <v>54054</v>
      </c>
      <c r="CE240" s="1">
        <v>43984</v>
      </c>
      <c r="CF240">
        <f>SUM(BA240-BA239)</f>
        <v>627</v>
      </c>
      <c r="CG240" s="3">
        <f>SUM(BR240-BR239)</f>
        <v>22077</v>
      </c>
      <c r="CJ240" s="1">
        <v>43984</v>
      </c>
      <c r="CK240">
        <f>SUM(BB240-BB239)</f>
        <v>358</v>
      </c>
      <c r="CL240" s="3">
        <f>SUM(BS240-BS239)</f>
        <v>5852</v>
      </c>
      <c r="CO240" s="1">
        <v>43984</v>
      </c>
      <c r="CP240">
        <f>SUM(BC240-BC239)</f>
        <v>199</v>
      </c>
      <c r="CQ240" s="3">
        <f>SUM(BT240-BT239)</f>
        <v>9245</v>
      </c>
      <c r="CT240" s="1">
        <v>43984</v>
      </c>
      <c r="CU240">
        <f>SUM(BD240-BD239)</f>
        <v>612</v>
      </c>
      <c r="CV240" s="3">
        <f>SUM(BU240-BU239)</f>
        <v>10542</v>
      </c>
      <c r="CY240" s="1">
        <v>43984</v>
      </c>
      <c r="CZ240">
        <f>SUM(BF240-BF239)</f>
        <v>2304</v>
      </c>
      <c r="DA240" s="3">
        <f>SUM(BV240-BV239)</f>
        <v>59703</v>
      </c>
      <c r="DG240" s="1">
        <v>43984</v>
      </c>
      <c r="DH240" s="3">
        <f>SUM(C64+D64+E64+F64+G64)</f>
        <v>863</v>
      </c>
      <c r="DI240">
        <f>SUM(Q64+P64+O64+N64+M64)</f>
        <v>159</v>
      </c>
      <c r="DJ240" s="3">
        <f>SUM(W64+X64+Y64+Z64+AA64)</f>
        <v>301</v>
      </c>
      <c r="DK240">
        <f>SUM(AG64+AH64+AI64+AJ64+AK64)</f>
        <v>49</v>
      </c>
      <c r="DL240">
        <f>SUM(AQ64+AR64+AS64+AT64+AU64)</f>
        <v>323</v>
      </c>
      <c r="DM240">
        <f>SUM(BA64+BB64+BC64+BD64+BE64)</f>
        <v>1707</v>
      </c>
    </row>
    <row r="241" spans="51:117" x14ac:dyDescent="0.2">
      <c r="AZ241" s="5">
        <v>374085</v>
      </c>
      <c r="BA241" s="5">
        <v>162068</v>
      </c>
      <c r="BB241" s="5">
        <v>101592</v>
      </c>
      <c r="BC241" s="5">
        <v>58035</v>
      </c>
      <c r="BD241" s="5">
        <v>73405</v>
      </c>
      <c r="BF241" s="5">
        <v>117687</v>
      </c>
      <c r="BQ241" s="3">
        <v>2229473</v>
      </c>
      <c r="BR241" s="3">
        <v>837420</v>
      </c>
      <c r="BS241" s="3">
        <v>614133</v>
      </c>
      <c r="BT241" s="3">
        <v>593549</v>
      </c>
      <c r="BU241" s="3">
        <v>481674</v>
      </c>
      <c r="BV241" s="3">
        <v>2182671</v>
      </c>
      <c r="BZ241" s="1">
        <v>43985</v>
      </c>
      <c r="CA241" s="3">
        <f>SUM(AZ241-AZ240)</f>
        <v>1045</v>
      </c>
      <c r="CB241" s="3">
        <f>SUM(BQ241-BQ240)</f>
        <v>61642</v>
      </c>
      <c r="CE241" s="1">
        <v>43985</v>
      </c>
      <c r="CF241">
        <f>SUM(BA241-BA240)</f>
        <v>523</v>
      </c>
      <c r="CG241" s="3">
        <f>SUM(BR241-BR240)</f>
        <v>19743</v>
      </c>
      <c r="CJ241" s="1">
        <v>43985</v>
      </c>
      <c r="CK241">
        <f>SUM(BB241-BB240)</f>
        <v>429</v>
      </c>
      <c r="CL241" s="3">
        <f>SUM(BS241-BS240)</f>
        <v>8362</v>
      </c>
      <c r="CO241" s="1">
        <v>43985</v>
      </c>
      <c r="CP241">
        <f>SUM(BC241-BC240)</f>
        <v>304</v>
      </c>
      <c r="CQ241" s="3">
        <f>SUM(BT241-BT240)</f>
        <v>16281</v>
      </c>
      <c r="CT241" s="1">
        <v>43985</v>
      </c>
      <c r="CU241">
        <f>SUM(BD241-BD240)</f>
        <v>511</v>
      </c>
      <c r="CV241" s="3">
        <f>SUM(BU241-BU240)</f>
        <v>9419</v>
      </c>
      <c r="CY241" s="1">
        <v>43985</v>
      </c>
      <c r="CZ241">
        <f>SUM(BF241-BF240)</f>
        <v>2377</v>
      </c>
      <c r="DA241" s="3">
        <f>SUM(BV241-BV240)</f>
        <v>51377</v>
      </c>
      <c r="DG241" s="1">
        <v>43985</v>
      </c>
      <c r="DH241" s="3">
        <f>SUM(C65+D65+E65+F65+G65)</f>
        <v>554</v>
      </c>
      <c r="DI241">
        <f>SUM(Q65+P65+O65+N65+M65)</f>
        <v>193</v>
      </c>
      <c r="DJ241" s="3">
        <f>SUM(W65+X65+Y65+Z65+AA65)</f>
        <v>306</v>
      </c>
      <c r="DK241">
        <f>SUM(AG65+AH65+AI65+AJ65+AK65)</f>
        <v>164</v>
      </c>
      <c r="DL241">
        <f>SUM(AQ65+AR65+AS65+AT65+AU65)</f>
        <v>271</v>
      </c>
      <c r="DM241">
        <f>SUM(BA65+BB65+BC65+BD65+BE65)</f>
        <v>1429</v>
      </c>
    </row>
    <row r="242" spans="51:117" x14ac:dyDescent="0.2">
      <c r="AZ242" s="3">
        <v>375133</v>
      </c>
      <c r="BA242" s="3">
        <v>162530</v>
      </c>
      <c r="BB242" s="3">
        <v>102063</v>
      </c>
      <c r="BC242" s="3">
        <v>58241</v>
      </c>
      <c r="BD242" s="3">
        <v>73942</v>
      </c>
      <c r="BF242" s="3">
        <v>119807</v>
      </c>
      <c r="BG242" s="5"/>
      <c r="BQ242" s="3">
        <v>2293032</v>
      </c>
      <c r="BR242" s="3">
        <v>857729</v>
      </c>
      <c r="BS242" s="3">
        <v>621248</v>
      </c>
      <c r="BT242" s="3">
        <v>608983</v>
      </c>
      <c r="BV242" s="3">
        <v>2238463</v>
      </c>
      <c r="BZ242" s="1">
        <v>43986</v>
      </c>
      <c r="CA242" s="3">
        <f>SUM(AZ242-AZ241)</f>
        <v>1048</v>
      </c>
      <c r="CB242" s="3">
        <f>SUM(BQ242-BQ241)</f>
        <v>63559</v>
      </c>
      <c r="CE242" s="1">
        <v>43986</v>
      </c>
      <c r="CF242">
        <f>SUM(BA242-BA241)</f>
        <v>462</v>
      </c>
      <c r="CG242" s="3">
        <f>SUM(BR242-BR241)</f>
        <v>20309</v>
      </c>
      <c r="CJ242" s="1">
        <v>43986</v>
      </c>
      <c r="CK242">
        <f>SUM(BB242-BB241)</f>
        <v>471</v>
      </c>
      <c r="CL242" s="3">
        <f>SUM(BS242-BS241)</f>
        <v>7115</v>
      </c>
      <c r="CO242" s="1">
        <v>43986</v>
      </c>
      <c r="CP242">
        <f>SUM(BC242-BC241)</f>
        <v>206</v>
      </c>
      <c r="CQ242" s="3">
        <f>SUM(BT242-BT241)</f>
        <v>15434</v>
      </c>
      <c r="CT242" s="1">
        <v>43986</v>
      </c>
      <c r="CU242">
        <f>SUM(BD242-BD241)</f>
        <v>537</v>
      </c>
      <c r="CV242" s="3"/>
      <c r="CY242" s="1">
        <v>43986</v>
      </c>
      <c r="CZ242">
        <f>SUM(BF242-BF241)</f>
        <v>2120</v>
      </c>
      <c r="DA242" s="3">
        <f>SUM(BV242-BV241)</f>
        <v>55792</v>
      </c>
      <c r="DG242" s="1">
        <v>43986</v>
      </c>
      <c r="DH242" s="3">
        <f>SUM(C66+D66+E66+F66+G66)</f>
        <v>576</v>
      </c>
      <c r="DI242">
        <f>SUM(Q66+P66+O66+N66+M66)</f>
        <v>214</v>
      </c>
      <c r="DJ242" s="3">
        <f>SUM(W66+X66+Y66+Z66+AA66)</f>
        <v>327</v>
      </c>
      <c r="DL242">
        <f>SUM(AQ66+AR66+AS66+AT66+AU66)</f>
        <v>266</v>
      </c>
      <c r="DM242">
        <f>SUM(BA66+BB66+BC66+BD66+BE66)</f>
        <v>2125</v>
      </c>
    </row>
    <row r="243" spans="51:117" x14ac:dyDescent="0.2">
      <c r="AY243" s="3"/>
      <c r="AZ243" s="3">
        <v>376208</v>
      </c>
      <c r="BA243" s="5">
        <v>163336</v>
      </c>
      <c r="BB243" s="5">
        <v>102557</v>
      </c>
      <c r="BC243" s="5">
        <v>58525</v>
      </c>
      <c r="BD243" s="5">
        <v>74385</v>
      </c>
      <c r="BF243" s="5">
        <v>122901</v>
      </c>
      <c r="BG243" s="5"/>
      <c r="BQ243" s="3">
        <v>2359512</v>
      </c>
      <c r="BR243" s="3">
        <v>918891</v>
      </c>
      <c r="BS243" s="3">
        <v>631008</v>
      </c>
      <c r="BT243" s="3">
        <v>627547</v>
      </c>
      <c r="BU243" s="3">
        <v>498586</v>
      </c>
      <c r="BZ243" s="1">
        <v>43987</v>
      </c>
      <c r="CA243">
        <v>1075</v>
      </c>
      <c r="CB243" s="3">
        <f>SUM(BQ243-BQ242)</f>
        <v>66480</v>
      </c>
      <c r="CE243" s="1">
        <v>43987</v>
      </c>
      <c r="CF243">
        <f>SUM(BA243-BA242)</f>
        <v>806</v>
      </c>
      <c r="CG243" s="3">
        <f>SUM(BR243-BR242)</f>
        <v>61162</v>
      </c>
      <c r="CJ243" s="1">
        <v>43987</v>
      </c>
      <c r="CK243">
        <f>SUM(BB243-BB242)</f>
        <v>494</v>
      </c>
      <c r="CL243" s="3">
        <f>SUM(BS243-BS242)</f>
        <v>9760</v>
      </c>
      <c r="CO243" s="1">
        <v>43987</v>
      </c>
      <c r="CP243">
        <f>SUM(BC243-BC242)</f>
        <v>284</v>
      </c>
      <c r="CQ243" s="3">
        <f>SUM(BT243-BT242)</f>
        <v>18564</v>
      </c>
      <c r="CT243" s="1">
        <v>43987</v>
      </c>
      <c r="CU243">
        <f>SUM(BD243-BD242)</f>
        <v>443</v>
      </c>
      <c r="CV243" s="3"/>
      <c r="CY243" s="1">
        <v>43987</v>
      </c>
      <c r="CZ243">
        <f>SUM(BF243-BF242)</f>
        <v>3094</v>
      </c>
      <c r="DA243" s="3"/>
      <c r="DG243" s="1">
        <v>43987</v>
      </c>
      <c r="DH243" s="3">
        <f>SUM(C67+D67+E67+F67+G67)</f>
        <v>593</v>
      </c>
      <c r="DI243">
        <f>SUM(Q67+P67+O67+N67+M67)</f>
        <v>376</v>
      </c>
      <c r="DJ243" s="3">
        <f>SUM(W67+X67+Y67+Z67+AA67)</f>
        <v>353</v>
      </c>
      <c r="DL243">
        <f>SUM(AQ67+AR67+AS67+AT67+AU67)</f>
        <v>202</v>
      </c>
    </row>
    <row r="244" spans="51:117" x14ac:dyDescent="0.2">
      <c r="BG244" s="5"/>
    </row>
    <row r="245" spans="51:117" x14ac:dyDescent="0.2">
      <c r="BG245" s="5"/>
      <c r="BM245" s="3"/>
    </row>
    <row r="246" spans="51:117" x14ac:dyDescent="0.2">
      <c r="BG246" s="3"/>
      <c r="BM246" s="3"/>
    </row>
    <row r="247" spans="51:117" x14ac:dyDescent="0.2">
      <c r="BM247" s="3"/>
    </row>
    <row r="248" spans="51:117" x14ac:dyDescent="0.2">
      <c r="BM248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2020-05-27T21:47:48Z</dcterms:created>
  <dcterms:modified xsi:type="dcterms:W3CDTF">2020-06-07T06:36:22Z</dcterms:modified>
</cp:coreProperties>
</file>