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Desktop/raissa/coronavirus-data/"/>
    </mc:Choice>
  </mc:AlternateContent>
  <xr:revisionPtr revIDLastSave="0" documentId="13_ncr:1_{83FD9DDF-BB67-1E40-90E1-80F773663775}" xr6:coauthVersionLast="45" xr6:coauthVersionMax="45" xr10:uidLastSave="{00000000-0000-0000-0000-000000000000}"/>
  <bookViews>
    <workbookView xWindow="17800" yWindow="460" windowWidth="12440" windowHeight="16500" xr2:uid="{15A0E9DB-48AA-2146-A65E-D83F5D86B0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22" i="1" l="1"/>
  <c r="H2367" i="1" l="1"/>
  <c r="H2392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8" i="1"/>
  <c r="H2369" i="1"/>
  <c r="H2370" i="1"/>
  <c r="H2371" i="1"/>
  <c r="H2157" i="1"/>
  <c r="F2200" i="1"/>
  <c r="F2230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132" i="1"/>
  <c r="I2362" i="1" l="1"/>
  <c r="I2332" i="1" l="1"/>
  <c r="G2068" i="1" l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067" i="1"/>
  <c r="G1403" i="1"/>
  <c r="I2302" i="1" l="1"/>
  <c r="I2272" i="1" l="1"/>
  <c r="I2242" i="1" l="1"/>
  <c r="I2212" i="1" l="1"/>
  <c r="I2182" i="1" l="1"/>
  <c r="H1828" i="1" l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1827" i="1"/>
  <c r="F1978" i="1" l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1977" i="1"/>
  <c r="I2152" i="1" l="1"/>
  <c r="I2122" i="1" l="1"/>
  <c r="I2092" i="1" l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6" i="1"/>
  <c r="G577" i="1"/>
  <c r="G578" i="1"/>
  <c r="G579" i="1"/>
  <c r="G580" i="1"/>
  <c r="G581" i="1"/>
  <c r="G583" i="1"/>
  <c r="G584" i="1"/>
  <c r="G585" i="1"/>
  <c r="G587" i="1"/>
  <c r="G588" i="1"/>
  <c r="G589" i="1"/>
  <c r="G590" i="1"/>
  <c r="G591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6" i="1"/>
  <c r="G607" i="1"/>
  <c r="G608" i="1"/>
  <c r="G609" i="1"/>
  <c r="G610" i="1"/>
  <c r="G611" i="1"/>
  <c r="G612" i="1"/>
  <c r="G613" i="1"/>
  <c r="G614" i="1"/>
  <c r="G615" i="1"/>
  <c r="G617" i="1"/>
  <c r="G618" i="1"/>
  <c r="G619" i="1"/>
  <c r="G620" i="1"/>
  <c r="G621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9" i="1"/>
  <c r="G1631" i="1"/>
  <c r="G1632" i="1"/>
  <c r="G1633" i="1"/>
  <c r="G1634" i="1"/>
  <c r="G1635" i="1"/>
  <c r="G1636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9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32" i="1"/>
  <c r="I2062" i="1" l="1"/>
  <c r="I2032" i="1" l="1"/>
  <c r="I2002" i="1" l="1"/>
  <c r="F1948" i="1" l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1" i="1"/>
  <c r="F1972" i="1"/>
  <c r="F1973" i="1"/>
  <c r="F1974" i="1"/>
  <c r="F1975" i="1"/>
  <c r="F1976" i="1"/>
  <c r="F1947" i="1"/>
  <c r="I1972" i="1" l="1"/>
  <c r="F1888" i="1" l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1" i="1"/>
  <c r="F1942" i="1"/>
  <c r="F1943" i="1"/>
  <c r="F1944" i="1"/>
  <c r="F1945" i="1"/>
  <c r="F1946" i="1"/>
  <c r="F1887" i="1"/>
  <c r="E1937" i="1" l="1"/>
  <c r="D1937" i="1"/>
  <c r="I1912" i="1" l="1"/>
  <c r="F1828" i="1" l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27" i="1"/>
  <c r="I1882" i="1" l="1"/>
  <c r="I1852" i="1" l="1"/>
  <c r="I1787" i="1" l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3" i="1"/>
  <c r="H1824" i="1"/>
  <c r="H1825" i="1"/>
  <c r="H1826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683" i="1"/>
  <c r="H1684" i="1"/>
  <c r="H1685" i="1"/>
  <c r="H1686" i="1"/>
  <c r="H1687" i="1"/>
  <c r="H1688" i="1"/>
  <c r="H1689" i="1"/>
  <c r="H1690" i="1"/>
  <c r="H1691" i="1"/>
  <c r="H1692" i="1"/>
  <c r="H1693" i="1"/>
  <c r="H1682" i="1"/>
  <c r="H1677" i="1"/>
  <c r="H32" i="1" l="1"/>
  <c r="I1047" i="1"/>
  <c r="H1047" i="1" s="1"/>
  <c r="H647" i="1"/>
  <c r="I647" i="1"/>
  <c r="H617" i="1"/>
  <c r="I617" i="1"/>
  <c r="H497" i="1"/>
  <c r="H467" i="1"/>
  <c r="I467" i="1"/>
  <c r="I307" i="1"/>
  <c r="F1798" i="1" l="1"/>
  <c r="F1799" i="1"/>
  <c r="F1800" i="1"/>
  <c r="F1801" i="1"/>
  <c r="F1802" i="1"/>
  <c r="F1803" i="1"/>
  <c r="F1804" i="1"/>
  <c r="F1805" i="1"/>
  <c r="F1806" i="1"/>
  <c r="F1808" i="1"/>
  <c r="F1809" i="1"/>
  <c r="F1811" i="1"/>
  <c r="F1797" i="1"/>
  <c r="F1818" i="1"/>
  <c r="F1819" i="1"/>
  <c r="F1820" i="1"/>
  <c r="F1821" i="1"/>
  <c r="F1822" i="1"/>
  <c r="F1823" i="1"/>
  <c r="F1824" i="1"/>
  <c r="F1825" i="1"/>
  <c r="F1826" i="1"/>
  <c r="F1817" i="1"/>
  <c r="E1817" i="1"/>
  <c r="D1817" i="1"/>
  <c r="F1813" i="1"/>
  <c r="F1814" i="1"/>
  <c r="F1815" i="1"/>
  <c r="F1816" i="1"/>
  <c r="F1812" i="1"/>
  <c r="F1767" i="1" l="1"/>
  <c r="F1768" i="1"/>
  <c r="F1769" i="1"/>
  <c r="F1770" i="1"/>
  <c r="F1771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72" i="1"/>
  <c r="F1773" i="1"/>
  <c r="F1774" i="1"/>
  <c r="F1775" i="1"/>
  <c r="F1776" i="1"/>
  <c r="F1778" i="1"/>
  <c r="F1779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677" i="1"/>
  <c r="I1792" i="1"/>
  <c r="E1787" i="1"/>
  <c r="D1787" i="1"/>
  <c r="F749" i="1" l="1"/>
  <c r="F562" i="1"/>
  <c r="F707" i="1"/>
  <c r="F677" i="1"/>
  <c r="D677" i="1"/>
  <c r="E1367" i="1"/>
  <c r="D1367" i="1"/>
  <c r="F647" i="1"/>
  <c r="F1592" i="1" l="1"/>
  <c r="F1533" i="1"/>
  <c r="F334" i="1"/>
  <c r="F303" i="1"/>
  <c r="I1762" i="1" l="1"/>
  <c r="I1732" i="1" l="1"/>
  <c r="I1727" i="1"/>
  <c r="I1697" i="1" l="1"/>
  <c r="I1702" i="1"/>
  <c r="H642" i="1" l="1"/>
  <c r="F1076" i="1"/>
  <c r="F1075" i="1"/>
  <c r="F1074" i="1"/>
  <c r="F1073" i="1"/>
  <c r="F1056" i="1"/>
  <c r="F1055" i="1"/>
  <c r="F1054" i="1"/>
  <c r="F1051" i="1"/>
  <c r="F1050" i="1"/>
  <c r="F1049" i="1"/>
  <c r="F1048" i="1"/>
  <c r="F1047" i="1"/>
  <c r="F1066" i="1"/>
  <c r="F1065" i="1"/>
  <c r="F1064" i="1"/>
  <c r="F1063" i="1"/>
  <c r="F1062" i="1"/>
  <c r="F1061" i="1"/>
  <c r="F1060" i="1"/>
  <c r="F1059" i="1"/>
  <c r="F1058" i="1"/>
  <c r="F1057" i="1"/>
  <c r="F32" i="1"/>
  <c r="F33" i="1"/>
  <c r="F35" i="1"/>
  <c r="F37" i="1"/>
  <c r="F34" i="1" l="1"/>
  <c r="F36" i="1"/>
  <c r="F38" i="1"/>
  <c r="F39" i="1"/>
  <c r="F40" i="1"/>
  <c r="F41" i="1"/>
  <c r="F42" i="1"/>
  <c r="F43" i="1"/>
  <c r="F44" i="1"/>
  <c r="F45" i="1"/>
  <c r="F46" i="1"/>
  <c r="D197" i="1"/>
  <c r="F385" i="1"/>
  <c r="H42" i="1" l="1"/>
  <c r="H72" i="1"/>
  <c r="H102" i="1"/>
  <c r="H132" i="1"/>
  <c r="H162" i="1"/>
  <c r="H192" i="1"/>
  <c r="H222" i="1"/>
  <c r="H252" i="1"/>
  <c r="H282" i="1"/>
  <c r="H312" i="1"/>
  <c r="H342" i="1"/>
  <c r="H372" i="1"/>
  <c r="H402" i="1"/>
  <c r="H432" i="1"/>
  <c r="H462" i="1"/>
  <c r="H492" i="1"/>
  <c r="H522" i="1"/>
  <c r="H552" i="1"/>
  <c r="H582" i="1"/>
  <c r="H602" i="1"/>
  <c r="H612" i="1"/>
  <c r="H632" i="1"/>
  <c r="H657" i="1"/>
  <c r="H662" i="1"/>
  <c r="H672" i="1"/>
  <c r="H687" i="1"/>
  <c r="H692" i="1"/>
  <c r="H702" i="1"/>
  <c r="H717" i="1"/>
  <c r="H722" i="1"/>
  <c r="H732" i="1"/>
  <c r="H747" i="1"/>
  <c r="H752" i="1"/>
  <c r="H762" i="1"/>
  <c r="H777" i="1"/>
  <c r="H782" i="1"/>
  <c r="H792" i="1"/>
  <c r="H807" i="1"/>
  <c r="H812" i="1"/>
  <c r="H822" i="1"/>
  <c r="H837" i="1"/>
  <c r="H842" i="1"/>
  <c r="H852" i="1"/>
  <c r="H867" i="1"/>
  <c r="H872" i="1"/>
  <c r="H882" i="1"/>
  <c r="H897" i="1"/>
  <c r="H902" i="1"/>
  <c r="H912" i="1"/>
  <c r="H927" i="1"/>
  <c r="H932" i="1"/>
  <c r="H942" i="1"/>
  <c r="H957" i="1"/>
  <c r="H962" i="1"/>
  <c r="H972" i="1"/>
  <c r="H987" i="1"/>
  <c r="H992" i="1"/>
  <c r="H1002" i="1"/>
  <c r="H1017" i="1"/>
  <c r="H1022" i="1"/>
  <c r="H1032" i="1"/>
  <c r="H1107" i="1"/>
  <c r="H1112" i="1"/>
  <c r="H1122" i="1"/>
  <c r="H1137" i="1"/>
  <c r="H1142" i="1"/>
  <c r="H1152" i="1"/>
  <c r="H1167" i="1"/>
  <c r="H1172" i="1"/>
  <c r="H1182" i="1"/>
  <c r="H1197" i="1"/>
  <c r="H1202" i="1"/>
  <c r="H1212" i="1"/>
  <c r="H1227" i="1"/>
  <c r="H1232" i="1"/>
  <c r="H1242" i="1"/>
  <c r="H1257" i="1"/>
  <c r="H1262" i="1"/>
  <c r="H1272" i="1"/>
  <c r="H1287" i="1"/>
  <c r="H1292" i="1"/>
  <c r="H1302" i="1"/>
  <c r="H1317" i="1"/>
  <c r="H1322" i="1"/>
  <c r="H1332" i="1"/>
  <c r="H1347" i="1"/>
  <c r="H1352" i="1"/>
  <c r="H1362" i="1"/>
  <c r="H1377" i="1"/>
  <c r="H1382" i="1"/>
  <c r="H1392" i="1"/>
  <c r="H1407" i="1"/>
  <c r="H1412" i="1"/>
  <c r="H1422" i="1"/>
  <c r="H1437" i="1"/>
  <c r="H1442" i="1"/>
  <c r="H1452" i="1"/>
  <c r="H1467" i="1"/>
  <c r="H1472" i="1"/>
  <c r="H1482" i="1"/>
  <c r="H1497" i="1"/>
  <c r="H1502" i="1"/>
  <c r="H1507" i="1"/>
  <c r="H1512" i="1"/>
  <c r="H1527" i="1"/>
  <c r="H1532" i="1"/>
  <c r="H1537" i="1"/>
  <c r="H1542" i="1"/>
  <c r="H1557" i="1"/>
  <c r="H1562" i="1"/>
  <c r="H1567" i="1"/>
  <c r="H1572" i="1"/>
  <c r="H1587" i="1"/>
  <c r="H1592" i="1"/>
  <c r="H1597" i="1"/>
  <c r="H1602" i="1"/>
  <c r="H1617" i="1"/>
  <c r="H1622" i="1"/>
  <c r="H1627" i="1"/>
  <c r="H1632" i="1"/>
  <c r="H1647" i="1"/>
  <c r="H1652" i="1"/>
  <c r="H1657" i="1"/>
  <c r="H1662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3" i="1"/>
  <c r="F534" i="1"/>
  <c r="F535" i="1"/>
  <c r="F536" i="1"/>
  <c r="F537" i="1"/>
  <c r="F538" i="1"/>
  <c r="F539" i="1"/>
  <c r="F541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3" i="1"/>
  <c r="F564" i="1"/>
  <c r="F565" i="1"/>
  <c r="F566" i="1"/>
  <c r="F567" i="1"/>
  <c r="F568" i="1"/>
  <c r="F569" i="1"/>
  <c r="F571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9" i="1"/>
  <c r="F800" i="1"/>
  <c r="F802" i="1"/>
  <c r="F803" i="1"/>
  <c r="F804" i="1"/>
  <c r="F805" i="1"/>
  <c r="F806" i="1"/>
  <c r="F807" i="1"/>
  <c r="F808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9" i="1"/>
  <c r="F830" i="1"/>
  <c r="F831" i="1"/>
  <c r="F832" i="1"/>
  <c r="F833" i="1"/>
  <c r="F834" i="1"/>
  <c r="F835" i="1"/>
  <c r="F836" i="1"/>
  <c r="F837" i="1"/>
  <c r="F838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10" i="1"/>
  <c r="F1011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40" i="1"/>
  <c r="F1041" i="1"/>
  <c r="F1043" i="1"/>
  <c r="F1044" i="1"/>
  <c r="F1045" i="1"/>
  <c r="F1046" i="1"/>
  <c r="F1067" i="1"/>
  <c r="F1068" i="1"/>
  <c r="F1069" i="1"/>
  <c r="F1070" i="1"/>
  <c r="F1071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3" i="1"/>
  <c r="F1594" i="1"/>
  <c r="F1595" i="1"/>
  <c r="F1596" i="1"/>
  <c r="F1597" i="1"/>
  <c r="F1598" i="1"/>
  <c r="F1599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10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I17" i="1" l="1"/>
  <c r="I47" i="1"/>
  <c r="H47" i="1" s="1"/>
  <c r="I1672" i="1" l="1"/>
  <c r="I242" i="1" l="1"/>
  <c r="I487" i="1" l="1"/>
  <c r="H487" i="1" s="1"/>
  <c r="I457" i="1"/>
  <c r="I427" i="1"/>
  <c r="H427" i="1" s="1"/>
  <c r="I397" i="1"/>
  <c r="I367" i="1"/>
  <c r="H367" i="1" s="1"/>
  <c r="I337" i="1"/>
  <c r="H307" i="1"/>
  <c r="I277" i="1"/>
  <c r="I247" i="1"/>
  <c r="H247" i="1" s="1"/>
  <c r="I217" i="1"/>
  <c r="I187" i="1"/>
  <c r="H187" i="1" s="1"/>
  <c r="I157" i="1"/>
  <c r="I127" i="1"/>
  <c r="H127" i="1" s="1"/>
  <c r="I97" i="1"/>
  <c r="I67" i="1"/>
  <c r="H67" i="1" s="1"/>
  <c r="I37" i="1"/>
  <c r="I7" i="1"/>
  <c r="I1637" i="1"/>
  <c r="I1607" i="1"/>
  <c r="H1607" i="1" s="1"/>
  <c r="I1577" i="1"/>
  <c r="I1547" i="1"/>
  <c r="H1547" i="1" s="1"/>
  <c r="I1517" i="1"/>
  <c r="I1487" i="1"/>
  <c r="H1487" i="1" s="1"/>
  <c r="I1457" i="1"/>
  <c r="I1447" i="1"/>
  <c r="I1427" i="1"/>
  <c r="H1427" i="1" s="1"/>
  <c r="I1417" i="1"/>
  <c r="H1417" i="1" s="1"/>
  <c r="I1397" i="1"/>
  <c r="I1367" i="1"/>
  <c r="H1367" i="1" s="1"/>
  <c r="I1357" i="1"/>
  <c r="I1337" i="1"/>
  <c r="H1337" i="1" s="1"/>
  <c r="I1327" i="1"/>
  <c r="I1297" i="1"/>
  <c r="H1297" i="1" s="1"/>
  <c r="I1307" i="1"/>
  <c r="I1277" i="1"/>
  <c r="I1267" i="1"/>
  <c r="I1247" i="1"/>
  <c r="H1247" i="1" s="1"/>
  <c r="I1237" i="1"/>
  <c r="H1237" i="1" s="1"/>
  <c r="I1217" i="1"/>
  <c r="I1207" i="1"/>
  <c r="I1187" i="1"/>
  <c r="H1187" i="1" s="1"/>
  <c r="I1177" i="1"/>
  <c r="H1177" i="1" s="1"/>
  <c r="I1157" i="1"/>
  <c r="I1147" i="1"/>
  <c r="I1127" i="1"/>
  <c r="H1127" i="1" s="1"/>
  <c r="I1117" i="1"/>
  <c r="H1117" i="1" s="1"/>
  <c r="I1097" i="1"/>
  <c r="H1097" i="1" s="1"/>
  <c r="I1087" i="1"/>
  <c r="I1072" i="1"/>
  <c r="I1067" i="1"/>
  <c r="I1062" i="1"/>
  <c r="I1057" i="1"/>
  <c r="I1052" i="1"/>
  <c r="H1077" i="1"/>
  <c r="I1037" i="1"/>
  <c r="I1027" i="1"/>
  <c r="I1007" i="1"/>
  <c r="H1007" i="1" s="1"/>
  <c r="I997" i="1"/>
  <c r="H997" i="1" s="1"/>
  <c r="I977" i="1"/>
  <c r="I967" i="1"/>
  <c r="I947" i="1"/>
  <c r="H947" i="1" s="1"/>
  <c r="I937" i="1"/>
  <c r="H937" i="1" s="1"/>
  <c r="I917" i="1"/>
  <c r="I907" i="1"/>
  <c r="I887" i="1"/>
  <c r="H887" i="1" s="1"/>
  <c r="I877" i="1"/>
  <c r="H877" i="1" s="1"/>
  <c r="I857" i="1"/>
  <c r="I847" i="1"/>
  <c r="I827" i="1"/>
  <c r="H827" i="1" s="1"/>
  <c r="I817" i="1"/>
  <c r="H817" i="1" s="1"/>
  <c r="I797" i="1"/>
  <c r="I787" i="1"/>
  <c r="I767" i="1"/>
  <c r="H767" i="1" s="1"/>
  <c r="I757" i="1"/>
  <c r="H757" i="1" s="1"/>
  <c r="I737" i="1"/>
  <c r="I727" i="1"/>
  <c r="I707" i="1"/>
  <c r="H707" i="1" s="1"/>
  <c r="I697" i="1"/>
  <c r="H697" i="1" s="1"/>
  <c r="I677" i="1"/>
  <c r="H677" i="1" s="1"/>
  <c r="I667" i="1"/>
  <c r="I637" i="1"/>
  <c r="H637" i="1" s="1"/>
  <c r="I607" i="1"/>
  <c r="I597" i="1"/>
  <c r="I592" i="1"/>
  <c r="I587" i="1"/>
  <c r="I577" i="1"/>
  <c r="I567" i="1"/>
  <c r="H567" i="1" s="1"/>
  <c r="I562" i="1"/>
  <c r="I557" i="1"/>
  <c r="H557" i="1" s="1"/>
  <c r="I547" i="1"/>
  <c r="H547" i="1" s="1"/>
  <c r="I542" i="1"/>
  <c r="I537" i="1"/>
  <c r="I532" i="1"/>
  <c r="H532" i="1" s="1"/>
  <c r="I527" i="1"/>
  <c r="H527" i="1" s="1"/>
  <c r="I517" i="1"/>
  <c r="H517" i="1" s="1"/>
  <c r="I512" i="1"/>
  <c r="I507" i="1"/>
  <c r="H507" i="1" s="1"/>
  <c r="I502" i="1"/>
  <c r="I497" i="1"/>
  <c r="I482" i="1"/>
  <c r="I477" i="1"/>
  <c r="I472" i="1"/>
  <c r="I452" i="1"/>
  <c r="I447" i="1"/>
  <c r="I442" i="1"/>
  <c r="I437" i="1"/>
  <c r="I422" i="1"/>
  <c r="H477" i="1" l="1"/>
  <c r="H572" i="1"/>
  <c r="H542" i="1"/>
  <c r="H597" i="1"/>
  <c r="H627" i="1"/>
  <c r="H737" i="1"/>
  <c r="H797" i="1"/>
  <c r="H857" i="1"/>
  <c r="H917" i="1"/>
  <c r="H977" i="1"/>
  <c r="H1037" i="1"/>
  <c r="H1092" i="1"/>
  <c r="H1062" i="1"/>
  <c r="H1157" i="1"/>
  <c r="H1217" i="1"/>
  <c r="H1277" i="1"/>
  <c r="H472" i="1"/>
  <c r="H502" i="1"/>
  <c r="H577" i="1"/>
  <c r="H607" i="1"/>
  <c r="H1067" i="1"/>
  <c r="H1307" i="1"/>
  <c r="H1357" i="1"/>
  <c r="H1387" i="1"/>
  <c r="H1517" i="1"/>
  <c r="H1637" i="1"/>
  <c r="H1667" i="1"/>
  <c r="H97" i="1"/>
  <c r="H217" i="1"/>
  <c r="H337" i="1"/>
  <c r="H457" i="1"/>
  <c r="H447" i="1"/>
  <c r="H587" i="1"/>
  <c r="H1052" i="1"/>
  <c r="H1082" i="1"/>
  <c r="H1477" i="1"/>
  <c r="H1447" i="1"/>
  <c r="H422" i="1"/>
  <c r="H452" i="1"/>
  <c r="H482" i="1"/>
  <c r="H512" i="1"/>
  <c r="H537" i="1"/>
  <c r="H562" i="1"/>
  <c r="H592" i="1"/>
  <c r="H622" i="1"/>
  <c r="H667" i="1"/>
  <c r="H727" i="1"/>
  <c r="H787" i="1"/>
  <c r="H847" i="1"/>
  <c r="H907" i="1"/>
  <c r="H967" i="1"/>
  <c r="H1027" i="1"/>
  <c r="H1057" i="1"/>
  <c r="H1087" i="1"/>
  <c r="H1147" i="1"/>
  <c r="H1207" i="1"/>
  <c r="H1267" i="1"/>
  <c r="H1327" i="1"/>
  <c r="H1397" i="1"/>
  <c r="H1457" i="1"/>
  <c r="H1577" i="1"/>
  <c r="H37" i="1"/>
  <c r="H157" i="1"/>
  <c r="H277" i="1"/>
  <c r="H397" i="1"/>
  <c r="I417" i="1"/>
  <c r="I412" i="1"/>
  <c r="H412" i="1" s="1"/>
  <c r="I407" i="1"/>
  <c r="H437" i="1" s="1"/>
  <c r="I392" i="1"/>
  <c r="I387" i="1"/>
  <c r="H387" i="1" s="1"/>
  <c r="I382" i="1"/>
  <c r="H382" i="1" s="1"/>
  <c r="I377" i="1"/>
  <c r="I362" i="1"/>
  <c r="I357" i="1"/>
  <c r="H357" i="1" s="1"/>
  <c r="I352" i="1"/>
  <c r="H352" i="1" s="1"/>
  <c r="I347" i="1"/>
  <c r="I332" i="1"/>
  <c r="I327" i="1"/>
  <c r="I322" i="1"/>
  <c r="I317" i="1"/>
  <c r="I302" i="1"/>
  <c r="I297" i="1"/>
  <c r="I292" i="1"/>
  <c r="H292" i="1" s="1"/>
  <c r="I287" i="1"/>
  <c r="I272" i="1"/>
  <c r="H272" i="1" s="1"/>
  <c r="I267" i="1"/>
  <c r="H267" i="1" s="1"/>
  <c r="I262" i="1"/>
  <c r="H262" i="1" s="1"/>
  <c r="I257" i="1"/>
  <c r="I237" i="1"/>
  <c r="I232" i="1"/>
  <c r="I227" i="1"/>
  <c r="H227" i="1" s="1"/>
  <c r="I212" i="1"/>
  <c r="I207" i="1"/>
  <c r="I202" i="1"/>
  <c r="I197" i="1"/>
  <c r="I182" i="1"/>
  <c r="I177" i="1"/>
  <c r="I172" i="1"/>
  <c r="I167" i="1"/>
  <c r="H167" i="1" s="1"/>
  <c r="I152" i="1"/>
  <c r="I147" i="1"/>
  <c r="I142" i="1"/>
  <c r="H142" i="1" s="1"/>
  <c r="I137" i="1"/>
  <c r="I122" i="1"/>
  <c r="I117" i="1"/>
  <c r="I112" i="1"/>
  <c r="H112" i="1" s="1"/>
  <c r="I107" i="1"/>
  <c r="H107" i="1" s="1"/>
  <c r="I92" i="1"/>
  <c r="I87" i="1"/>
  <c r="I82" i="1"/>
  <c r="I77" i="1"/>
  <c r="H77" i="1" s="1"/>
  <c r="I62" i="1"/>
  <c r="I57" i="1"/>
  <c r="H57" i="1" s="1"/>
  <c r="I52" i="1"/>
  <c r="H52" i="1" s="1"/>
  <c r="I32" i="1"/>
  <c r="I27" i="1"/>
  <c r="I22" i="1"/>
  <c r="I2" i="1"/>
  <c r="H197" i="1" l="1"/>
  <c r="H322" i="1"/>
  <c r="H442" i="1"/>
  <c r="H202" i="1"/>
  <c r="H87" i="1"/>
  <c r="H147" i="1"/>
  <c r="H207" i="1"/>
  <c r="H302" i="1"/>
  <c r="H332" i="1"/>
  <c r="H362" i="1"/>
  <c r="H392" i="1"/>
  <c r="H137" i="1"/>
  <c r="H82" i="1"/>
  <c r="H172" i="1"/>
  <c r="H232" i="1"/>
  <c r="H297" i="1"/>
  <c r="H327" i="1"/>
  <c r="H417" i="1"/>
  <c r="H117" i="1"/>
  <c r="H177" i="1"/>
  <c r="H237" i="1"/>
  <c r="H62" i="1"/>
  <c r="H92" i="1"/>
  <c r="H122" i="1"/>
  <c r="H152" i="1"/>
  <c r="H182" i="1"/>
  <c r="H212" i="1"/>
  <c r="H242" i="1"/>
  <c r="H257" i="1"/>
  <c r="H287" i="1"/>
  <c r="H317" i="1"/>
  <c r="H347" i="1"/>
  <c r="H377" i="1"/>
  <c r="H407" i="1"/>
  <c r="I1642" i="1"/>
  <c r="H1642" i="1" l="1"/>
  <c r="H1672" i="1"/>
  <c r="I1612" i="1"/>
  <c r="I1582" i="1" l="1"/>
  <c r="H1612" i="1" l="1"/>
  <c r="I1552" i="1"/>
  <c r="H1582" i="1" s="1"/>
  <c r="I1522" i="1" l="1"/>
  <c r="H1552" i="1" s="1"/>
  <c r="H1522" i="1" l="1"/>
  <c r="I1492" i="1"/>
  <c r="I1462" i="1" l="1"/>
  <c r="H1492" i="1" s="1"/>
  <c r="I1432" i="1" l="1"/>
  <c r="H1462" i="1" l="1"/>
  <c r="I1402" i="1"/>
  <c r="H1432" i="1" l="1"/>
  <c r="I1372" i="1"/>
  <c r="H1402" i="1" l="1"/>
  <c r="I1342" i="1"/>
  <c r="H1372" i="1" l="1"/>
  <c r="I1312" i="1"/>
  <c r="H1342" i="1" l="1"/>
  <c r="I1282" i="1"/>
  <c r="H1312" i="1" s="1"/>
  <c r="I1252" i="1" l="1"/>
  <c r="H1282" i="1" s="1"/>
  <c r="I1222" i="1" l="1"/>
  <c r="H1252" i="1" s="1"/>
  <c r="I1192" i="1" l="1"/>
  <c r="H1222" i="1" l="1"/>
  <c r="I1162" i="1"/>
  <c r="H1192" i="1" l="1"/>
  <c r="I1132" i="1"/>
  <c r="H1162" i="1" s="1"/>
  <c r="I1102" i="1" l="1"/>
  <c r="H1102" i="1" s="1"/>
  <c r="H1132" i="1" l="1"/>
  <c r="I1042" i="1"/>
  <c r="H1072" i="1" l="1"/>
  <c r="I1012" i="1"/>
  <c r="H1042" i="1" l="1"/>
  <c r="I982" i="1"/>
  <c r="H1012" i="1" s="1"/>
  <c r="H982" i="1" l="1"/>
  <c r="I952" i="1"/>
  <c r="I922" i="1" l="1"/>
  <c r="H952" i="1" l="1"/>
  <c r="I892" i="1"/>
  <c r="H922" i="1" l="1"/>
  <c r="I862" i="1"/>
  <c r="H862" i="1" l="1"/>
  <c r="H892" i="1"/>
  <c r="I832" i="1"/>
  <c r="I802" i="1" l="1"/>
  <c r="H832" i="1" l="1"/>
  <c r="I772" i="1"/>
  <c r="H802" i="1" l="1"/>
  <c r="I742" i="1"/>
  <c r="H772" i="1" l="1"/>
  <c r="I712" i="1"/>
  <c r="H742" i="1" l="1"/>
  <c r="I682" i="1"/>
  <c r="H712" i="1" l="1"/>
  <c r="I652" i="1"/>
  <c r="H652" i="1" s="1"/>
  <c r="H682" i="1" l="1"/>
</calcChain>
</file>

<file path=xl/sharedStrings.xml><?xml version="1.0" encoding="utf-8"?>
<sst xmlns="http://schemas.openxmlformats.org/spreadsheetml/2006/main" count="2927" uniqueCount="45">
  <si>
    <t>DATE</t>
  </si>
  <si>
    <t>STATE</t>
  </si>
  <si>
    <t>COUNTY (TOP 3)</t>
  </si>
  <si>
    <t>TOTAL CASES</t>
  </si>
  <si>
    <t>TOTAL DEATHS</t>
  </si>
  <si>
    <t>NY</t>
  </si>
  <si>
    <t>QUEENS</t>
  </si>
  <si>
    <t>KINGS</t>
  </si>
  <si>
    <t>NASSAU</t>
  </si>
  <si>
    <t>NJ</t>
  </si>
  <si>
    <t>BERGEN</t>
  </si>
  <si>
    <t>HUDSON</t>
  </si>
  <si>
    <t>ESSEX</t>
  </si>
  <si>
    <t>MA</t>
  </si>
  <si>
    <t>SUFFOLK</t>
  </si>
  <si>
    <t>MIDDLESEX</t>
  </si>
  <si>
    <t>PA</t>
  </si>
  <si>
    <t>PHILADELPHIA</t>
  </si>
  <si>
    <t>MONTGOMERY</t>
  </si>
  <si>
    <t>DELEWARE</t>
  </si>
  <si>
    <t>CA</t>
  </si>
  <si>
    <t>TESTS PERFORMED THAT DAY</t>
  </si>
  <si>
    <t>LOS ANGELES</t>
  </si>
  <si>
    <t>MI</t>
  </si>
  <si>
    <t>WAYNE</t>
  </si>
  <si>
    <t>OAKLAND</t>
  </si>
  <si>
    <t>SAN DIEGO</t>
  </si>
  <si>
    <t>RIVERSIDE</t>
  </si>
  <si>
    <t>MACOMB</t>
  </si>
  <si>
    <t>NEW CASES</t>
  </si>
  <si>
    <t>TOTAL TESTS PERFORMED</t>
  </si>
  <si>
    <t>NEW DEATHS</t>
  </si>
  <si>
    <t>*as of today, MDHHS is comparing death records w/ COVID-19 infection to confirmed cases of COVID-19. If these death records match, the mortality info is updated (why death rates are increased)</t>
  </si>
  <si>
    <t>NORFOLK</t>
  </si>
  <si>
    <t>WORCESTER</t>
  </si>
  <si>
    <t>BRONX</t>
  </si>
  <si>
    <t>UNION</t>
  </si>
  <si>
    <t>PASSAIC</t>
  </si>
  <si>
    <t>GENESEE</t>
  </si>
  <si>
    <t>WASHTENAW</t>
  </si>
  <si>
    <t>LEHIGH</t>
  </si>
  <si>
    <t>BERKS</t>
  </si>
  <si>
    <t>SANTA CLARA</t>
  </si>
  <si>
    <t>ORANGE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</si>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</sst>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764FD-9959-654F-B5A7-625C8148CAFF}">
  <dimension ref="A1:M2431"/>
  <sheetViews>
    <sheetView tabSelected="1" topLeftCell="A2391" zoomScale="82" zoomScaleNormal="75" workbookViewId="0">
      <selection activeCell="E2400" sqref="E2400"/>
    </sheetView>
  </sheetViews>
  <sheetFormatPr baseColWidth="10" defaultRowHeight="16" x14ac:dyDescent="0.2"/>
  <cols>
    <col min="4" max="9" width="10.83203125" style="2"/>
  </cols>
  <sheetData>
    <row r="1" spans="1:9" x14ac:dyDescent="0.2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29</v>
      </c>
      <c r="G1" s="2" t="s">
        <v>31</v>
      </c>
      <c r="H1" s="2" t="s">
        <v>21</v>
      </c>
      <c r="I1" s="2" t="s">
        <v>30</v>
      </c>
    </row>
    <row r="2" spans="1:9" x14ac:dyDescent="0.2">
      <c r="A2" s="1">
        <v>43922</v>
      </c>
      <c r="B2" t="s">
        <v>5</v>
      </c>
      <c r="C2" s="3" t="s">
        <v>6</v>
      </c>
      <c r="D2" s="2">
        <v>15217</v>
      </c>
      <c r="E2" s="2">
        <v>447</v>
      </c>
      <c r="I2" s="2">
        <f>SUM(83712+137168)</f>
        <v>220880</v>
      </c>
    </row>
    <row r="3" spans="1:9" x14ac:dyDescent="0.2">
      <c r="C3" s="3" t="s">
        <v>7</v>
      </c>
      <c r="D3" s="2">
        <v>12274</v>
      </c>
      <c r="E3" s="2">
        <v>328</v>
      </c>
    </row>
    <row r="4" spans="1:9" x14ac:dyDescent="0.2">
      <c r="C4" s="3" t="s">
        <v>8</v>
      </c>
      <c r="D4" s="2">
        <v>8544</v>
      </c>
      <c r="E4" s="2">
        <v>63</v>
      </c>
    </row>
    <row r="5" spans="1:9" x14ac:dyDescent="0.2">
      <c r="C5" s="3" t="s">
        <v>35</v>
      </c>
      <c r="D5" s="2">
        <v>8607</v>
      </c>
      <c r="E5" s="2">
        <v>360</v>
      </c>
    </row>
    <row r="6" spans="1:9" x14ac:dyDescent="0.2">
      <c r="C6" s="3" t="s">
        <v>14</v>
      </c>
      <c r="D6" s="2">
        <v>7605</v>
      </c>
      <c r="E6" s="2">
        <v>69</v>
      </c>
    </row>
    <row r="7" spans="1:9" x14ac:dyDescent="0.2">
      <c r="B7" t="s">
        <v>9</v>
      </c>
      <c r="C7" s="3" t="s">
        <v>10</v>
      </c>
      <c r="D7" s="2">
        <v>3494</v>
      </c>
      <c r="E7" s="2">
        <v>75</v>
      </c>
      <c r="I7" s="2">
        <f>SUM(22255+30387)</f>
        <v>52642</v>
      </c>
    </row>
    <row r="8" spans="1:9" x14ac:dyDescent="0.2">
      <c r="C8" s="3" t="s">
        <v>11</v>
      </c>
      <c r="D8" s="2">
        <v>1910</v>
      </c>
      <c r="E8" s="2">
        <v>29</v>
      </c>
    </row>
    <row r="9" spans="1:9" x14ac:dyDescent="0.2">
      <c r="C9" s="3" t="s">
        <v>12</v>
      </c>
      <c r="D9" s="2">
        <v>2262</v>
      </c>
      <c r="E9" s="2">
        <v>69</v>
      </c>
    </row>
    <row r="10" spans="1:9" x14ac:dyDescent="0.2">
      <c r="C10" s="3" t="s">
        <v>36</v>
      </c>
      <c r="D10" s="2">
        <v>1661</v>
      </c>
      <c r="E10" s="2">
        <v>29</v>
      </c>
    </row>
    <row r="11" spans="1:9" x14ac:dyDescent="0.2">
      <c r="C11" s="3" t="s">
        <v>37</v>
      </c>
      <c r="D11" s="2">
        <v>1494</v>
      </c>
      <c r="E11" s="2">
        <v>15</v>
      </c>
    </row>
    <row r="12" spans="1:9" x14ac:dyDescent="0.2">
      <c r="B12" t="s">
        <v>13</v>
      </c>
      <c r="C12" s="3" t="s">
        <v>14</v>
      </c>
      <c r="D12" s="2">
        <v>1624</v>
      </c>
      <c r="E12" s="2">
        <v>15</v>
      </c>
      <c r="I12" s="2">
        <v>51738</v>
      </c>
    </row>
    <row r="13" spans="1:9" x14ac:dyDescent="0.2">
      <c r="C13" s="3" t="s">
        <v>15</v>
      </c>
      <c r="D13" s="2">
        <v>1582</v>
      </c>
      <c r="E13" s="2">
        <v>21</v>
      </c>
    </row>
    <row r="14" spans="1:9" x14ac:dyDescent="0.2">
      <c r="C14" s="3" t="s">
        <v>12</v>
      </c>
      <c r="D14" s="2">
        <v>885</v>
      </c>
      <c r="E14" s="2">
        <v>18</v>
      </c>
    </row>
    <row r="15" spans="1:9" x14ac:dyDescent="0.2">
      <c r="C15" s="3" t="s">
        <v>33</v>
      </c>
      <c r="D15" s="2">
        <v>829</v>
      </c>
      <c r="E15" s="2">
        <v>16</v>
      </c>
    </row>
    <row r="16" spans="1:9" x14ac:dyDescent="0.2">
      <c r="C16" s="3" t="s">
        <v>34</v>
      </c>
      <c r="D16" s="2">
        <v>563</v>
      </c>
      <c r="E16" s="2">
        <v>10</v>
      </c>
    </row>
    <row r="17" spans="1:10" x14ac:dyDescent="0.2">
      <c r="B17" t="s">
        <v>23</v>
      </c>
      <c r="C17" s="3" t="s">
        <v>24</v>
      </c>
      <c r="D17" s="2">
        <v>4470</v>
      </c>
      <c r="E17" s="2">
        <v>146</v>
      </c>
      <c r="I17" s="2">
        <f>SUM(12888+27237)</f>
        <v>40125</v>
      </c>
    </row>
    <row r="18" spans="1:10" x14ac:dyDescent="0.2">
      <c r="C18" s="3" t="s">
        <v>25</v>
      </c>
      <c r="D18" s="2">
        <v>1591</v>
      </c>
      <c r="E18" s="2">
        <v>70</v>
      </c>
    </row>
    <row r="19" spans="1:10" x14ac:dyDescent="0.2">
      <c r="C19" s="3" t="s">
        <v>28</v>
      </c>
      <c r="D19" s="2">
        <v>853</v>
      </c>
      <c r="E19" s="2">
        <v>38</v>
      </c>
    </row>
    <row r="20" spans="1:10" x14ac:dyDescent="0.2">
      <c r="C20" s="3" t="s">
        <v>38</v>
      </c>
      <c r="D20" s="2">
        <v>249</v>
      </c>
      <c r="E20" s="2">
        <v>8</v>
      </c>
    </row>
    <row r="21" spans="1:10" x14ac:dyDescent="0.2">
      <c r="C21" s="3" t="s">
        <v>39</v>
      </c>
      <c r="D21" s="2">
        <v>401</v>
      </c>
      <c r="E21" s="2">
        <v>8</v>
      </c>
    </row>
    <row r="22" spans="1:10" x14ac:dyDescent="0.2">
      <c r="B22" t="s">
        <v>16</v>
      </c>
      <c r="C22" s="3" t="s">
        <v>17</v>
      </c>
      <c r="D22" s="2">
        <v>1478</v>
      </c>
      <c r="E22" s="2">
        <v>14</v>
      </c>
      <c r="I22" s="2">
        <f>SUM(5805+42427)</f>
        <v>48232</v>
      </c>
    </row>
    <row r="23" spans="1:10" x14ac:dyDescent="0.2">
      <c r="C23" s="3" t="s">
        <v>18</v>
      </c>
      <c r="D23" s="2">
        <v>649</v>
      </c>
      <c r="E23" s="2">
        <v>8</v>
      </c>
    </row>
    <row r="24" spans="1:10" x14ac:dyDescent="0.2">
      <c r="C24" s="3" t="s">
        <v>19</v>
      </c>
      <c r="D24" s="2">
        <v>390</v>
      </c>
      <c r="E24" s="2">
        <v>7</v>
      </c>
    </row>
    <row r="25" spans="1:10" x14ac:dyDescent="0.2">
      <c r="C25" s="3" t="s">
        <v>40</v>
      </c>
      <c r="D25" s="2">
        <v>374</v>
      </c>
      <c r="E25" s="2">
        <v>5</v>
      </c>
    </row>
    <row r="26" spans="1:10" x14ac:dyDescent="0.2">
      <c r="C26" s="3" t="s">
        <v>41</v>
      </c>
      <c r="D26" s="2">
        <v>151</v>
      </c>
      <c r="E26" s="2">
        <v>0</v>
      </c>
    </row>
    <row r="27" spans="1:10" x14ac:dyDescent="0.2">
      <c r="B27" t="s">
        <v>20</v>
      </c>
      <c r="C27" s="3" t="s">
        <v>22</v>
      </c>
      <c r="D27" s="2">
        <v>3502</v>
      </c>
      <c r="E27" s="2">
        <v>66</v>
      </c>
      <c r="I27" s="2">
        <f>SUM(8155+21772)</f>
        <v>29927</v>
      </c>
    </row>
    <row r="28" spans="1:10" x14ac:dyDescent="0.2">
      <c r="C28" s="3" t="s">
        <v>26</v>
      </c>
      <c r="D28" s="2">
        <v>851</v>
      </c>
      <c r="E28" s="2">
        <v>11</v>
      </c>
    </row>
    <row r="29" spans="1:10" x14ac:dyDescent="0.2">
      <c r="C29" s="3" t="s">
        <v>27</v>
      </c>
      <c r="D29" s="2">
        <v>306</v>
      </c>
      <c r="E29" s="2">
        <v>11</v>
      </c>
    </row>
    <row r="30" spans="1:10" x14ac:dyDescent="0.2">
      <c r="C30" s="3" t="s">
        <v>42</v>
      </c>
      <c r="D30" s="2">
        <v>956</v>
      </c>
      <c r="E30" s="2">
        <v>33</v>
      </c>
    </row>
    <row r="31" spans="1:10" x14ac:dyDescent="0.2">
      <c r="C31" s="3" t="s">
        <v>43</v>
      </c>
      <c r="D31" s="2">
        <v>606</v>
      </c>
      <c r="E31" s="2">
        <v>10</v>
      </c>
    </row>
    <row r="32" spans="1:10" x14ac:dyDescent="0.2">
      <c r="A32" s="1">
        <v>43923</v>
      </c>
      <c r="B32" t="s">
        <v>5</v>
      </c>
      <c r="C32" s="3" t="s">
        <v>6</v>
      </c>
      <c r="D32" s="2">
        <v>16819</v>
      </c>
      <c r="E32" s="2">
        <v>499</v>
      </c>
      <c r="F32" s="2">
        <f>D32-D2</f>
        <v>1602</v>
      </c>
      <c r="G32" s="2">
        <f>SUM(E32-E2)</f>
        <v>52</v>
      </c>
      <c r="H32" s="2">
        <f>SUM(I32-I2)</f>
        <v>18085</v>
      </c>
      <c r="I32" s="2">
        <f>SUM(92381+146584)</f>
        <v>238965</v>
      </c>
      <c r="J32" s="2"/>
    </row>
    <row r="33" spans="2:12" x14ac:dyDescent="0.2">
      <c r="C33" s="3" t="s">
        <v>7</v>
      </c>
      <c r="D33" s="2">
        <v>13290</v>
      </c>
      <c r="E33" s="2">
        <v>385</v>
      </c>
      <c r="F33" s="2">
        <f t="shared" ref="F33:F96" si="0">D33-D3</f>
        <v>1016</v>
      </c>
      <c r="G33" s="2">
        <f t="shared" ref="G33:G96" si="1">SUM(E33-E3)</f>
        <v>57</v>
      </c>
      <c r="J33" s="2"/>
    </row>
    <row r="34" spans="2:12" x14ac:dyDescent="0.2">
      <c r="C34" s="3" t="s">
        <v>8</v>
      </c>
      <c r="D34" s="2">
        <v>9555</v>
      </c>
      <c r="E34" s="2">
        <v>76</v>
      </c>
      <c r="F34" s="2">
        <f t="shared" si="0"/>
        <v>1011</v>
      </c>
      <c r="G34" s="2">
        <f t="shared" si="1"/>
        <v>13</v>
      </c>
      <c r="J34" s="2"/>
    </row>
    <row r="35" spans="2:12" x14ac:dyDescent="0.2">
      <c r="C35" s="3" t="s">
        <v>35</v>
      </c>
      <c r="D35" s="2">
        <v>9343</v>
      </c>
      <c r="E35" s="2">
        <v>421</v>
      </c>
      <c r="F35" s="2">
        <f t="shared" si="0"/>
        <v>736</v>
      </c>
      <c r="G35" s="2">
        <f t="shared" si="1"/>
        <v>61</v>
      </c>
      <c r="J35" s="2"/>
    </row>
    <row r="36" spans="2:12" x14ac:dyDescent="0.2">
      <c r="C36" s="3" t="s">
        <v>14</v>
      </c>
      <c r="D36" s="2">
        <v>8746</v>
      </c>
      <c r="E36" s="2">
        <v>84</v>
      </c>
      <c r="F36" s="2">
        <f t="shared" si="0"/>
        <v>1141</v>
      </c>
      <c r="G36" s="2">
        <f t="shared" si="1"/>
        <v>15</v>
      </c>
      <c r="J36" s="2"/>
    </row>
    <row r="37" spans="2:12" x14ac:dyDescent="0.2">
      <c r="B37" t="s">
        <v>9</v>
      </c>
      <c r="C37" s="3" t="s">
        <v>10</v>
      </c>
      <c r="D37" s="2">
        <v>4099</v>
      </c>
      <c r="E37" s="2">
        <v>120</v>
      </c>
      <c r="F37" s="2">
        <f t="shared" si="0"/>
        <v>605</v>
      </c>
      <c r="G37" s="2">
        <f t="shared" si="1"/>
        <v>45</v>
      </c>
      <c r="H37" s="2">
        <f t="shared" ref="H37:H92" si="2">SUM(I37-I7)</f>
        <v>6468</v>
      </c>
      <c r="I37" s="2">
        <f>SUM(25590+33520)</f>
        <v>59110</v>
      </c>
      <c r="J37" s="2"/>
    </row>
    <row r="38" spans="2:12" x14ac:dyDescent="0.2">
      <c r="C38" s="3" t="s">
        <v>11</v>
      </c>
      <c r="D38" s="2">
        <v>2270</v>
      </c>
      <c r="E38" s="2">
        <v>44</v>
      </c>
      <c r="F38" s="2">
        <f t="shared" si="0"/>
        <v>360</v>
      </c>
      <c r="G38" s="2">
        <f t="shared" si="1"/>
        <v>15</v>
      </c>
      <c r="J38" s="2"/>
      <c r="L38" s="2"/>
    </row>
    <row r="39" spans="2:12" x14ac:dyDescent="0.2">
      <c r="C39" s="3" t="s">
        <v>12</v>
      </c>
      <c r="D39" s="2">
        <v>2617</v>
      </c>
      <c r="E39" s="2">
        <v>99</v>
      </c>
      <c r="F39" s="2">
        <f t="shared" si="0"/>
        <v>355</v>
      </c>
      <c r="G39" s="2">
        <f t="shared" si="1"/>
        <v>30</v>
      </c>
      <c r="J39" s="2"/>
      <c r="L39" s="2"/>
    </row>
    <row r="40" spans="2:12" x14ac:dyDescent="0.2">
      <c r="C40" s="3" t="s">
        <v>36</v>
      </c>
      <c r="D40" s="2">
        <v>2010</v>
      </c>
      <c r="E40" s="2">
        <v>34</v>
      </c>
      <c r="F40" s="2">
        <f t="shared" si="0"/>
        <v>349</v>
      </c>
      <c r="G40" s="2">
        <f t="shared" si="1"/>
        <v>5</v>
      </c>
      <c r="J40" s="2"/>
      <c r="L40" s="2"/>
    </row>
    <row r="41" spans="2:12" x14ac:dyDescent="0.2">
      <c r="C41" s="3" t="s">
        <v>37</v>
      </c>
      <c r="D41" s="2">
        <v>1750</v>
      </c>
      <c r="E41" s="2">
        <v>22</v>
      </c>
      <c r="F41" s="2">
        <f t="shared" si="0"/>
        <v>256</v>
      </c>
      <c r="G41" s="2">
        <f t="shared" si="1"/>
        <v>7</v>
      </c>
      <c r="J41" s="2"/>
      <c r="L41" s="2"/>
    </row>
    <row r="42" spans="2:12" x14ac:dyDescent="0.2">
      <c r="B42" t="s">
        <v>13</v>
      </c>
      <c r="C42" s="3" t="s">
        <v>14</v>
      </c>
      <c r="D42" s="2">
        <v>1896</v>
      </c>
      <c r="E42" s="2">
        <v>21</v>
      </c>
      <c r="F42" s="2">
        <f t="shared" si="0"/>
        <v>272</v>
      </c>
      <c r="G42" s="2">
        <f t="shared" si="1"/>
        <v>6</v>
      </c>
      <c r="H42" s="2">
        <f t="shared" si="2"/>
        <v>4870</v>
      </c>
      <c r="I42" s="2">
        <v>56608</v>
      </c>
      <c r="J42" s="2"/>
      <c r="L42" s="2"/>
    </row>
    <row r="43" spans="2:12" x14ac:dyDescent="0.2">
      <c r="C43" s="3" t="s">
        <v>15</v>
      </c>
      <c r="D43" s="2">
        <v>1870</v>
      </c>
      <c r="E43" s="2">
        <v>29</v>
      </c>
      <c r="F43" s="2">
        <f t="shared" si="0"/>
        <v>288</v>
      </c>
      <c r="G43" s="2">
        <f t="shared" si="1"/>
        <v>8</v>
      </c>
      <c r="J43" s="2"/>
      <c r="L43" s="2"/>
    </row>
    <row r="44" spans="2:12" x14ac:dyDescent="0.2">
      <c r="C44" s="3" t="s">
        <v>12</v>
      </c>
      <c r="D44" s="2">
        <v>1039</v>
      </c>
      <c r="E44" s="2">
        <v>19</v>
      </c>
      <c r="F44" s="2">
        <f t="shared" si="0"/>
        <v>154</v>
      </c>
      <c r="G44" s="2">
        <f t="shared" si="1"/>
        <v>1</v>
      </c>
      <c r="J44" s="2"/>
      <c r="L44" s="2"/>
    </row>
    <row r="45" spans="2:12" x14ac:dyDescent="0.2">
      <c r="C45" s="3" t="s">
        <v>33</v>
      </c>
      <c r="D45" s="2">
        <v>938</v>
      </c>
      <c r="E45" s="2">
        <v>22</v>
      </c>
      <c r="F45" s="2">
        <f t="shared" si="0"/>
        <v>109</v>
      </c>
      <c r="G45" s="2">
        <f t="shared" si="1"/>
        <v>6</v>
      </c>
      <c r="J45" s="2"/>
      <c r="L45" s="2"/>
    </row>
    <row r="46" spans="2:12" x14ac:dyDescent="0.2">
      <c r="C46" s="3" t="s">
        <v>34</v>
      </c>
      <c r="D46" s="2">
        <v>667</v>
      </c>
      <c r="E46" s="2">
        <v>14</v>
      </c>
      <c r="F46" s="2">
        <f t="shared" si="0"/>
        <v>104</v>
      </c>
      <c r="G46" s="2">
        <f t="shared" si="1"/>
        <v>4</v>
      </c>
      <c r="J46" s="2"/>
      <c r="L46" s="2"/>
    </row>
    <row r="47" spans="2:12" x14ac:dyDescent="0.2">
      <c r="B47" t="s">
        <v>23</v>
      </c>
      <c r="C47" s="3" t="s">
        <v>24</v>
      </c>
      <c r="D47" s="2">
        <v>5069</v>
      </c>
      <c r="E47" s="2">
        <v>194</v>
      </c>
      <c r="F47" s="2">
        <f t="shared" si="0"/>
        <v>599</v>
      </c>
      <c r="G47" s="2">
        <f t="shared" si="1"/>
        <v>48</v>
      </c>
      <c r="H47" s="2">
        <f t="shared" si="2"/>
        <v>4360</v>
      </c>
      <c r="I47" s="2">
        <f>SUM(14117+30368)</f>
        <v>44485</v>
      </c>
      <c r="J47" s="2"/>
      <c r="L47" s="2"/>
    </row>
    <row r="48" spans="2:12" x14ac:dyDescent="0.2">
      <c r="C48" s="3" t="s">
        <v>25</v>
      </c>
      <c r="D48" s="2">
        <v>2183</v>
      </c>
      <c r="E48" s="2">
        <v>119</v>
      </c>
      <c r="F48" s="2">
        <f t="shared" si="0"/>
        <v>592</v>
      </c>
      <c r="G48" s="2">
        <f t="shared" si="1"/>
        <v>49</v>
      </c>
      <c r="J48" s="2"/>
      <c r="L48" s="2"/>
    </row>
    <row r="49" spans="1:12" x14ac:dyDescent="0.2">
      <c r="C49" s="3" t="s">
        <v>28</v>
      </c>
      <c r="D49" s="2">
        <v>1332</v>
      </c>
      <c r="E49" s="2">
        <v>58</v>
      </c>
      <c r="F49" s="2">
        <f t="shared" si="0"/>
        <v>479</v>
      </c>
      <c r="G49" s="2">
        <f t="shared" si="1"/>
        <v>20</v>
      </c>
      <c r="J49" s="2"/>
      <c r="L49" s="2"/>
    </row>
    <row r="50" spans="1:12" x14ac:dyDescent="0.2">
      <c r="C50" s="3" t="s">
        <v>38</v>
      </c>
      <c r="D50" s="2">
        <v>349</v>
      </c>
      <c r="E50" s="2">
        <v>10</v>
      </c>
      <c r="F50" s="2">
        <f t="shared" si="0"/>
        <v>100</v>
      </c>
      <c r="G50" s="2">
        <f t="shared" si="1"/>
        <v>2</v>
      </c>
      <c r="J50" s="2"/>
      <c r="L50" s="2"/>
    </row>
    <row r="51" spans="1:12" x14ac:dyDescent="0.2">
      <c r="C51" s="3" t="s">
        <v>39</v>
      </c>
      <c r="D51" s="2">
        <v>438</v>
      </c>
      <c r="E51" s="2">
        <v>8</v>
      </c>
      <c r="F51" s="2">
        <f t="shared" si="0"/>
        <v>37</v>
      </c>
      <c r="G51" s="2">
        <f t="shared" si="1"/>
        <v>0</v>
      </c>
      <c r="J51" s="2"/>
      <c r="L51" s="2"/>
    </row>
    <row r="52" spans="1:12" x14ac:dyDescent="0.2">
      <c r="B52" t="s">
        <v>16</v>
      </c>
      <c r="C52" s="3" t="s">
        <v>17</v>
      </c>
      <c r="D52" s="2">
        <v>1852</v>
      </c>
      <c r="E52" s="2">
        <v>14</v>
      </c>
      <c r="F52" s="2">
        <f t="shared" si="0"/>
        <v>374</v>
      </c>
      <c r="G52" s="2">
        <f t="shared" si="1"/>
        <v>0</v>
      </c>
      <c r="H52" s="2">
        <f t="shared" si="2"/>
        <v>6482</v>
      </c>
      <c r="I52" s="2">
        <f>SUM(7016+47698)</f>
        <v>54714</v>
      </c>
      <c r="J52" s="2"/>
      <c r="K52" s="2"/>
      <c r="L52" s="2"/>
    </row>
    <row r="53" spans="1:12" x14ac:dyDescent="0.2">
      <c r="C53" s="3" t="s">
        <v>18</v>
      </c>
      <c r="D53" s="2">
        <v>735</v>
      </c>
      <c r="E53" s="2">
        <v>9</v>
      </c>
      <c r="F53" s="2">
        <f t="shared" si="0"/>
        <v>86</v>
      </c>
      <c r="G53" s="2">
        <f t="shared" si="1"/>
        <v>1</v>
      </c>
      <c r="J53" s="2"/>
      <c r="K53" s="2"/>
      <c r="L53" s="2"/>
    </row>
    <row r="54" spans="1:12" x14ac:dyDescent="0.2">
      <c r="C54" s="3" t="s">
        <v>19</v>
      </c>
      <c r="D54" s="2">
        <v>470</v>
      </c>
      <c r="E54" s="2">
        <v>8</v>
      </c>
      <c r="F54" s="2">
        <f t="shared" si="0"/>
        <v>80</v>
      </c>
      <c r="G54" s="2">
        <f t="shared" si="1"/>
        <v>1</v>
      </c>
      <c r="J54" s="2"/>
      <c r="K54" s="2"/>
      <c r="L54" s="2"/>
    </row>
    <row r="55" spans="1:12" x14ac:dyDescent="0.2">
      <c r="C55" s="3" t="s">
        <v>40</v>
      </c>
      <c r="D55" s="2">
        <v>479</v>
      </c>
      <c r="E55" s="2">
        <v>5</v>
      </c>
      <c r="F55" s="2">
        <f t="shared" si="0"/>
        <v>105</v>
      </c>
      <c r="G55" s="2">
        <f t="shared" si="1"/>
        <v>0</v>
      </c>
      <c r="J55" s="2"/>
      <c r="K55" s="2"/>
      <c r="L55" s="2"/>
    </row>
    <row r="56" spans="1:12" x14ac:dyDescent="0.2">
      <c r="C56" s="3" t="s">
        <v>41</v>
      </c>
      <c r="D56" s="2">
        <v>168</v>
      </c>
      <c r="E56" s="2">
        <v>1</v>
      </c>
      <c r="F56" s="2">
        <f t="shared" si="0"/>
        <v>17</v>
      </c>
      <c r="G56" s="2">
        <f t="shared" si="1"/>
        <v>1</v>
      </c>
      <c r="J56" s="2"/>
      <c r="K56" s="2"/>
      <c r="L56" s="2"/>
    </row>
    <row r="57" spans="1:12" x14ac:dyDescent="0.2">
      <c r="B57" t="s">
        <v>20</v>
      </c>
      <c r="C57" s="3" t="s">
        <v>22</v>
      </c>
      <c r="D57" s="2">
        <v>4040</v>
      </c>
      <c r="E57" s="2">
        <v>79</v>
      </c>
      <c r="F57" s="2">
        <f t="shared" si="0"/>
        <v>538</v>
      </c>
      <c r="G57" s="2">
        <f t="shared" si="1"/>
        <v>13</v>
      </c>
      <c r="H57" s="2">
        <f t="shared" si="2"/>
        <v>3073</v>
      </c>
      <c r="I57" s="2">
        <f>SUM(9191+23809)</f>
        <v>33000</v>
      </c>
      <c r="J57" s="2"/>
      <c r="K57" s="2"/>
      <c r="L57" s="2"/>
    </row>
    <row r="58" spans="1:12" x14ac:dyDescent="0.2">
      <c r="C58" s="3" t="s">
        <v>26</v>
      </c>
      <c r="D58" s="2">
        <v>968</v>
      </c>
      <c r="E58" s="2">
        <v>16</v>
      </c>
      <c r="F58" s="2">
        <f t="shared" si="0"/>
        <v>117</v>
      </c>
      <c r="G58" s="2">
        <f t="shared" si="1"/>
        <v>5</v>
      </c>
      <c r="J58" s="2"/>
      <c r="K58" s="2"/>
      <c r="L58" s="2"/>
    </row>
    <row r="59" spans="1:12" x14ac:dyDescent="0.2">
      <c r="C59" s="3" t="s">
        <v>27</v>
      </c>
      <c r="D59" s="2">
        <v>438</v>
      </c>
      <c r="E59" s="2">
        <v>13</v>
      </c>
      <c r="F59" s="2">
        <f t="shared" si="0"/>
        <v>132</v>
      </c>
      <c r="G59" s="2">
        <f t="shared" si="1"/>
        <v>2</v>
      </c>
      <c r="J59" s="2"/>
      <c r="K59" s="2"/>
      <c r="L59" s="2"/>
    </row>
    <row r="60" spans="1:12" x14ac:dyDescent="0.2">
      <c r="C60" s="3" t="s">
        <v>42</v>
      </c>
      <c r="D60" s="2">
        <v>1019</v>
      </c>
      <c r="E60" s="2">
        <v>37</v>
      </c>
      <c r="F60" s="2">
        <f t="shared" si="0"/>
        <v>63</v>
      </c>
      <c r="G60" s="2">
        <f t="shared" si="1"/>
        <v>4</v>
      </c>
      <c r="J60" s="2"/>
      <c r="K60" s="2"/>
      <c r="L60" s="2"/>
    </row>
    <row r="61" spans="1:12" x14ac:dyDescent="0.2">
      <c r="C61" s="3" t="s">
        <v>43</v>
      </c>
      <c r="D61" s="2">
        <v>656</v>
      </c>
      <c r="E61" s="2">
        <v>13</v>
      </c>
      <c r="F61" s="2">
        <f t="shared" si="0"/>
        <v>50</v>
      </c>
      <c r="G61" s="2">
        <f t="shared" si="1"/>
        <v>3</v>
      </c>
      <c r="J61" s="2"/>
      <c r="K61" s="2"/>
      <c r="L61" s="2"/>
    </row>
    <row r="62" spans="1:12" x14ac:dyDescent="0.2">
      <c r="A62" s="1">
        <v>43924</v>
      </c>
      <c r="B62" t="s">
        <v>5</v>
      </c>
      <c r="C62" s="3" t="s">
        <v>6</v>
      </c>
      <c r="D62" s="2">
        <v>18823</v>
      </c>
      <c r="E62" s="2">
        <v>590</v>
      </c>
      <c r="F62" s="2">
        <f t="shared" si="0"/>
        <v>2004</v>
      </c>
      <c r="G62" s="2">
        <f t="shared" si="1"/>
        <v>91</v>
      </c>
      <c r="H62" s="2">
        <f t="shared" si="2"/>
        <v>21555</v>
      </c>
      <c r="I62" s="2">
        <f>SUM(102863+157657)</f>
        <v>260520</v>
      </c>
      <c r="J62" s="2"/>
      <c r="K62" s="2"/>
      <c r="L62" s="2"/>
    </row>
    <row r="63" spans="1:12" x14ac:dyDescent="0.2">
      <c r="C63" s="3" t="s">
        <v>7</v>
      </c>
      <c r="D63" s="2">
        <v>15327</v>
      </c>
      <c r="E63" s="2">
        <v>485</v>
      </c>
      <c r="F63" s="2">
        <f t="shared" si="0"/>
        <v>2037</v>
      </c>
      <c r="G63" s="2">
        <f t="shared" si="1"/>
        <v>100</v>
      </c>
      <c r="J63" s="2"/>
      <c r="K63" s="2"/>
      <c r="L63" s="2"/>
    </row>
    <row r="64" spans="1:12" x14ac:dyDescent="0.2">
      <c r="C64" s="3" t="s">
        <v>8</v>
      </c>
      <c r="D64" s="2">
        <v>10587</v>
      </c>
      <c r="E64" s="2">
        <v>138</v>
      </c>
      <c r="F64" s="2">
        <f t="shared" si="0"/>
        <v>1032</v>
      </c>
      <c r="G64" s="2">
        <f t="shared" si="1"/>
        <v>62</v>
      </c>
      <c r="J64" s="2"/>
      <c r="K64" s="2"/>
      <c r="L64" s="2"/>
    </row>
    <row r="65" spans="2:12" x14ac:dyDescent="0.2">
      <c r="C65" s="3" t="s">
        <v>35</v>
      </c>
      <c r="D65" s="2">
        <v>10765</v>
      </c>
      <c r="E65" s="2">
        <v>480</v>
      </c>
      <c r="F65" s="2">
        <f t="shared" si="0"/>
        <v>1422</v>
      </c>
      <c r="G65" s="2">
        <f t="shared" si="1"/>
        <v>59</v>
      </c>
      <c r="J65" s="2"/>
      <c r="K65" s="2"/>
      <c r="L65" s="2"/>
    </row>
    <row r="66" spans="2:12" x14ac:dyDescent="0.2">
      <c r="C66" s="3" t="s">
        <v>14</v>
      </c>
      <c r="D66" s="2">
        <v>10154</v>
      </c>
      <c r="E66" s="2">
        <v>96</v>
      </c>
      <c r="F66" s="2">
        <f t="shared" si="0"/>
        <v>1408</v>
      </c>
      <c r="G66" s="2">
        <f t="shared" si="1"/>
        <v>12</v>
      </c>
      <c r="J66" s="2"/>
      <c r="K66" s="2"/>
      <c r="L66" s="2"/>
    </row>
    <row r="67" spans="2:12" x14ac:dyDescent="0.2">
      <c r="B67" t="s">
        <v>9</v>
      </c>
      <c r="C67" s="3" t="s">
        <v>10</v>
      </c>
      <c r="D67" s="2">
        <v>4866</v>
      </c>
      <c r="E67" s="2">
        <v>132</v>
      </c>
      <c r="F67" s="2">
        <f t="shared" si="0"/>
        <v>767</v>
      </c>
      <c r="G67" s="2">
        <f t="shared" si="1"/>
        <v>12</v>
      </c>
      <c r="H67" s="2">
        <f t="shared" si="2"/>
        <v>8393</v>
      </c>
      <c r="I67" s="2">
        <f>SUM(29895+37608)</f>
        <v>67503</v>
      </c>
      <c r="J67" s="2"/>
      <c r="K67" s="2"/>
      <c r="L67" s="2"/>
    </row>
    <row r="68" spans="2:12" x14ac:dyDescent="0.2">
      <c r="C68" s="3" t="s">
        <v>11</v>
      </c>
      <c r="D68" s="2">
        <v>2835</v>
      </c>
      <c r="E68" s="2">
        <v>59</v>
      </c>
      <c r="F68" s="2">
        <f t="shared" si="0"/>
        <v>565</v>
      </c>
      <c r="G68" s="2">
        <f t="shared" si="1"/>
        <v>15</v>
      </c>
      <c r="J68" s="2"/>
      <c r="K68" s="2"/>
    </row>
    <row r="69" spans="2:12" x14ac:dyDescent="0.2">
      <c r="C69" s="3" t="s">
        <v>12</v>
      </c>
      <c r="D69" s="2">
        <v>3067</v>
      </c>
      <c r="E69" s="2">
        <v>118</v>
      </c>
      <c r="F69" s="2">
        <f t="shared" si="0"/>
        <v>450</v>
      </c>
      <c r="G69" s="2">
        <f t="shared" si="1"/>
        <v>19</v>
      </c>
      <c r="J69" s="2"/>
      <c r="K69" s="2"/>
    </row>
    <row r="70" spans="2:12" x14ac:dyDescent="0.2">
      <c r="C70" s="3" t="s">
        <v>36</v>
      </c>
      <c r="D70" s="2">
        <v>2487</v>
      </c>
      <c r="E70" s="2">
        <v>45</v>
      </c>
      <c r="F70" s="2">
        <f t="shared" si="0"/>
        <v>477</v>
      </c>
      <c r="G70" s="2">
        <f t="shared" si="1"/>
        <v>11</v>
      </c>
      <c r="J70" s="2"/>
      <c r="K70" s="2"/>
    </row>
    <row r="71" spans="2:12" x14ac:dyDescent="0.2">
      <c r="C71" s="3" t="s">
        <v>37</v>
      </c>
      <c r="D71" s="2">
        <v>2216</v>
      </c>
      <c r="E71" s="2">
        <v>34</v>
      </c>
      <c r="F71" s="2">
        <f t="shared" si="0"/>
        <v>466</v>
      </c>
      <c r="G71" s="2">
        <f t="shared" si="1"/>
        <v>12</v>
      </c>
      <c r="J71" s="2"/>
      <c r="K71" s="2"/>
    </row>
    <row r="72" spans="2:12" x14ac:dyDescent="0.2">
      <c r="B72" t="s">
        <v>13</v>
      </c>
      <c r="C72" s="3" t="s">
        <v>14</v>
      </c>
      <c r="D72" s="2">
        <v>2183</v>
      </c>
      <c r="E72" s="2">
        <v>23</v>
      </c>
      <c r="F72" s="2">
        <f t="shared" si="0"/>
        <v>287</v>
      </c>
      <c r="G72" s="2">
        <f t="shared" si="1"/>
        <v>2</v>
      </c>
      <c r="H72" s="2">
        <f t="shared" si="2"/>
        <v>6354</v>
      </c>
      <c r="I72" s="2">
        <v>62962</v>
      </c>
      <c r="J72" s="2"/>
      <c r="K72" s="2"/>
    </row>
    <row r="73" spans="2:12" x14ac:dyDescent="0.2">
      <c r="C73" s="3" t="s">
        <v>15</v>
      </c>
      <c r="D73" s="2">
        <v>2202</v>
      </c>
      <c r="E73" s="2">
        <v>39</v>
      </c>
      <c r="F73" s="2">
        <f t="shared" si="0"/>
        <v>332</v>
      </c>
      <c r="G73" s="2">
        <f t="shared" si="1"/>
        <v>10</v>
      </c>
      <c r="J73" s="2"/>
      <c r="K73" s="2"/>
    </row>
    <row r="74" spans="2:12" x14ac:dyDescent="0.2">
      <c r="C74" s="3" t="s">
        <v>12</v>
      </c>
      <c r="D74" s="2">
        <v>1238</v>
      </c>
      <c r="E74" s="2">
        <v>24</v>
      </c>
      <c r="F74" s="2">
        <f t="shared" si="0"/>
        <v>199</v>
      </c>
      <c r="G74" s="2">
        <f t="shared" si="1"/>
        <v>5</v>
      </c>
      <c r="J74" s="2"/>
      <c r="K74" s="2"/>
    </row>
    <row r="75" spans="2:12" x14ac:dyDescent="0.2">
      <c r="C75" s="3" t="s">
        <v>33</v>
      </c>
      <c r="D75" s="2">
        <v>1045</v>
      </c>
      <c r="E75" s="2">
        <v>25</v>
      </c>
      <c r="F75" s="2">
        <f t="shared" si="0"/>
        <v>107</v>
      </c>
      <c r="G75" s="2">
        <f t="shared" si="1"/>
        <v>3</v>
      </c>
      <c r="J75" s="2"/>
      <c r="K75" s="2"/>
    </row>
    <row r="76" spans="2:12" x14ac:dyDescent="0.2">
      <c r="C76" s="3" t="s">
        <v>34</v>
      </c>
      <c r="D76" s="2">
        <v>825</v>
      </c>
      <c r="E76" s="2">
        <v>15</v>
      </c>
      <c r="F76" s="2">
        <f t="shared" si="0"/>
        <v>158</v>
      </c>
      <c r="G76" s="2">
        <f t="shared" si="1"/>
        <v>1</v>
      </c>
      <c r="J76" s="2"/>
      <c r="K76" s="2"/>
    </row>
    <row r="77" spans="2:12" x14ac:dyDescent="0.2">
      <c r="B77" t="s">
        <v>23</v>
      </c>
      <c r="C77" s="3" t="s">
        <v>24</v>
      </c>
      <c r="D77" s="2">
        <v>6096</v>
      </c>
      <c r="E77" s="2">
        <v>223</v>
      </c>
      <c r="F77" s="2">
        <f t="shared" si="0"/>
        <v>1027</v>
      </c>
      <c r="G77" s="2">
        <f t="shared" si="1"/>
        <v>29</v>
      </c>
      <c r="H77" s="2">
        <f t="shared" si="2"/>
        <v>4437</v>
      </c>
      <c r="I77" s="2">
        <f>SUM(15252+33670)</f>
        <v>48922</v>
      </c>
      <c r="J77" s="2"/>
      <c r="K77" s="2"/>
    </row>
    <row r="78" spans="2:12" x14ac:dyDescent="0.2">
      <c r="C78" s="3" t="s">
        <v>25</v>
      </c>
      <c r="D78" s="2">
        <v>2540</v>
      </c>
      <c r="E78" s="2">
        <v>136</v>
      </c>
      <c r="F78" s="2">
        <f t="shared" si="0"/>
        <v>357</v>
      </c>
      <c r="G78" s="2">
        <f t="shared" si="1"/>
        <v>17</v>
      </c>
      <c r="J78" s="2"/>
      <c r="K78" s="2"/>
    </row>
    <row r="79" spans="2:12" x14ac:dyDescent="0.2">
      <c r="C79" s="3" t="s">
        <v>28</v>
      </c>
      <c r="D79" s="2">
        <v>1560</v>
      </c>
      <c r="E79" s="2">
        <v>65</v>
      </c>
      <c r="F79" s="2">
        <f t="shared" si="0"/>
        <v>228</v>
      </c>
      <c r="G79" s="2">
        <f t="shared" si="1"/>
        <v>7</v>
      </c>
      <c r="J79" s="2"/>
      <c r="K79" s="2"/>
    </row>
    <row r="80" spans="2:12" x14ac:dyDescent="0.2">
      <c r="C80" s="3" t="s">
        <v>38</v>
      </c>
      <c r="D80" s="2">
        <v>422</v>
      </c>
      <c r="E80" s="2">
        <v>11</v>
      </c>
      <c r="F80" s="2">
        <f t="shared" si="0"/>
        <v>73</v>
      </c>
      <c r="G80" s="2">
        <f t="shared" si="1"/>
        <v>1</v>
      </c>
      <c r="J80" s="2"/>
      <c r="K80" s="2"/>
    </row>
    <row r="81" spans="1:11" x14ac:dyDescent="0.2">
      <c r="C81" s="3" t="s">
        <v>39</v>
      </c>
      <c r="D81" s="2">
        <v>477</v>
      </c>
      <c r="E81" s="2">
        <v>8</v>
      </c>
      <c r="F81" s="2">
        <f t="shared" si="0"/>
        <v>39</v>
      </c>
      <c r="G81" s="2">
        <f t="shared" si="1"/>
        <v>0</v>
      </c>
      <c r="J81" s="2"/>
      <c r="K81" s="2"/>
    </row>
    <row r="82" spans="1:11" x14ac:dyDescent="0.2">
      <c r="B82" t="s">
        <v>16</v>
      </c>
      <c r="C82" s="3" t="s">
        <v>17</v>
      </c>
      <c r="D82" s="2">
        <v>2284</v>
      </c>
      <c r="E82" s="2">
        <v>14</v>
      </c>
      <c r="F82" s="2">
        <f t="shared" si="0"/>
        <v>432</v>
      </c>
      <c r="G82" s="2">
        <f t="shared" si="1"/>
        <v>0</v>
      </c>
      <c r="H82" s="2">
        <f t="shared" si="2"/>
        <v>7401</v>
      </c>
      <c r="I82" s="2">
        <f>SUM(8420+53695)</f>
        <v>62115</v>
      </c>
      <c r="J82" s="2"/>
    </row>
    <row r="83" spans="1:11" x14ac:dyDescent="0.2">
      <c r="C83" s="3" t="s">
        <v>18</v>
      </c>
      <c r="D83" s="2">
        <v>875</v>
      </c>
      <c r="E83" s="2">
        <v>11</v>
      </c>
      <c r="F83" s="2">
        <f t="shared" si="0"/>
        <v>140</v>
      </c>
      <c r="G83" s="2">
        <f t="shared" si="1"/>
        <v>2</v>
      </c>
      <c r="J83" s="2"/>
    </row>
    <row r="84" spans="1:11" x14ac:dyDescent="0.2">
      <c r="C84" s="3" t="s">
        <v>19</v>
      </c>
      <c r="D84" s="2">
        <v>542</v>
      </c>
      <c r="E84" s="2">
        <v>10</v>
      </c>
      <c r="F84" s="2">
        <f t="shared" si="0"/>
        <v>72</v>
      </c>
      <c r="G84" s="2">
        <f t="shared" si="1"/>
        <v>2</v>
      </c>
      <c r="J84" s="2"/>
    </row>
    <row r="85" spans="1:11" x14ac:dyDescent="0.2">
      <c r="C85" s="3" t="s">
        <v>40</v>
      </c>
      <c r="D85" s="2">
        <v>584</v>
      </c>
      <c r="E85" s="2">
        <v>5</v>
      </c>
      <c r="F85" s="2">
        <f t="shared" si="0"/>
        <v>105</v>
      </c>
      <c r="G85" s="2">
        <f t="shared" si="1"/>
        <v>0</v>
      </c>
      <c r="J85" s="2"/>
    </row>
    <row r="86" spans="1:11" x14ac:dyDescent="0.2">
      <c r="C86" s="3" t="s">
        <v>41</v>
      </c>
      <c r="D86" s="2">
        <v>201</v>
      </c>
      <c r="E86" s="2">
        <v>1</v>
      </c>
      <c r="F86" s="2">
        <f t="shared" si="0"/>
        <v>33</v>
      </c>
      <c r="G86" s="2">
        <f t="shared" si="1"/>
        <v>0</v>
      </c>
      <c r="J86" s="2"/>
    </row>
    <row r="87" spans="1:11" x14ac:dyDescent="0.2">
      <c r="B87" t="s">
        <v>20</v>
      </c>
      <c r="C87" s="3" t="s">
        <v>22</v>
      </c>
      <c r="D87" s="2">
        <v>4566</v>
      </c>
      <c r="E87" s="2">
        <v>91</v>
      </c>
      <c r="F87" s="2">
        <f t="shared" si="0"/>
        <v>526</v>
      </c>
      <c r="G87" s="2">
        <f t="shared" si="1"/>
        <v>12</v>
      </c>
      <c r="H87" s="2">
        <f t="shared" si="2"/>
        <v>2300</v>
      </c>
      <c r="I87" s="2">
        <f>SUM(10701+24599)</f>
        <v>35300</v>
      </c>
      <c r="J87" s="2"/>
    </row>
    <row r="88" spans="1:11" x14ac:dyDescent="0.2">
      <c r="C88" s="3" t="s">
        <v>26</v>
      </c>
      <c r="D88" s="2">
        <v>1114</v>
      </c>
      <c r="E88" s="2">
        <v>17</v>
      </c>
      <c r="F88" s="2">
        <f t="shared" si="0"/>
        <v>146</v>
      </c>
      <c r="G88" s="2">
        <f t="shared" si="1"/>
        <v>1</v>
      </c>
      <c r="J88" s="2"/>
    </row>
    <row r="89" spans="1:11" x14ac:dyDescent="0.2">
      <c r="C89" s="3" t="s">
        <v>27</v>
      </c>
      <c r="D89" s="2">
        <v>540</v>
      </c>
      <c r="E89" s="2">
        <v>14</v>
      </c>
      <c r="F89" s="2">
        <f t="shared" si="0"/>
        <v>102</v>
      </c>
      <c r="G89" s="2">
        <f t="shared" si="1"/>
        <v>1</v>
      </c>
      <c r="J89" s="2"/>
    </row>
    <row r="90" spans="1:11" x14ac:dyDescent="0.2">
      <c r="C90" s="3" t="s">
        <v>42</v>
      </c>
      <c r="D90" s="2">
        <v>1094</v>
      </c>
      <c r="E90" s="2">
        <v>39</v>
      </c>
      <c r="F90" s="2">
        <f t="shared" si="0"/>
        <v>75</v>
      </c>
      <c r="G90" s="2">
        <f t="shared" si="1"/>
        <v>2</v>
      </c>
      <c r="J90" s="2"/>
    </row>
    <row r="91" spans="1:11" x14ac:dyDescent="0.2">
      <c r="C91" s="3" t="s">
        <v>43</v>
      </c>
      <c r="D91" s="2">
        <v>711</v>
      </c>
      <c r="E91" s="2">
        <v>13</v>
      </c>
      <c r="F91" s="2">
        <f t="shared" si="0"/>
        <v>55</v>
      </c>
      <c r="G91" s="2">
        <f t="shared" si="1"/>
        <v>0</v>
      </c>
      <c r="J91" s="2"/>
    </row>
    <row r="92" spans="1:11" x14ac:dyDescent="0.2">
      <c r="A92" s="1">
        <v>43925</v>
      </c>
      <c r="B92" t="s">
        <v>5</v>
      </c>
      <c r="C92" s="3" t="s">
        <v>6</v>
      </c>
      <c r="D92" s="2">
        <v>20371</v>
      </c>
      <c r="E92" s="2">
        <v>685</v>
      </c>
      <c r="F92" s="2">
        <f t="shared" si="0"/>
        <v>1548</v>
      </c>
      <c r="G92" s="2">
        <f t="shared" si="1"/>
        <v>95</v>
      </c>
      <c r="H92" s="2">
        <f t="shared" si="2"/>
        <v>23101</v>
      </c>
      <c r="I92" s="2">
        <f>SUM(113704+169917)</f>
        <v>283621</v>
      </c>
      <c r="J92" s="2"/>
    </row>
    <row r="93" spans="1:11" x14ac:dyDescent="0.2">
      <c r="C93" s="3" t="s">
        <v>7</v>
      </c>
      <c r="D93" s="2">
        <v>16488</v>
      </c>
      <c r="E93" s="2">
        <v>610</v>
      </c>
      <c r="F93" s="2">
        <f t="shared" si="0"/>
        <v>1161</v>
      </c>
      <c r="G93" s="2">
        <f t="shared" si="1"/>
        <v>125</v>
      </c>
      <c r="J93" s="2"/>
    </row>
    <row r="94" spans="1:11" x14ac:dyDescent="0.2">
      <c r="C94" s="3" t="s">
        <v>8</v>
      </c>
      <c r="D94" s="2">
        <v>13346</v>
      </c>
      <c r="E94" s="2">
        <v>396</v>
      </c>
      <c r="F94" s="2">
        <f t="shared" si="0"/>
        <v>2759</v>
      </c>
      <c r="G94" s="2">
        <f t="shared" si="1"/>
        <v>258</v>
      </c>
      <c r="J94" s="2"/>
    </row>
    <row r="95" spans="1:11" x14ac:dyDescent="0.2">
      <c r="C95" s="3" t="s">
        <v>35</v>
      </c>
      <c r="D95" s="2">
        <v>11820</v>
      </c>
      <c r="E95" s="2">
        <v>576</v>
      </c>
      <c r="F95" s="2">
        <f t="shared" si="0"/>
        <v>1055</v>
      </c>
      <c r="G95" s="2">
        <f t="shared" si="1"/>
        <v>96</v>
      </c>
      <c r="J95" s="2"/>
    </row>
    <row r="96" spans="1:11" x14ac:dyDescent="0.2">
      <c r="C96" s="3" t="s">
        <v>14</v>
      </c>
      <c r="D96" s="2">
        <v>12328</v>
      </c>
      <c r="E96" s="2">
        <v>175</v>
      </c>
      <c r="F96" s="2">
        <f t="shared" si="0"/>
        <v>2174</v>
      </c>
      <c r="G96" s="2">
        <f t="shared" si="1"/>
        <v>79</v>
      </c>
      <c r="J96" s="2"/>
    </row>
    <row r="97" spans="2:10" x14ac:dyDescent="0.2">
      <c r="B97" t="s">
        <v>9</v>
      </c>
      <c r="C97" s="3" t="s">
        <v>10</v>
      </c>
      <c r="D97" s="2">
        <v>5760</v>
      </c>
      <c r="E97" s="2">
        <v>179</v>
      </c>
      <c r="F97" s="2">
        <f t="shared" ref="F97:F109" si="3">D97-D67</f>
        <v>894</v>
      </c>
      <c r="G97" s="2">
        <f t="shared" ref="G97:G160" si="4">SUM(E97-E67)</f>
        <v>47</v>
      </c>
      <c r="H97" s="2">
        <f t="shared" ref="H97:H157" si="5">SUM(I97-I67)</f>
        <v>7853</v>
      </c>
      <c r="I97" s="2">
        <f>SUM(34124+41232)</f>
        <v>75356</v>
      </c>
      <c r="J97" s="2"/>
    </row>
    <row r="98" spans="2:10" x14ac:dyDescent="0.2">
      <c r="C98" s="3" t="s">
        <v>11</v>
      </c>
      <c r="D98" s="2">
        <v>3491</v>
      </c>
      <c r="E98" s="2">
        <v>78</v>
      </c>
      <c r="F98" s="2">
        <f t="shared" si="3"/>
        <v>656</v>
      </c>
      <c r="G98" s="2">
        <f t="shared" si="4"/>
        <v>19</v>
      </c>
      <c r="J98" s="2"/>
    </row>
    <row r="99" spans="2:10" x14ac:dyDescent="0.2">
      <c r="C99" s="3" t="s">
        <v>12</v>
      </c>
      <c r="D99" s="2">
        <v>3584</v>
      </c>
      <c r="E99" s="2">
        <v>156</v>
      </c>
      <c r="F99" s="2">
        <f t="shared" si="3"/>
        <v>517</v>
      </c>
      <c r="G99" s="2">
        <f t="shared" si="4"/>
        <v>38</v>
      </c>
      <c r="J99" s="2"/>
    </row>
    <row r="100" spans="2:10" x14ac:dyDescent="0.2">
      <c r="C100" s="3" t="s">
        <v>36</v>
      </c>
      <c r="D100" s="2">
        <v>2916</v>
      </c>
      <c r="E100" s="2">
        <v>66</v>
      </c>
      <c r="F100" s="2">
        <f t="shared" si="3"/>
        <v>429</v>
      </c>
      <c r="G100" s="2">
        <f t="shared" si="4"/>
        <v>21</v>
      </c>
      <c r="J100" s="2"/>
    </row>
    <row r="101" spans="2:10" x14ac:dyDescent="0.2">
      <c r="C101" s="3" t="s">
        <v>37</v>
      </c>
      <c r="D101" s="2">
        <v>2856</v>
      </c>
      <c r="E101" s="2">
        <v>38</v>
      </c>
      <c r="F101" s="2">
        <f t="shared" si="3"/>
        <v>640</v>
      </c>
      <c r="G101" s="2">
        <f t="shared" si="4"/>
        <v>4</v>
      </c>
      <c r="J101" s="2"/>
    </row>
    <row r="102" spans="2:10" x14ac:dyDescent="0.2">
      <c r="B102" t="s">
        <v>13</v>
      </c>
      <c r="C102" s="3" t="s">
        <v>14</v>
      </c>
      <c r="D102" s="2">
        <v>2429</v>
      </c>
      <c r="E102" s="2">
        <v>28</v>
      </c>
      <c r="F102" s="2">
        <f t="shared" si="3"/>
        <v>246</v>
      </c>
      <c r="G102" s="2">
        <f t="shared" si="4"/>
        <v>5</v>
      </c>
      <c r="H102" s="2">
        <f t="shared" si="5"/>
        <v>5838</v>
      </c>
      <c r="I102" s="2">
        <v>68800</v>
      </c>
      <c r="J102" s="2"/>
    </row>
    <row r="103" spans="2:10" x14ac:dyDescent="0.2">
      <c r="C103" s="3" t="s">
        <v>15</v>
      </c>
      <c r="D103" s="2">
        <v>2468</v>
      </c>
      <c r="E103" s="2">
        <v>39</v>
      </c>
      <c r="F103" s="2">
        <f t="shared" si="3"/>
        <v>266</v>
      </c>
      <c r="G103" s="2">
        <f t="shared" si="4"/>
        <v>0</v>
      </c>
      <c r="J103" s="2"/>
    </row>
    <row r="104" spans="2:10" x14ac:dyDescent="0.2">
      <c r="C104" s="3" t="s">
        <v>12</v>
      </c>
      <c r="D104" s="2">
        <v>1400</v>
      </c>
      <c r="E104" s="2">
        <v>26</v>
      </c>
      <c r="F104" s="2">
        <f t="shared" si="3"/>
        <v>162</v>
      </c>
      <c r="G104" s="2">
        <f t="shared" si="4"/>
        <v>2</v>
      </c>
      <c r="J104" s="2"/>
    </row>
    <row r="105" spans="2:10" x14ac:dyDescent="0.2">
      <c r="C105" s="3" t="s">
        <v>33</v>
      </c>
      <c r="D105" s="2">
        <v>1199</v>
      </c>
      <c r="E105" s="2">
        <v>26</v>
      </c>
      <c r="F105" s="2">
        <f t="shared" si="3"/>
        <v>154</v>
      </c>
      <c r="G105" s="2">
        <f t="shared" si="4"/>
        <v>1</v>
      </c>
      <c r="J105" s="2"/>
    </row>
    <row r="106" spans="2:10" x14ac:dyDescent="0.2">
      <c r="C106" s="3" t="s">
        <v>34</v>
      </c>
      <c r="D106" s="2">
        <v>915</v>
      </c>
      <c r="E106" s="2">
        <v>18</v>
      </c>
      <c r="F106" s="2">
        <f t="shared" si="3"/>
        <v>90</v>
      </c>
      <c r="G106" s="2">
        <f t="shared" si="4"/>
        <v>3</v>
      </c>
      <c r="J106" s="2"/>
    </row>
    <row r="107" spans="2:10" x14ac:dyDescent="0.2">
      <c r="B107" t="s">
        <v>23</v>
      </c>
      <c r="C107" s="3" t="s">
        <v>24</v>
      </c>
      <c r="D107" s="2">
        <v>6762</v>
      </c>
      <c r="E107" s="2">
        <v>252</v>
      </c>
      <c r="F107" s="2">
        <f t="shared" si="3"/>
        <v>666</v>
      </c>
      <c r="G107" s="2">
        <f t="shared" si="4"/>
        <v>29</v>
      </c>
      <c r="H107" s="2">
        <f t="shared" si="5"/>
        <v>4878</v>
      </c>
      <c r="I107" s="2">
        <f>SUM(16395+37405)</f>
        <v>53800</v>
      </c>
      <c r="J107" s="2"/>
    </row>
    <row r="108" spans="2:10" x14ac:dyDescent="0.2">
      <c r="C108" s="3" t="s">
        <v>25</v>
      </c>
      <c r="D108" s="2">
        <v>3035</v>
      </c>
      <c r="E108" s="2">
        <v>163</v>
      </c>
      <c r="F108" s="2">
        <f t="shared" si="3"/>
        <v>495</v>
      </c>
      <c r="G108" s="2">
        <f t="shared" si="4"/>
        <v>27</v>
      </c>
      <c r="J108" s="2"/>
    </row>
    <row r="109" spans="2:10" x14ac:dyDescent="0.2">
      <c r="C109" s="3" t="s">
        <v>28</v>
      </c>
      <c r="D109" s="2">
        <v>2003</v>
      </c>
      <c r="E109" s="2">
        <v>83</v>
      </c>
      <c r="F109" s="2">
        <f t="shared" si="3"/>
        <v>443</v>
      </c>
      <c r="G109" s="2">
        <f t="shared" si="4"/>
        <v>18</v>
      </c>
      <c r="J109" s="2"/>
    </row>
    <row r="110" spans="2:10" x14ac:dyDescent="0.2">
      <c r="C110" s="3" t="s">
        <v>38</v>
      </c>
      <c r="D110" s="2">
        <v>464</v>
      </c>
      <c r="E110" s="2">
        <v>15</v>
      </c>
      <c r="F110" s="2">
        <f>SUM(D110-D80)</f>
        <v>42</v>
      </c>
      <c r="G110" s="2">
        <f t="shared" si="4"/>
        <v>4</v>
      </c>
      <c r="J110" s="2"/>
    </row>
    <row r="111" spans="2:10" x14ac:dyDescent="0.2">
      <c r="C111" s="3" t="s">
        <v>39</v>
      </c>
      <c r="D111" s="2">
        <v>501</v>
      </c>
      <c r="E111" s="2">
        <v>8</v>
      </c>
      <c r="F111" s="2">
        <f t="shared" ref="F111:F174" si="6">SUM(D111-D81)</f>
        <v>24</v>
      </c>
      <c r="G111" s="2">
        <f t="shared" si="4"/>
        <v>0</v>
      </c>
      <c r="J111" s="2"/>
    </row>
    <row r="112" spans="2:10" x14ac:dyDescent="0.2">
      <c r="B112" t="s">
        <v>16</v>
      </c>
      <c r="C112" s="3" t="s">
        <v>17</v>
      </c>
      <c r="D112" s="2">
        <v>2610</v>
      </c>
      <c r="E112" s="2">
        <v>24</v>
      </c>
      <c r="F112" s="2">
        <f t="shared" si="6"/>
        <v>326</v>
      </c>
      <c r="G112" s="2">
        <f t="shared" si="4"/>
        <v>10</v>
      </c>
      <c r="H112" s="2">
        <f t="shared" si="5"/>
        <v>7915</v>
      </c>
      <c r="I112" s="2">
        <f>SUM(10017+60013)</f>
        <v>70030</v>
      </c>
      <c r="J112" s="2"/>
    </row>
    <row r="113" spans="1:10" x14ac:dyDescent="0.2">
      <c r="C113" s="3" t="s">
        <v>18</v>
      </c>
      <c r="D113" s="2">
        <v>982</v>
      </c>
      <c r="E113" s="2">
        <v>17</v>
      </c>
      <c r="F113" s="2">
        <f t="shared" si="6"/>
        <v>107</v>
      </c>
      <c r="G113" s="2">
        <f t="shared" si="4"/>
        <v>6</v>
      </c>
      <c r="J113" s="2"/>
    </row>
    <row r="114" spans="1:10" x14ac:dyDescent="0.2">
      <c r="C114" s="3" t="s">
        <v>19</v>
      </c>
      <c r="D114" s="2">
        <v>616</v>
      </c>
      <c r="E114" s="2">
        <v>13</v>
      </c>
      <c r="F114" s="2">
        <f t="shared" si="6"/>
        <v>74</v>
      </c>
      <c r="G114" s="2">
        <f t="shared" si="4"/>
        <v>3</v>
      </c>
      <c r="J114" s="2"/>
    </row>
    <row r="115" spans="1:10" x14ac:dyDescent="0.2">
      <c r="C115" s="3" t="s">
        <v>40</v>
      </c>
      <c r="D115" s="2">
        <v>804</v>
      </c>
      <c r="E115" s="2">
        <v>7</v>
      </c>
      <c r="F115" s="2">
        <f t="shared" si="6"/>
        <v>220</v>
      </c>
      <c r="G115" s="2">
        <f t="shared" si="4"/>
        <v>2</v>
      </c>
      <c r="J115" s="2"/>
    </row>
    <row r="116" spans="1:10" x14ac:dyDescent="0.2">
      <c r="C116" s="3" t="s">
        <v>41</v>
      </c>
      <c r="D116" s="2">
        <v>235</v>
      </c>
      <c r="E116" s="2">
        <v>2</v>
      </c>
      <c r="F116" s="2">
        <f t="shared" si="6"/>
        <v>34</v>
      </c>
      <c r="G116" s="2">
        <f t="shared" si="4"/>
        <v>1</v>
      </c>
      <c r="J116" s="2"/>
    </row>
    <row r="117" spans="1:10" x14ac:dyDescent="0.2">
      <c r="B117" t="s">
        <v>20</v>
      </c>
      <c r="C117" s="3" t="s">
        <v>22</v>
      </c>
      <c r="D117" s="2">
        <v>5275</v>
      </c>
      <c r="E117" s="2">
        <v>117</v>
      </c>
      <c r="F117" s="2">
        <f t="shared" si="6"/>
        <v>709</v>
      </c>
      <c r="G117" s="2">
        <f t="shared" si="4"/>
        <v>26</v>
      </c>
      <c r="H117" s="2">
        <f t="shared" si="5"/>
        <v>78400</v>
      </c>
      <c r="I117" s="2">
        <f>SUM(12026+101674)</f>
        <v>113700</v>
      </c>
      <c r="J117" s="2"/>
    </row>
    <row r="118" spans="1:10" x14ac:dyDescent="0.2">
      <c r="C118" s="3" t="s">
        <v>26</v>
      </c>
      <c r="D118" s="2">
        <v>1211</v>
      </c>
      <c r="E118" s="2">
        <v>18</v>
      </c>
      <c r="F118" s="2">
        <f t="shared" si="6"/>
        <v>97</v>
      </c>
      <c r="G118" s="2">
        <f t="shared" si="4"/>
        <v>1</v>
      </c>
      <c r="J118" s="2"/>
    </row>
    <row r="119" spans="1:10" x14ac:dyDescent="0.2">
      <c r="C119" s="3" t="s">
        <v>27</v>
      </c>
      <c r="D119" s="2">
        <v>652</v>
      </c>
      <c r="E119" s="2">
        <v>15</v>
      </c>
      <c r="F119" s="2">
        <f t="shared" si="6"/>
        <v>112</v>
      </c>
      <c r="G119" s="2">
        <f t="shared" si="4"/>
        <v>1</v>
      </c>
      <c r="J119" s="2"/>
    </row>
    <row r="120" spans="1:10" x14ac:dyDescent="0.2">
      <c r="C120" s="3" t="s">
        <v>42</v>
      </c>
      <c r="D120" s="2">
        <v>1148</v>
      </c>
      <c r="E120" s="2">
        <v>40</v>
      </c>
      <c r="F120" s="2">
        <f t="shared" si="6"/>
        <v>54</v>
      </c>
      <c r="G120" s="2">
        <f t="shared" si="4"/>
        <v>1</v>
      </c>
      <c r="J120" s="2"/>
    </row>
    <row r="121" spans="1:10" x14ac:dyDescent="0.2">
      <c r="C121" s="3" t="s">
        <v>43</v>
      </c>
      <c r="D121" s="2">
        <v>786</v>
      </c>
      <c r="E121" s="2">
        <v>14</v>
      </c>
      <c r="F121" s="2">
        <f t="shared" si="6"/>
        <v>75</v>
      </c>
      <c r="G121" s="2">
        <f t="shared" si="4"/>
        <v>1</v>
      </c>
      <c r="J121" s="2"/>
    </row>
    <row r="122" spans="1:10" x14ac:dyDescent="0.2">
      <c r="A122" s="1">
        <v>43926</v>
      </c>
      <c r="B122" t="s">
        <v>5</v>
      </c>
      <c r="C122" s="3" t="s">
        <v>6</v>
      </c>
      <c r="D122" s="2">
        <v>21781</v>
      </c>
      <c r="E122" s="2">
        <v>771</v>
      </c>
      <c r="F122" s="2">
        <f t="shared" si="6"/>
        <v>1410</v>
      </c>
      <c r="G122" s="2">
        <f t="shared" si="4"/>
        <v>86</v>
      </c>
      <c r="H122" s="2">
        <f t="shared" si="5"/>
        <v>18659</v>
      </c>
      <c r="I122" s="2">
        <f>SUM(122031+180249)</f>
        <v>302280</v>
      </c>
      <c r="J122" s="2"/>
    </row>
    <row r="123" spans="1:10" x14ac:dyDescent="0.2">
      <c r="C123" s="3" t="s">
        <v>7</v>
      </c>
      <c r="D123" s="2">
        <v>17520</v>
      </c>
      <c r="E123" s="2">
        <v>668</v>
      </c>
      <c r="F123" s="2">
        <f t="shared" si="6"/>
        <v>1032</v>
      </c>
      <c r="G123" s="2">
        <f t="shared" si="4"/>
        <v>58</v>
      </c>
      <c r="J123" s="2"/>
    </row>
    <row r="124" spans="1:10" x14ac:dyDescent="0.2">
      <c r="C124" s="3" t="s">
        <v>8</v>
      </c>
      <c r="D124" s="2">
        <v>14398</v>
      </c>
      <c r="E124" s="2">
        <v>396</v>
      </c>
      <c r="F124" s="2">
        <f t="shared" si="6"/>
        <v>1052</v>
      </c>
      <c r="G124" s="2">
        <f t="shared" si="4"/>
        <v>0</v>
      </c>
      <c r="J124" s="2"/>
    </row>
    <row r="125" spans="1:10" x14ac:dyDescent="0.2">
      <c r="C125" s="3" t="s">
        <v>35</v>
      </c>
      <c r="D125" s="2">
        <v>12738</v>
      </c>
      <c r="E125" s="2">
        <v>627</v>
      </c>
      <c r="F125" s="2">
        <f t="shared" si="6"/>
        <v>918</v>
      </c>
      <c r="G125" s="2">
        <f t="shared" si="4"/>
        <v>51</v>
      </c>
      <c r="J125" s="2"/>
    </row>
    <row r="126" spans="1:10" x14ac:dyDescent="0.2">
      <c r="C126" s="3" t="s">
        <v>14</v>
      </c>
      <c r="D126" s="2">
        <v>12933</v>
      </c>
      <c r="E126" s="2">
        <v>175</v>
      </c>
      <c r="F126" s="2">
        <f t="shared" si="6"/>
        <v>605</v>
      </c>
      <c r="G126" s="2">
        <f t="shared" si="4"/>
        <v>0</v>
      </c>
      <c r="J126" s="2"/>
    </row>
    <row r="127" spans="1:10" x14ac:dyDescent="0.2">
      <c r="B127" t="s">
        <v>9</v>
      </c>
      <c r="C127" s="3" t="s">
        <v>10</v>
      </c>
      <c r="D127" s="2">
        <v>6187</v>
      </c>
      <c r="E127" s="2">
        <v>189</v>
      </c>
      <c r="F127" s="2">
        <f t="shared" si="6"/>
        <v>427</v>
      </c>
      <c r="G127" s="2">
        <f t="shared" si="4"/>
        <v>10</v>
      </c>
      <c r="H127" s="2">
        <f t="shared" si="5"/>
        <v>6810</v>
      </c>
      <c r="I127" s="2">
        <f>SUM(37505+44661)</f>
        <v>82166</v>
      </c>
      <c r="J127" s="2"/>
    </row>
    <row r="128" spans="1:10" x14ac:dyDescent="0.2">
      <c r="C128" s="3" t="s">
        <v>11</v>
      </c>
      <c r="D128" s="2">
        <v>3924</v>
      </c>
      <c r="E128" s="2">
        <v>87</v>
      </c>
      <c r="F128" s="2">
        <f t="shared" si="6"/>
        <v>433</v>
      </c>
      <c r="G128" s="2">
        <f t="shared" si="4"/>
        <v>9</v>
      </c>
      <c r="J128" s="2"/>
    </row>
    <row r="129" spans="2:10" x14ac:dyDescent="0.2">
      <c r="C129" s="3" t="s">
        <v>12</v>
      </c>
      <c r="D129" s="2">
        <v>4082</v>
      </c>
      <c r="E129" s="2">
        <v>172</v>
      </c>
      <c r="F129" s="2">
        <f t="shared" si="6"/>
        <v>498</v>
      </c>
      <c r="G129" s="2">
        <f t="shared" si="4"/>
        <v>16</v>
      </c>
      <c r="J129" s="2"/>
    </row>
    <row r="130" spans="2:10" x14ac:dyDescent="0.2">
      <c r="C130" s="3" t="s">
        <v>36</v>
      </c>
      <c r="D130" s="2">
        <v>3216</v>
      </c>
      <c r="E130" s="2">
        <v>71</v>
      </c>
      <c r="F130" s="2">
        <f t="shared" si="6"/>
        <v>300</v>
      </c>
      <c r="G130" s="2">
        <f t="shared" si="4"/>
        <v>5</v>
      </c>
      <c r="J130" s="2"/>
    </row>
    <row r="131" spans="2:10" x14ac:dyDescent="0.2">
      <c r="C131" s="3" t="s">
        <v>37</v>
      </c>
      <c r="D131" s="2">
        <v>3227</v>
      </c>
      <c r="E131" s="2">
        <v>42</v>
      </c>
      <c r="F131" s="2">
        <f t="shared" si="6"/>
        <v>371</v>
      </c>
      <c r="G131" s="2">
        <f t="shared" si="4"/>
        <v>4</v>
      </c>
      <c r="J131" s="2"/>
    </row>
    <row r="132" spans="2:10" x14ac:dyDescent="0.2">
      <c r="B132" t="s">
        <v>13</v>
      </c>
      <c r="C132" s="3" t="s">
        <v>14</v>
      </c>
      <c r="D132" s="2">
        <v>2658</v>
      </c>
      <c r="E132" s="2">
        <v>29</v>
      </c>
      <c r="F132" s="2">
        <f t="shared" si="6"/>
        <v>229</v>
      </c>
      <c r="G132" s="2">
        <f t="shared" si="4"/>
        <v>1</v>
      </c>
      <c r="H132" s="2">
        <f t="shared" si="5"/>
        <v>3137</v>
      </c>
      <c r="I132" s="2">
        <v>71937</v>
      </c>
      <c r="J132" s="2"/>
    </row>
    <row r="133" spans="2:10" x14ac:dyDescent="0.2">
      <c r="C133" s="3" t="s">
        <v>15</v>
      </c>
      <c r="D133" s="2">
        <v>2632</v>
      </c>
      <c r="E133" s="2">
        <v>42</v>
      </c>
      <c r="F133" s="2">
        <f t="shared" si="6"/>
        <v>164</v>
      </c>
      <c r="G133" s="2">
        <f t="shared" si="4"/>
        <v>3</v>
      </c>
      <c r="J133" s="2"/>
    </row>
    <row r="134" spans="2:10" x14ac:dyDescent="0.2">
      <c r="C134" s="3" t="s">
        <v>12</v>
      </c>
      <c r="D134" s="2">
        <v>1506</v>
      </c>
      <c r="E134" s="2">
        <v>28</v>
      </c>
      <c r="F134" s="2">
        <f t="shared" si="6"/>
        <v>106</v>
      </c>
      <c r="G134" s="2">
        <f t="shared" si="4"/>
        <v>2</v>
      </c>
      <c r="J134" s="2"/>
    </row>
    <row r="135" spans="2:10" x14ac:dyDescent="0.2">
      <c r="C135" s="3" t="s">
        <v>33</v>
      </c>
      <c r="D135" s="2">
        <v>1271</v>
      </c>
      <c r="E135" s="2">
        <v>27</v>
      </c>
      <c r="F135" s="2">
        <f t="shared" si="6"/>
        <v>72</v>
      </c>
      <c r="G135" s="2">
        <f t="shared" si="4"/>
        <v>1</v>
      </c>
      <c r="J135" s="2"/>
    </row>
    <row r="136" spans="2:10" x14ac:dyDescent="0.2">
      <c r="C136" s="3" t="s">
        <v>34</v>
      </c>
      <c r="D136" s="2">
        <v>978</v>
      </c>
      <c r="E136" s="2">
        <v>18</v>
      </c>
      <c r="F136" s="2">
        <f t="shared" si="6"/>
        <v>63</v>
      </c>
      <c r="G136" s="2">
        <f t="shared" si="4"/>
        <v>0</v>
      </c>
      <c r="J136" s="2"/>
    </row>
    <row r="137" spans="2:10" x14ac:dyDescent="0.2">
      <c r="B137" t="s">
        <v>23</v>
      </c>
      <c r="C137" s="3" t="s">
        <v>24</v>
      </c>
      <c r="D137" s="2">
        <v>7518</v>
      </c>
      <c r="E137" s="2">
        <v>293</v>
      </c>
      <c r="F137" s="2">
        <f t="shared" si="6"/>
        <v>756</v>
      </c>
      <c r="G137" s="2">
        <f t="shared" si="4"/>
        <v>41</v>
      </c>
      <c r="H137" s="2">
        <f t="shared" si="5"/>
        <v>4098</v>
      </c>
      <c r="I137" s="2">
        <f>SUM(17567+40331)</f>
        <v>57898</v>
      </c>
      <c r="J137" s="2"/>
    </row>
    <row r="138" spans="2:10" x14ac:dyDescent="0.2">
      <c r="C138" s="3" t="s">
        <v>25</v>
      </c>
      <c r="D138" s="2">
        <v>3074</v>
      </c>
      <c r="E138" s="2">
        <v>165</v>
      </c>
      <c r="F138" s="2">
        <f t="shared" si="6"/>
        <v>39</v>
      </c>
      <c r="G138" s="2">
        <f t="shared" si="4"/>
        <v>2</v>
      </c>
      <c r="J138" s="2"/>
    </row>
    <row r="139" spans="2:10" x14ac:dyDescent="0.2">
      <c r="C139" s="3" t="s">
        <v>28</v>
      </c>
      <c r="D139" s="2">
        <v>2003</v>
      </c>
      <c r="E139" s="2">
        <v>83</v>
      </c>
      <c r="F139" s="2">
        <f t="shared" si="6"/>
        <v>0</v>
      </c>
      <c r="G139" s="2">
        <f t="shared" si="4"/>
        <v>0</v>
      </c>
      <c r="J139" s="2"/>
    </row>
    <row r="140" spans="2:10" x14ac:dyDescent="0.2">
      <c r="C140" s="3" t="s">
        <v>38</v>
      </c>
      <c r="D140" s="2">
        <v>504</v>
      </c>
      <c r="E140" s="2">
        <v>18</v>
      </c>
      <c r="F140" s="2">
        <f t="shared" si="6"/>
        <v>40</v>
      </c>
      <c r="G140" s="2">
        <f t="shared" si="4"/>
        <v>3</v>
      </c>
      <c r="J140" s="2"/>
    </row>
    <row r="141" spans="2:10" x14ac:dyDescent="0.2">
      <c r="C141" s="3" t="s">
        <v>39</v>
      </c>
      <c r="D141" s="2">
        <v>521</v>
      </c>
      <c r="E141" s="2">
        <v>8</v>
      </c>
      <c r="F141" s="2">
        <f t="shared" si="6"/>
        <v>20</v>
      </c>
      <c r="G141" s="2">
        <f t="shared" si="4"/>
        <v>0</v>
      </c>
      <c r="J141" s="2"/>
    </row>
    <row r="142" spans="2:10" x14ac:dyDescent="0.2">
      <c r="B142" t="s">
        <v>16</v>
      </c>
      <c r="C142" s="3" t="s">
        <v>17</v>
      </c>
      <c r="D142" s="2">
        <v>3135</v>
      </c>
      <c r="E142" s="2">
        <v>28</v>
      </c>
      <c r="F142" s="2">
        <f t="shared" si="6"/>
        <v>525</v>
      </c>
      <c r="G142" s="2">
        <f t="shared" si="4"/>
        <v>4</v>
      </c>
      <c r="H142" s="2">
        <f t="shared" si="5"/>
        <v>7741</v>
      </c>
      <c r="I142" s="2">
        <f>SUM(11510+66261)</f>
        <v>77771</v>
      </c>
      <c r="J142" s="2"/>
    </row>
    <row r="143" spans="2:10" x14ac:dyDescent="0.2">
      <c r="C143" s="3" t="s">
        <v>18</v>
      </c>
      <c r="D143" s="2">
        <v>1111</v>
      </c>
      <c r="E143" s="2">
        <v>22</v>
      </c>
      <c r="F143" s="2">
        <f t="shared" si="6"/>
        <v>129</v>
      </c>
      <c r="G143" s="2">
        <f t="shared" si="4"/>
        <v>5</v>
      </c>
      <c r="J143" s="2"/>
    </row>
    <row r="144" spans="2:10" x14ac:dyDescent="0.2">
      <c r="C144" s="3" t="s">
        <v>19</v>
      </c>
      <c r="D144" s="2">
        <v>708</v>
      </c>
      <c r="E144" s="2">
        <v>14</v>
      </c>
      <c r="F144" s="2">
        <f t="shared" si="6"/>
        <v>92</v>
      </c>
      <c r="G144" s="2">
        <f t="shared" si="4"/>
        <v>1</v>
      </c>
      <c r="J144" s="2"/>
    </row>
    <row r="145" spans="1:10" x14ac:dyDescent="0.2">
      <c r="C145" s="3" t="s">
        <v>40</v>
      </c>
      <c r="D145" s="2">
        <v>877</v>
      </c>
      <c r="E145" s="2">
        <v>8</v>
      </c>
      <c r="F145" s="2">
        <f t="shared" si="6"/>
        <v>73</v>
      </c>
      <c r="G145" s="2">
        <f t="shared" si="4"/>
        <v>1</v>
      </c>
      <c r="J145" s="2"/>
    </row>
    <row r="146" spans="1:10" x14ac:dyDescent="0.2">
      <c r="C146" s="3" t="s">
        <v>41</v>
      </c>
      <c r="D146" s="2">
        <v>276</v>
      </c>
      <c r="E146" s="2">
        <v>3</v>
      </c>
      <c r="F146" s="2">
        <f t="shared" si="6"/>
        <v>41</v>
      </c>
      <c r="G146" s="2">
        <f t="shared" si="4"/>
        <v>1</v>
      </c>
      <c r="J146" s="2"/>
    </row>
    <row r="147" spans="1:10" x14ac:dyDescent="0.2">
      <c r="B147" t="s">
        <v>20</v>
      </c>
      <c r="C147" s="3" t="s">
        <v>22</v>
      </c>
      <c r="D147" s="2">
        <v>5892</v>
      </c>
      <c r="E147" s="2">
        <v>130</v>
      </c>
      <c r="F147" s="2">
        <f t="shared" si="6"/>
        <v>617</v>
      </c>
      <c r="G147" s="2">
        <f t="shared" si="4"/>
        <v>13</v>
      </c>
      <c r="H147" s="2">
        <f t="shared" si="5"/>
        <v>2833</v>
      </c>
      <c r="I147" s="2">
        <f>SUM(13438+103095)</f>
        <v>116533</v>
      </c>
      <c r="J147" s="2"/>
    </row>
    <row r="148" spans="1:10" x14ac:dyDescent="0.2">
      <c r="C148" s="3" t="s">
        <v>26</v>
      </c>
      <c r="D148" s="2">
        <v>1328</v>
      </c>
      <c r="E148" s="2">
        <v>19</v>
      </c>
      <c r="F148" s="2">
        <f t="shared" si="6"/>
        <v>117</v>
      </c>
      <c r="G148" s="2">
        <f t="shared" si="4"/>
        <v>1</v>
      </c>
      <c r="J148" s="2"/>
    </row>
    <row r="149" spans="1:10" x14ac:dyDescent="0.2">
      <c r="C149" s="3" t="s">
        <v>27</v>
      </c>
      <c r="D149" s="2">
        <v>669</v>
      </c>
      <c r="E149" s="2">
        <v>17</v>
      </c>
      <c r="F149" s="2">
        <f t="shared" si="6"/>
        <v>17</v>
      </c>
      <c r="G149" s="2">
        <f t="shared" si="4"/>
        <v>2</v>
      </c>
      <c r="J149" s="2"/>
    </row>
    <row r="150" spans="1:10" x14ac:dyDescent="0.2">
      <c r="C150" s="3" t="s">
        <v>42</v>
      </c>
      <c r="D150" s="2">
        <v>1207</v>
      </c>
      <c r="E150" s="2">
        <v>40</v>
      </c>
      <c r="F150" s="2">
        <f t="shared" si="6"/>
        <v>59</v>
      </c>
      <c r="G150" s="2">
        <f t="shared" si="4"/>
        <v>0</v>
      </c>
      <c r="J150" s="2"/>
    </row>
    <row r="151" spans="1:10" x14ac:dyDescent="0.2">
      <c r="C151" s="3" t="s">
        <v>43</v>
      </c>
      <c r="D151" s="2">
        <v>834</v>
      </c>
      <c r="E151" s="2">
        <v>14</v>
      </c>
      <c r="F151" s="2">
        <f t="shared" si="6"/>
        <v>48</v>
      </c>
      <c r="G151" s="2">
        <f t="shared" si="4"/>
        <v>0</v>
      </c>
      <c r="J151" s="2"/>
    </row>
    <row r="152" spans="1:10" x14ac:dyDescent="0.2">
      <c r="A152" s="1">
        <v>43927</v>
      </c>
      <c r="B152" t="s">
        <v>5</v>
      </c>
      <c r="C152" s="3" t="s">
        <v>6</v>
      </c>
      <c r="D152" s="2">
        <v>23083</v>
      </c>
      <c r="E152" s="2">
        <v>876</v>
      </c>
      <c r="F152" s="2">
        <f t="shared" si="6"/>
        <v>1302</v>
      </c>
      <c r="G152" s="2">
        <f t="shared" si="4"/>
        <v>105</v>
      </c>
      <c r="H152" s="2">
        <f t="shared" si="5"/>
        <v>18531</v>
      </c>
      <c r="I152" s="2">
        <f>SUM(130689+190122)</f>
        <v>320811</v>
      </c>
      <c r="J152" s="2"/>
    </row>
    <row r="153" spans="1:10" x14ac:dyDescent="0.2">
      <c r="C153" s="3" t="s">
        <v>7</v>
      </c>
      <c r="D153" s="2">
        <v>18434</v>
      </c>
      <c r="E153" s="2">
        <v>738</v>
      </c>
      <c r="F153" s="2">
        <f t="shared" si="6"/>
        <v>914</v>
      </c>
      <c r="G153" s="2">
        <f t="shared" si="4"/>
        <v>70</v>
      </c>
      <c r="J153" s="2"/>
    </row>
    <row r="154" spans="1:10" x14ac:dyDescent="0.2">
      <c r="C154" s="3" t="s">
        <v>8</v>
      </c>
      <c r="D154" s="2">
        <v>14398</v>
      </c>
      <c r="E154" s="2">
        <v>535</v>
      </c>
      <c r="G154" s="2">
        <f t="shared" si="4"/>
        <v>139</v>
      </c>
      <c r="J154" s="2"/>
    </row>
    <row r="155" spans="1:10" x14ac:dyDescent="0.2">
      <c r="C155" s="3" t="s">
        <v>35</v>
      </c>
      <c r="D155" s="2">
        <v>13680</v>
      </c>
      <c r="E155" s="2">
        <v>679</v>
      </c>
      <c r="F155" s="2">
        <f t="shared" si="6"/>
        <v>942</v>
      </c>
      <c r="G155" s="2">
        <f t="shared" si="4"/>
        <v>52</v>
      </c>
      <c r="J155" s="2"/>
    </row>
    <row r="156" spans="1:10" x14ac:dyDescent="0.2">
      <c r="C156" s="3" t="s">
        <v>14</v>
      </c>
      <c r="D156" s="2">
        <v>14473</v>
      </c>
      <c r="E156" s="2">
        <v>237</v>
      </c>
      <c r="F156" s="2">
        <f t="shared" si="6"/>
        <v>1540</v>
      </c>
      <c r="G156" s="2">
        <f t="shared" si="4"/>
        <v>62</v>
      </c>
      <c r="J156" s="2"/>
    </row>
    <row r="157" spans="1:10" x14ac:dyDescent="0.2">
      <c r="B157" t="s">
        <v>9</v>
      </c>
      <c r="C157" s="3" t="s">
        <v>10</v>
      </c>
      <c r="D157" s="2">
        <v>6862</v>
      </c>
      <c r="E157" s="2">
        <v>200</v>
      </c>
      <c r="F157" s="2">
        <f t="shared" si="6"/>
        <v>675</v>
      </c>
      <c r="G157" s="2">
        <f t="shared" si="4"/>
        <v>11</v>
      </c>
      <c r="H157" s="2">
        <f t="shared" si="5"/>
        <v>6866</v>
      </c>
      <c r="I157" s="2">
        <f>SUM(41090+47942)</f>
        <v>89032</v>
      </c>
      <c r="J157" s="2"/>
    </row>
    <row r="158" spans="1:10" x14ac:dyDescent="0.2">
      <c r="C158" s="3" t="s">
        <v>11</v>
      </c>
      <c r="D158" s="2">
        <v>4395</v>
      </c>
      <c r="E158" s="2">
        <v>92</v>
      </c>
      <c r="F158" s="2">
        <f t="shared" si="6"/>
        <v>471</v>
      </c>
      <c r="G158" s="2">
        <f t="shared" si="4"/>
        <v>5</v>
      </c>
      <c r="J158" s="2"/>
    </row>
    <row r="159" spans="1:10" x14ac:dyDescent="0.2">
      <c r="C159" s="3" t="s">
        <v>12</v>
      </c>
      <c r="D159" s="2">
        <v>4493</v>
      </c>
      <c r="E159" s="2">
        <v>186</v>
      </c>
      <c r="F159" s="2">
        <f t="shared" si="6"/>
        <v>411</v>
      </c>
      <c r="G159" s="2">
        <f t="shared" si="4"/>
        <v>14</v>
      </c>
      <c r="J159" s="2"/>
    </row>
    <row r="160" spans="1:10" x14ac:dyDescent="0.2">
      <c r="C160" s="3" t="s">
        <v>36</v>
      </c>
      <c r="D160" s="2">
        <v>3685</v>
      </c>
      <c r="E160" s="2">
        <v>78</v>
      </c>
      <c r="F160" s="2">
        <f t="shared" si="6"/>
        <v>469</v>
      </c>
      <c r="G160" s="2">
        <f t="shared" si="4"/>
        <v>7</v>
      </c>
      <c r="J160" s="2"/>
    </row>
    <row r="161" spans="2:10" x14ac:dyDescent="0.2">
      <c r="C161" s="3" t="s">
        <v>37</v>
      </c>
      <c r="D161" s="2">
        <v>3756</v>
      </c>
      <c r="E161" s="2">
        <v>53</v>
      </c>
      <c r="F161" s="2">
        <f t="shared" si="6"/>
        <v>529</v>
      </c>
      <c r="G161" s="2">
        <f t="shared" ref="G161:G224" si="7">SUM(E161-E131)</f>
        <v>11</v>
      </c>
      <c r="J161" s="2"/>
    </row>
    <row r="162" spans="2:10" x14ac:dyDescent="0.2">
      <c r="B162" t="s">
        <v>13</v>
      </c>
      <c r="C162" s="3" t="s">
        <v>14</v>
      </c>
      <c r="D162" s="2">
        <v>2929</v>
      </c>
      <c r="E162" s="2">
        <v>33</v>
      </c>
      <c r="F162" s="2">
        <f t="shared" si="6"/>
        <v>271</v>
      </c>
      <c r="G162" s="2">
        <f t="shared" si="7"/>
        <v>4</v>
      </c>
      <c r="H162" s="2">
        <f t="shared" ref="H162:H222" si="8">SUM(I162-I132)</f>
        <v>4492</v>
      </c>
      <c r="I162" s="2">
        <v>76429</v>
      </c>
      <c r="J162" s="2"/>
    </row>
    <row r="163" spans="2:10" x14ac:dyDescent="0.2">
      <c r="C163" s="3" t="s">
        <v>15</v>
      </c>
      <c r="D163" s="2">
        <v>2950</v>
      </c>
      <c r="E163" s="2">
        <v>48</v>
      </c>
      <c r="F163" s="2">
        <f t="shared" si="6"/>
        <v>318</v>
      </c>
      <c r="G163" s="2">
        <f t="shared" si="7"/>
        <v>6</v>
      </c>
      <c r="J163" s="2"/>
    </row>
    <row r="164" spans="2:10" x14ac:dyDescent="0.2">
      <c r="C164" s="3" t="s">
        <v>12</v>
      </c>
      <c r="D164" s="2">
        <v>1653</v>
      </c>
      <c r="E164" s="2">
        <v>31</v>
      </c>
      <c r="F164" s="2">
        <f t="shared" si="6"/>
        <v>147</v>
      </c>
      <c r="G164" s="2">
        <f t="shared" si="7"/>
        <v>3</v>
      </c>
      <c r="J164" s="2"/>
    </row>
    <row r="165" spans="2:10" x14ac:dyDescent="0.2">
      <c r="C165" s="3" t="s">
        <v>33</v>
      </c>
      <c r="D165" s="2">
        <v>1382</v>
      </c>
      <c r="E165" s="2">
        <v>30</v>
      </c>
      <c r="F165" s="2">
        <f t="shared" si="6"/>
        <v>111</v>
      </c>
      <c r="G165" s="2">
        <f t="shared" si="7"/>
        <v>3</v>
      </c>
      <c r="J165" s="2"/>
    </row>
    <row r="166" spans="2:10" x14ac:dyDescent="0.2">
      <c r="C166" s="3" t="s">
        <v>34</v>
      </c>
      <c r="D166" s="2">
        <v>1077</v>
      </c>
      <c r="E166" s="2">
        <v>19</v>
      </c>
      <c r="F166" s="2">
        <f t="shared" si="6"/>
        <v>99</v>
      </c>
      <c r="G166" s="2">
        <f t="shared" si="7"/>
        <v>1</v>
      </c>
      <c r="J166" s="2"/>
    </row>
    <row r="167" spans="2:10" x14ac:dyDescent="0.2">
      <c r="B167" t="s">
        <v>23</v>
      </c>
      <c r="C167" s="3" t="s">
        <v>24</v>
      </c>
      <c r="D167" s="2">
        <v>8270</v>
      </c>
      <c r="E167" s="2">
        <v>346</v>
      </c>
      <c r="F167" s="2">
        <f t="shared" si="6"/>
        <v>752</v>
      </c>
      <c r="G167" s="2">
        <f t="shared" si="7"/>
        <v>53</v>
      </c>
      <c r="H167" s="2">
        <f t="shared" si="8"/>
        <v>4072</v>
      </c>
      <c r="I167" s="2">
        <f>SUM(18850+43120)</f>
        <v>61970</v>
      </c>
      <c r="J167" s="2"/>
    </row>
    <row r="168" spans="2:10" x14ac:dyDescent="0.2">
      <c r="C168" s="3" t="s">
        <v>25</v>
      </c>
      <c r="D168" s="2">
        <v>3380</v>
      </c>
      <c r="E168" s="2">
        <v>185</v>
      </c>
      <c r="F168" s="2">
        <f t="shared" si="6"/>
        <v>306</v>
      </c>
      <c r="G168" s="2">
        <f t="shared" si="7"/>
        <v>20</v>
      </c>
      <c r="J168" s="2"/>
    </row>
    <row r="169" spans="2:10" x14ac:dyDescent="0.2">
      <c r="C169" s="3" t="s">
        <v>28</v>
      </c>
      <c r="D169" s="2">
        <v>2159</v>
      </c>
      <c r="E169" s="2">
        <v>100</v>
      </c>
      <c r="F169" s="2">
        <f t="shared" si="6"/>
        <v>156</v>
      </c>
      <c r="G169" s="2">
        <f t="shared" si="7"/>
        <v>17</v>
      </c>
      <c r="J169" s="2"/>
    </row>
    <row r="170" spans="2:10" x14ac:dyDescent="0.2">
      <c r="C170" s="3" t="s">
        <v>38</v>
      </c>
      <c r="D170" s="2">
        <v>568</v>
      </c>
      <c r="E170" s="2">
        <v>26</v>
      </c>
      <c r="F170" s="2">
        <f t="shared" si="6"/>
        <v>64</v>
      </c>
      <c r="G170" s="2">
        <f t="shared" si="7"/>
        <v>8</v>
      </c>
      <c r="J170" s="2"/>
    </row>
    <row r="171" spans="2:10" x14ac:dyDescent="0.2">
      <c r="C171" s="3" t="s">
        <v>39</v>
      </c>
      <c r="D171" s="2">
        <v>543</v>
      </c>
      <c r="E171" s="2">
        <v>10</v>
      </c>
      <c r="F171" s="2">
        <f t="shared" si="6"/>
        <v>22</v>
      </c>
      <c r="G171" s="2">
        <f t="shared" si="7"/>
        <v>2</v>
      </c>
      <c r="J171" s="2"/>
    </row>
    <row r="172" spans="2:10" x14ac:dyDescent="0.2">
      <c r="B172" t="s">
        <v>16</v>
      </c>
      <c r="C172" s="3" t="s">
        <v>17</v>
      </c>
      <c r="D172" s="2">
        <v>3611</v>
      </c>
      <c r="E172" s="2">
        <v>28</v>
      </c>
      <c r="F172" s="2">
        <f t="shared" si="6"/>
        <v>476</v>
      </c>
      <c r="G172" s="2">
        <f t="shared" si="7"/>
        <v>0</v>
      </c>
      <c r="H172" s="2">
        <f t="shared" si="8"/>
        <v>6083</v>
      </c>
      <c r="I172" s="2">
        <f>SUM(12980+70874)</f>
        <v>83854</v>
      </c>
      <c r="J172" s="2"/>
    </row>
    <row r="173" spans="2:10" x14ac:dyDescent="0.2">
      <c r="C173" s="3" t="s">
        <v>18</v>
      </c>
      <c r="D173" s="2">
        <v>1230</v>
      </c>
      <c r="E173" s="2">
        <v>22</v>
      </c>
      <c r="F173" s="2">
        <f t="shared" si="6"/>
        <v>119</v>
      </c>
      <c r="G173" s="2">
        <f t="shared" si="7"/>
        <v>0</v>
      </c>
      <c r="J173" s="2"/>
    </row>
    <row r="174" spans="2:10" x14ac:dyDescent="0.2">
      <c r="C174" s="3" t="s">
        <v>19</v>
      </c>
      <c r="D174" s="2">
        <v>822</v>
      </c>
      <c r="E174" s="2">
        <v>15</v>
      </c>
      <c r="F174" s="2">
        <f t="shared" si="6"/>
        <v>114</v>
      </c>
      <c r="G174" s="2">
        <f t="shared" si="7"/>
        <v>1</v>
      </c>
      <c r="J174" s="2"/>
    </row>
    <row r="175" spans="2:10" x14ac:dyDescent="0.2">
      <c r="C175" s="3" t="s">
        <v>40</v>
      </c>
      <c r="D175" s="2">
        <v>1006</v>
      </c>
      <c r="E175" s="2">
        <v>8</v>
      </c>
      <c r="F175" s="2">
        <f t="shared" ref="F175:F238" si="9">SUM(D175-D145)</f>
        <v>129</v>
      </c>
      <c r="G175" s="2">
        <f t="shared" si="7"/>
        <v>0</v>
      </c>
      <c r="J175" s="2"/>
    </row>
    <row r="176" spans="2:10" x14ac:dyDescent="0.2">
      <c r="C176" s="3" t="s">
        <v>41</v>
      </c>
      <c r="D176" s="2">
        <v>326</v>
      </c>
      <c r="E176" s="2">
        <v>3</v>
      </c>
      <c r="F176" s="2">
        <f t="shared" si="9"/>
        <v>50</v>
      </c>
      <c r="G176" s="2">
        <f t="shared" si="7"/>
        <v>0</v>
      </c>
      <c r="J176" s="2"/>
    </row>
    <row r="177" spans="1:10" x14ac:dyDescent="0.2">
      <c r="B177" t="s">
        <v>20</v>
      </c>
      <c r="C177" s="3" t="s">
        <v>22</v>
      </c>
      <c r="D177" s="2">
        <v>6346</v>
      </c>
      <c r="E177" s="2">
        <v>145</v>
      </c>
      <c r="F177" s="2">
        <f t="shared" si="9"/>
        <v>454</v>
      </c>
      <c r="G177" s="2">
        <f t="shared" si="7"/>
        <v>15</v>
      </c>
      <c r="H177" s="2">
        <f t="shared" si="8"/>
        <v>898</v>
      </c>
      <c r="I177" s="2">
        <f>SUM(14336+103095)</f>
        <v>117431</v>
      </c>
      <c r="J177" s="2"/>
    </row>
    <row r="178" spans="1:10" x14ac:dyDescent="0.2">
      <c r="C178" s="3" t="s">
        <v>26</v>
      </c>
      <c r="D178" s="2">
        <v>1406</v>
      </c>
      <c r="E178" s="2">
        <v>19</v>
      </c>
      <c r="F178" s="2">
        <f t="shared" si="9"/>
        <v>78</v>
      </c>
      <c r="G178" s="2">
        <f t="shared" si="7"/>
        <v>0</v>
      </c>
      <c r="J178" s="2"/>
    </row>
    <row r="179" spans="1:10" x14ac:dyDescent="0.2">
      <c r="C179" s="3" t="s">
        <v>27</v>
      </c>
      <c r="D179" s="2">
        <v>854</v>
      </c>
      <c r="E179" s="2">
        <v>17</v>
      </c>
      <c r="F179" s="2">
        <f t="shared" si="9"/>
        <v>185</v>
      </c>
      <c r="G179" s="2">
        <f t="shared" si="7"/>
        <v>0</v>
      </c>
      <c r="J179" s="2"/>
    </row>
    <row r="180" spans="1:10" x14ac:dyDescent="0.2">
      <c r="C180" s="3" t="s">
        <v>42</v>
      </c>
      <c r="D180" s="2">
        <v>1224</v>
      </c>
      <c r="E180" s="2">
        <v>40</v>
      </c>
      <c r="F180" s="2">
        <f t="shared" si="9"/>
        <v>17</v>
      </c>
      <c r="G180" s="2">
        <f t="shared" si="7"/>
        <v>0</v>
      </c>
      <c r="J180" s="2"/>
    </row>
    <row r="181" spans="1:10" x14ac:dyDescent="0.2">
      <c r="C181" s="3" t="s">
        <v>43</v>
      </c>
      <c r="D181" s="2">
        <v>882</v>
      </c>
      <c r="E181" s="2">
        <v>14</v>
      </c>
      <c r="F181" s="2">
        <f t="shared" si="9"/>
        <v>48</v>
      </c>
      <c r="G181" s="2">
        <f t="shared" si="7"/>
        <v>0</v>
      </c>
      <c r="J181" s="2"/>
    </row>
    <row r="182" spans="1:10" x14ac:dyDescent="0.2">
      <c r="A182" s="1">
        <v>43928</v>
      </c>
      <c r="B182" t="s">
        <v>5</v>
      </c>
      <c r="C182" s="3" t="s">
        <v>6</v>
      </c>
      <c r="D182" s="2">
        <v>24809</v>
      </c>
      <c r="E182" s="2">
        <v>1129</v>
      </c>
      <c r="F182" s="2">
        <f t="shared" si="9"/>
        <v>1726</v>
      </c>
      <c r="G182" s="2">
        <f t="shared" si="7"/>
        <v>253</v>
      </c>
      <c r="H182" s="2">
        <f t="shared" si="8"/>
        <v>19247</v>
      </c>
      <c r="I182" s="2">
        <f>SUM(138863+201195)</f>
        <v>340058</v>
      </c>
      <c r="J182" s="2"/>
    </row>
    <row r="183" spans="1:10" x14ac:dyDescent="0.2">
      <c r="C183" s="3" t="s">
        <v>7</v>
      </c>
      <c r="D183" s="2">
        <v>20235</v>
      </c>
      <c r="E183" s="2">
        <v>946</v>
      </c>
      <c r="F183" s="2">
        <f t="shared" si="9"/>
        <v>1801</v>
      </c>
      <c r="G183" s="2">
        <f t="shared" si="7"/>
        <v>208</v>
      </c>
      <c r="J183" s="2"/>
    </row>
    <row r="184" spans="1:10" x14ac:dyDescent="0.2">
      <c r="C184" s="3" t="s">
        <v>8</v>
      </c>
      <c r="D184" s="2">
        <v>16610</v>
      </c>
      <c r="E184" s="2">
        <v>620</v>
      </c>
      <c r="F184" s="2">
        <f t="shared" si="9"/>
        <v>2212</v>
      </c>
      <c r="G184" s="2">
        <f t="shared" si="7"/>
        <v>85</v>
      </c>
      <c r="J184" s="2"/>
    </row>
    <row r="185" spans="1:10" x14ac:dyDescent="0.2">
      <c r="C185" s="3" t="s">
        <v>35</v>
      </c>
      <c r="D185" s="2">
        <v>14941</v>
      </c>
      <c r="E185" s="2">
        <v>902</v>
      </c>
      <c r="F185" s="2">
        <f t="shared" si="9"/>
        <v>1261</v>
      </c>
      <c r="G185" s="2">
        <f t="shared" si="7"/>
        <v>223</v>
      </c>
      <c r="J185" s="2"/>
    </row>
    <row r="186" spans="1:10" x14ac:dyDescent="0.2">
      <c r="C186" s="3" t="s">
        <v>14</v>
      </c>
      <c r="D186" s="2">
        <v>15561</v>
      </c>
      <c r="E186" s="2">
        <v>266</v>
      </c>
      <c r="F186" s="2">
        <f t="shared" si="9"/>
        <v>1088</v>
      </c>
      <c r="G186" s="2">
        <f t="shared" si="7"/>
        <v>29</v>
      </c>
      <c r="J186" s="2"/>
    </row>
    <row r="187" spans="1:10" x14ac:dyDescent="0.2">
      <c r="B187" t="s">
        <v>9</v>
      </c>
      <c r="C187" s="3" t="s">
        <v>10</v>
      </c>
      <c r="D187" s="2">
        <v>7533</v>
      </c>
      <c r="E187" s="2">
        <v>263</v>
      </c>
      <c r="F187" s="2">
        <f t="shared" si="9"/>
        <v>671</v>
      </c>
      <c r="G187" s="2">
        <f t="shared" si="7"/>
        <v>63</v>
      </c>
      <c r="H187" s="2">
        <f t="shared" si="8"/>
        <v>5942</v>
      </c>
      <c r="I187" s="2">
        <f>SUM(44416+50558)</f>
        <v>94974</v>
      </c>
      <c r="J187" s="2"/>
    </row>
    <row r="188" spans="1:10" x14ac:dyDescent="0.2">
      <c r="C188" s="3" t="s">
        <v>11</v>
      </c>
      <c r="D188" s="2">
        <v>4949</v>
      </c>
      <c r="E188" s="2">
        <v>103</v>
      </c>
      <c r="F188" s="2">
        <f t="shared" si="9"/>
        <v>554</v>
      </c>
      <c r="G188" s="2">
        <f t="shared" si="7"/>
        <v>11</v>
      </c>
      <c r="J188" s="2"/>
    </row>
    <row r="189" spans="1:10" x14ac:dyDescent="0.2">
      <c r="C189" s="3" t="s">
        <v>12</v>
      </c>
      <c r="D189" s="2">
        <v>5078</v>
      </c>
      <c r="E189" s="2">
        <v>232</v>
      </c>
      <c r="F189" s="2">
        <f t="shared" si="9"/>
        <v>585</v>
      </c>
      <c r="G189" s="2">
        <f t="shared" si="7"/>
        <v>46</v>
      </c>
      <c r="J189" s="2"/>
    </row>
    <row r="190" spans="1:10" x14ac:dyDescent="0.2">
      <c r="C190" s="3" t="s">
        <v>36</v>
      </c>
      <c r="D190" s="2">
        <v>4358</v>
      </c>
      <c r="E190" s="2">
        <v>95</v>
      </c>
      <c r="F190" s="2">
        <f t="shared" si="9"/>
        <v>673</v>
      </c>
      <c r="G190" s="2">
        <f t="shared" si="7"/>
        <v>17</v>
      </c>
      <c r="J190" s="2"/>
    </row>
    <row r="191" spans="1:10" x14ac:dyDescent="0.2">
      <c r="C191" s="3" t="s">
        <v>37</v>
      </c>
      <c r="D191" s="2">
        <v>4101</v>
      </c>
      <c r="E191" s="2">
        <v>62</v>
      </c>
      <c r="F191" s="2">
        <f t="shared" si="9"/>
        <v>345</v>
      </c>
      <c r="G191" s="2">
        <f t="shared" si="7"/>
        <v>9</v>
      </c>
      <c r="J191" s="2"/>
    </row>
    <row r="192" spans="1:10" x14ac:dyDescent="0.2">
      <c r="B192" t="s">
        <v>13</v>
      </c>
      <c r="C192" s="3" t="s">
        <v>14</v>
      </c>
      <c r="D192" s="2">
        <v>3245</v>
      </c>
      <c r="E192" s="2">
        <v>42</v>
      </c>
      <c r="F192" s="2">
        <f t="shared" si="9"/>
        <v>316</v>
      </c>
      <c r="G192" s="2">
        <f t="shared" si="7"/>
        <v>9</v>
      </c>
      <c r="H192" s="2">
        <f t="shared" si="8"/>
        <v>4915</v>
      </c>
      <c r="I192" s="2">
        <v>81344</v>
      </c>
      <c r="J192" s="2"/>
    </row>
    <row r="193" spans="2:10" x14ac:dyDescent="0.2">
      <c r="C193" s="3" t="s">
        <v>15</v>
      </c>
      <c r="D193" s="2">
        <v>3187</v>
      </c>
      <c r="E193" s="2">
        <v>69</v>
      </c>
      <c r="F193" s="2">
        <f t="shared" si="9"/>
        <v>237</v>
      </c>
      <c r="G193" s="2">
        <f t="shared" si="7"/>
        <v>21</v>
      </c>
      <c r="J193" s="2"/>
    </row>
    <row r="194" spans="2:10" x14ac:dyDescent="0.2">
      <c r="C194" s="3" t="s">
        <v>12</v>
      </c>
      <c r="D194" s="2">
        <v>1841</v>
      </c>
      <c r="E194" s="2">
        <v>37</v>
      </c>
      <c r="F194" s="2">
        <f t="shared" si="9"/>
        <v>188</v>
      </c>
      <c r="G194" s="2">
        <f t="shared" si="7"/>
        <v>6</v>
      </c>
      <c r="J194" s="2"/>
    </row>
    <row r="195" spans="2:10" x14ac:dyDescent="0.2">
      <c r="C195" s="3" t="s">
        <v>33</v>
      </c>
      <c r="D195" s="2">
        <v>1592</v>
      </c>
      <c r="E195" s="2">
        <v>36</v>
      </c>
      <c r="F195" s="2">
        <f t="shared" si="9"/>
        <v>210</v>
      </c>
      <c r="G195" s="2">
        <f t="shared" si="7"/>
        <v>6</v>
      </c>
      <c r="J195" s="2"/>
    </row>
    <row r="196" spans="2:10" x14ac:dyDescent="0.2">
      <c r="C196" s="3" t="s">
        <v>34</v>
      </c>
      <c r="D196" s="2">
        <v>1172</v>
      </c>
      <c r="E196" s="2">
        <v>24</v>
      </c>
      <c r="F196" s="2">
        <f t="shared" si="9"/>
        <v>95</v>
      </c>
      <c r="G196" s="2">
        <f t="shared" si="7"/>
        <v>5</v>
      </c>
      <c r="J196" s="2"/>
    </row>
    <row r="197" spans="2:10" x14ac:dyDescent="0.2">
      <c r="B197" t="s">
        <v>23</v>
      </c>
      <c r="C197" s="3" t="s">
        <v>24</v>
      </c>
      <c r="D197" s="2">
        <f>SUM(9045)</f>
        <v>9045</v>
      </c>
      <c r="E197" s="2">
        <v>402</v>
      </c>
      <c r="F197" s="2">
        <f t="shared" si="9"/>
        <v>775</v>
      </c>
      <c r="G197" s="2">
        <f t="shared" si="7"/>
        <v>56</v>
      </c>
      <c r="H197" s="2">
        <f t="shared" si="8"/>
        <v>3403</v>
      </c>
      <c r="I197" s="2">
        <f>SUM(19823+45550)</f>
        <v>65373</v>
      </c>
      <c r="J197" s="2"/>
    </row>
    <row r="198" spans="2:10" x14ac:dyDescent="0.2">
      <c r="C198" s="3" t="s">
        <v>25</v>
      </c>
      <c r="D198" s="2">
        <v>3736</v>
      </c>
      <c r="E198" s="2">
        <v>205</v>
      </c>
      <c r="F198" s="2">
        <f t="shared" si="9"/>
        <v>356</v>
      </c>
      <c r="G198" s="2">
        <f t="shared" si="7"/>
        <v>20</v>
      </c>
      <c r="J198" s="2"/>
    </row>
    <row r="199" spans="2:10" x14ac:dyDescent="0.2">
      <c r="C199" s="3" t="s">
        <v>28</v>
      </c>
      <c r="D199" s="2">
        <v>2414</v>
      </c>
      <c r="E199" s="2">
        <v>121</v>
      </c>
      <c r="F199" s="2">
        <f t="shared" si="9"/>
        <v>255</v>
      </c>
      <c r="G199" s="2">
        <f t="shared" si="7"/>
        <v>21</v>
      </c>
      <c r="J199" s="2"/>
    </row>
    <row r="200" spans="2:10" x14ac:dyDescent="0.2">
      <c r="C200" s="3" t="s">
        <v>38</v>
      </c>
      <c r="D200" s="2">
        <v>638</v>
      </c>
      <c r="E200" s="2">
        <v>33</v>
      </c>
      <c r="F200" s="2">
        <f t="shared" si="9"/>
        <v>70</v>
      </c>
      <c r="G200" s="2">
        <f t="shared" si="7"/>
        <v>7</v>
      </c>
      <c r="J200" s="2"/>
    </row>
    <row r="201" spans="2:10" x14ac:dyDescent="0.2">
      <c r="C201" s="3" t="s">
        <v>39</v>
      </c>
      <c r="D201" s="2">
        <v>561</v>
      </c>
      <c r="E201" s="2">
        <v>12</v>
      </c>
      <c r="F201" s="2">
        <f t="shared" si="9"/>
        <v>18</v>
      </c>
      <c r="G201" s="2">
        <f t="shared" si="7"/>
        <v>2</v>
      </c>
      <c r="J201" s="2"/>
    </row>
    <row r="202" spans="2:10" x14ac:dyDescent="0.2">
      <c r="B202" t="s">
        <v>16</v>
      </c>
      <c r="C202" s="3" t="s">
        <v>17</v>
      </c>
      <c r="D202" s="2">
        <v>4012</v>
      </c>
      <c r="E202" s="2">
        <v>58</v>
      </c>
      <c r="F202" s="2">
        <f t="shared" si="9"/>
        <v>401</v>
      </c>
      <c r="G202" s="2">
        <f t="shared" si="7"/>
        <v>30</v>
      </c>
      <c r="H202" s="2">
        <f t="shared" si="8"/>
        <v>7424</v>
      </c>
      <c r="I202" s="2">
        <f>SUM(14559+76719)</f>
        <v>91278</v>
      </c>
      <c r="J202" s="2"/>
    </row>
    <row r="203" spans="2:10" x14ac:dyDescent="0.2">
      <c r="C203" s="3" t="s">
        <v>18</v>
      </c>
      <c r="D203" s="2">
        <v>1359</v>
      </c>
      <c r="E203" s="2">
        <v>30</v>
      </c>
      <c r="F203" s="2">
        <f t="shared" si="9"/>
        <v>129</v>
      </c>
      <c r="G203" s="2">
        <f t="shared" si="7"/>
        <v>8</v>
      </c>
      <c r="J203" s="2"/>
    </row>
    <row r="204" spans="2:10" x14ac:dyDescent="0.2">
      <c r="C204" s="3" t="s">
        <v>19</v>
      </c>
      <c r="D204" s="2">
        <v>898</v>
      </c>
      <c r="E204" s="2">
        <v>20</v>
      </c>
      <c r="F204" s="2">
        <f t="shared" si="9"/>
        <v>76</v>
      </c>
      <c r="G204" s="2">
        <f t="shared" si="7"/>
        <v>5</v>
      </c>
      <c r="J204" s="2"/>
    </row>
    <row r="205" spans="2:10" x14ac:dyDescent="0.2">
      <c r="C205" s="3" t="s">
        <v>40</v>
      </c>
      <c r="D205" s="2">
        <v>1146</v>
      </c>
      <c r="E205" s="2">
        <v>10</v>
      </c>
      <c r="F205" s="2">
        <f t="shared" si="9"/>
        <v>140</v>
      </c>
      <c r="G205" s="2">
        <f t="shared" si="7"/>
        <v>2</v>
      </c>
      <c r="J205" s="2"/>
    </row>
    <row r="206" spans="2:10" x14ac:dyDescent="0.2">
      <c r="C206" s="3" t="s">
        <v>41</v>
      </c>
      <c r="D206" s="2">
        <v>369</v>
      </c>
      <c r="E206" s="2">
        <v>4</v>
      </c>
      <c r="F206" s="2">
        <f t="shared" si="9"/>
        <v>43</v>
      </c>
      <c r="G206" s="2">
        <f t="shared" si="7"/>
        <v>1</v>
      </c>
      <c r="J206" s="2"/>
    </row>
    <row r="207" spans="2:10" x14ac:dyDescent="0.2">
      <c r="B207" t="s">
        <v>20</v>
      </c>
      <c r="C207" s="3" t="s">
        <v>22</v>
      </c>
      <c r="D207" s="2">
        <v>6885</v>
      </c>
      <c r="E207" s="2">
        <v>170</v>
      </c>
      <c r="F207" s="2">
        <f t="shared" si="9"/>
        <v>539</v>
      </c>
      <c r="G207" s="2">
        <f t="shared" si="7"/>
        <v>25</v>
      </c>
      <c r="H207" s="2">
        <f t="shared" si="8"/>
        <v>13798</v>
      </c>
      <c r="I207" s="2">
        <f>SUM(15865+115364)</f>
        <v>131229</v>
      </c>
      <c r="J207" s="2"/>
    </row>
    <row r="208" spans="2:10" x14ac:dyDescent="0.2">
      <c r="C208" s="3" t="s">
        <v>26</v>
      </c>
      <c r="D208" s="2">
        <v>1456</v>
      </c>
      <c r="E208" s="2">
        <v>31</v>
      </c>
      <c r="F208" s="2">
        <f t="shared" si="9"/>
        <v>50</v>
      </c>
      <c r="G208" s="2">
        <f t="shared" si="7"/>
        <v>12</v>
      </c>
      <c r="J208" s="2"/>
    </row>
    <row r="209" spans="1:10" x14ac:dyDescent="0.2">
      <c r="C209" s="3" t="s">
        <v>27</v>
      </c>
      <c r="D209" s="2">
        <v>905</v>
      </c>
      <c r="E209" s="2">
        <v>25</v>
      </c>
      <c r="F209" s="2">
        <f t="shared" si="9"/>
        <v>51</v>
      </c>
      <c r="G209" s="2">
        <f t="shared" si="7"/>
        <v>8</v>
      </c>
      <c r="J209" s="2"/>
    </row>
    <row r="210" spans="1:10" x14ac:dyDescent="0.2">
      <c r="C210" s="3" t="s">
        <v>42</v>
      </c>
      <c r="D210" s="2">
        <v>1285</v>
      </c>
      <c r="E210" s="2">
        <v>44</v>
      </c>
      <c r="F210" s="2">
        <f t="shared" si="9"/>
        <v>61</v>
      </c>
      <c r="G210" s="2">
        <f t="shared" si="7"/>
        <v>4</v>
      </c>
      <c r="J210" s="2"/>
    </row>
    <row r="211" spans="1:10" x14ac:dyDescent="0.2">
      <c r="C211" s="3" t="s">
        <v>43</v>
      </c>
      <c r="D211" s="2">
        <v>931</v>
      </c>
      <c r="E211" s="2">
        <v>15</v>
      </c>
      <c r="F211" s="2">
        <f t="shared" si="9"/>
        <v>49</v>
      </c>
      <c r="G211" s="2">
        <f t="shared" si="7"/>
        <v>1</v>
      </c>
      <c r="J211" s="2"/>
    </row>
    <row r="212" spans="1:10" x14ac:dyDescent="0.2">
      <c r="A212" s="1">
        <v>43929</v>
      </c>
      <c r="B212" t="s">
        <v>5</v>
      </c>
      <c r="C212" s="3" t="s">
        <v>6</v>
      </c>
      <c r="D212" s="2">
        <v>26204</v>
      </c>
      <c r="E212" s="2">
        <v>1344</v>
      </c>
      <c r="F212" s="2">
        <f t="shared" si="9"/>
        <v>1395</v>
      </c>
      <c r="G212" s="2">
        <f t="shared" si="7"/>
        <v>215</v>
      </c>
      <c r="H212" s="2">
        <f t="shared" si="8"/>
        <v>25095</v>
      </c>
      <c r="I212" s="2">
        <f>SUM(149316+215837)</f>
        <v>365153</v>
      </c>
      <c r="J212" s="2"/>
    </row>
    <row r="213" spans="1:10" x14ac:dyDescent="0.2">
      <c r="C213" s="3" t="s">
        <v>7</v>
      </c>
      <c r="D213" s="2">
        <v>21580</v>
      </c>
      <c r="E213" s="2">
        <v>1185</v>
      </c>
      <c r="F213" s="2">
        <f t="shared" si="9"/>
        <v>1345</v>
      </c>
      <c r="G213" s="2">
        <f t="shared" si="7"/>
        <v>239</v>
      </c>
      <c r="J213" s="2"/>
    </row>
    <row r="214" spans="1:10" x14ac:dyDescent="0.2">
      <c r="C214" s="3" t="s">
        <v>8</v>
      </c>
      <c r="D214" s="2">
        <v>18548</v>
      </c>
      <c r="E214" s="2">
        <v>701</v>
      </c>
      <c r="F214" s="2">
        <f t="shared" si="9"/>
        <v>1938</v>
      </c>
      <c r="G214" s="2">
        <f t="shared" si="7"/>
        <v>81</v>
      </c>
      <c r="J214" s="2"/>
    </row>
    <row r="215" spans="1:10" x14ac:dyDescent="0.2">
      <c r="C215" s="3" t="s">
        <v>35</v>
      </c>
      <c r="D215" s="2">
        <v>16419</v>
      </c>
      <c r="E215" s="2">
        <v>1001</v>
      </c>
      <c r="F215" s="2">
        <f t="shared" si="9"/>
        <v>1478</v>
      </c>
      <c r="G215" s="2">
        <f t="shared" si="7"/>
        <v>99</v>
      </c>
      <c r="J215" s="2"/>
    </row>
    <row r="216" spans="1:10" x14ac:dyDescent="0.2">
      <c r="C216" s="3" t="s">
        <v>14</v>
      </c>
      <c r="D216" s="2">
        <v>15844</v>
      </c>
      <c r="E216" s="2">
        <v>328</v>
      </c>
      <c r="F216" s="2">
        <f t="shared" si="9"/>
        <v>283</v>
      </c>
      <c r="G216" s="2">
        <f t="shared" si="7"/>
        <v>62</v>
      </c>
      <c r="J216" s="2"/>
    </row>
    <row r="217" spans="1:10" x14ac:dyDescent="0.2">
      <c r="B217" t="s">
        <v>9</v>
      </c>
      <c r="C217" s="3" t="s">
        <v>10</v>
      </c>
      <c r="D217" s="2">
        <v>7874</v>
      </c>
      <c r="E217" s="2">
        <v>314</v>
      </c>
      <c r="F217" s="2">
        <f t="shared" si="9"/>
        <v>341</v>
      </c>
      <c r="G217" s="2">
        <f t="shared" si="7"/>
        <v>51</v>
      </c>
      <c r="H217" s="2">
        <f t="shared" si="8"/>
        <v>5442</v>
      </c>
      <c r="I217" s="2">
        <f>SUM(47437+52979)</f>
        <v>100416</v>
      </c>
      <c r="J217" s="2"/>
    </row>
    <row r="218" spans="1:10" x14ac:dyDescent="0.2">
      <c r="C218" s="3" t="s">
        <v>11</v>
      </c>
      <c r="D218" s="2">
        <v>5437</v>
      </c>
      <c r="E218" s="2">
        <v>122</v>
      </c>
      <c r="F218" s="2">
        <f t="shared" si="9"/>
        <v>488</v>
      </c>
      <c r="G218" s="2">
        <f t="shared" si="7"/>
        <v>19</v>
      </c>
      <c r="J218" s="2"/>
    </row>
    <row r="219" spans="1:10" x14ac:dyDescent="0.2">
      <c r="C219" s="3" t="s">
        <v>12</v>
      </c>
      <c r="D219" s="2">
        <v>5598</v>
      </c>
      <c r="E219" s="2">
        <v>276</v>
      </c>
      <c r="F219" s="2">
        <f t="shared" si="9"/>
        <v>520</v>
      </c>
      <c r="G219" s="2">
        <f t="shared" si="7"/>
        <v>44</v>
      </c>
      <c r="J219" s="2"/>
    </row>
    <row r="220" spans="1:10" x14ac:dyDescent="0.2">
      <c r="C220" s="3" t="s">
        <v>36</v>
      </c>
      <c r="D220" s="2">
        <v>4831</v>
      </c>
      <c r="E220" s="2">
        <v>125</v>
      </c>
      <c r="F220" s="2">
        <f t="shared" si="9"/>
        <v>473</v>
      </c>
      <c r="G220" s="2">
        <f t="shared" si="7"/>
        <v>30</v>
      </c>
      <c r="J220" s="2"/>
    </row>
    <row r="221" spans="1:10" x14ac:dyDescent="0.2">
      <c r="C221" s="3" t="s">
        <v>37</v>
      </c>
      <c r="D221" s="2">
        <v>4372</v>
      </c>
      <c r="E221" s="2">
        <v>71</v>
      </c>
      <c r="F221" s="2">
        <f t="shared" si="9"/>
        <v>271</v>
      </c>
      <c r="G221" s="2">
        <f t="shared" si="7"/>
        <v>9</v>
      </c>
      <c r="J221" s="2"/>
    </row>
    <row r="222" spans="1:10" x14ac:dyDescent="0.2">
      <c r="B222" t="s">
        <v>13</v>
      </c>
      <c r="C222" s="3" t="s">
        <v>14</v>
      </c>
      <c r="D222" s="2">
        <v>3600</v>
      </c>
      <c r="E222" s="2">
        <v>50</v>
      </c>
      <c r="F222" s="2">
        <f t="shared" si="9"/>
        <v>355</v>
      </c>
      <c r="G222" s="2">
        <f t="shared" si="7"/>
        <v>8</v>
      </c>
      <c r="H222" s="2">
        <f t="shared" si="8"/>
        <v>6167</v>
      </c>
      <c r="I222" s="2">
        <v>87511</v>
      </c>
      <c r="J222" s="2"/>
    </row>
    <row r="223" spans="1:10" x14ac:dyDescent="0.2">
      <c r="C223" s="3" t="s">
        <v>15</v>
      </c>
      <c r="D223" s="2">
        <v>3545</v>
      </c>
      <c r="E223" s="2">
        <v>80</v>
      </c>
      <c r="F223" s="2">
        <f t="shared" si="9"/>
        <v>358</v>
      </c>
      <c r="G223" s="2">
        <f t="shared" si="7"/>
        <v>11</v>
      </c>
      <c r="J223" s="2"/>
    </row>
    <row r="224" spans="1:10" x14ac:dyDescent="0.2">
      <c r="C224" s="3" t="s">
        <v>12</v>
      </c>
      <c r="D224" s="2">
        <v>2103</v>
      </c>
      <c r="E224" s="2">
        <v>52</v>
      </c>
      <c r="F224" s="2">
        <f t="shared" si="9"/>
        <v>262</v>
      </c>
      <c r="G224" s="2">
        <f t="shared" si="7"/>
        <v>15</v>
      </c>
      <c r="J224" s="2"/>
    </row>
    <row r="225" spans="2:10" x14ac:dyDescent="0.2">
      <c r="C225" s="3" t="s">
        <v>33</v>
      </c>
      <c r="D225" s="2">
        <v>1778</v>
      </c>
      <c r="E225" s="2">
        <v>42</v>
      </c>
      <c r="F225" s="2">
        <f t="shared" si="9"/>
        <v>186</v>
      </c>
      <c r="G225" s="2">
        <f t="shared" ref="G225:G288" si="10">SUM(E225-E195)</f>
        <v>6</v>
      </c>
      <c r="J225" s="2"/>
    </row>
    <row r="226" spans="2:10" x14ac:dyDescent="0.2">
      <c r="C226" s="3" t="s">
        <v>34</v>
      </c>
      <c r="D226" s="2">
        <v>1296</v>
      </c>
      <c r="E226" s="2">
        <v>30</v>
      </c>
      <c r="F226" s="2">
        <f t="shared" si="9"/>
        <v>124</v>
      </c>
      <c r="G226" s="2">
        <f t="shared" si="10"/>
        <v>6</v>
      </c>
      <c r="J226" s="2"/>
    </row>
    <row r="227" spans="2:10" x14ac:dyDescent="0.2">
      <c r="B227" t="s">
        <v>23</v>
      </c>
      <c r="C227" s="3" t="s">
        <v>24</v>
      </c>
      <c r="D227" s="2">
        <v>9626</v>
      </c>
      <c r="E227" s="2">
        <v>446</v>
      </c>
      <c r="F227" s="2">
        <f t="shared" si="9"/>
        <v>581</v>
      </c>
      <c r="G227" s="2">
        <f t="shared" si="10"/>
        <v>44</v>
      </c>
      <c r="H227" s="2">
        <f t="shared" ref="H227:H287" si="11">SUM(I227-I197)</f>
        <v>766</v>
      </c>
      <c r="I227" s="2">
        <f>SUM(20589+45550)</f>
        <v>66139</v>
      </c>
      <c r="J227" s="2"/>
    </row>
    <row r="228" spans="2:10" x14ac:dyDescent="0.2">
      <c r="C228" s="3" t="s">
        <v>25</v>
      </c>
      <c r="D228" s="2">
        <v>4007</v>
      </c>
      <c r="E228" s="2">
        <v>234</v>
      </c>
      <c r="F228" s="2">
        <f t="shared" si="9"/>
        <v>271</v>
      </c>
      <c r="G228" s="2">
        <f t="shared" si="10"/>
        <v>29</v>
      </c>
      <c r="J228" s="2"/>
    </row>
    <row r="229" spans="2:10" x14ac:dyDescent="0.2">
      <c r="C229" s="3" t="s">
        <v>28</v>
      </c>
      <c r="D229" s="2">
        <v>2626</v>
      </c>
      <c r="E229" s="2">
        <v>141</v>
      </c>
      <c r="F229" s="2">
        <f t="shared" si="9"/>
        <v>212</v>
      </c>
      <c r="G229" s="2">
        <f t="shared" si="10"/>
        <v>20</v>
      </c>
      <c r="J229" s="2"/>
    </row>
    <row r="230" spans="2:10" x14ac:dyDescent="0.2">
      <c r="C230" s="3" t="s">
        <v>38</v>
      </c>
      <c r="D230" s="2">
        <v>713</v>
      </c>
      <c r="E230" s="2">
        <v>39</v>
      </c>
      <c r="F230" s="2">
        <f t="shared" si="9"/>
        <v>75</v>
      </c>
      <c r="G230" s="2">
        <f t="shared" si="10"/>
        <v>6</v>
      </c>
      <c r="J230" s="2"/>
    </row>
    <row r="231" spans="2:10" x14ac:dyDescent="0.2">
      <c r="C231" s="3" t="s">
        <v>39</v>
      </c>
      <c r="D231" s="2">
        <v>610</v>
      </c>
      <c r="E231" s="2">
        <v>13</v>
      </c>
      <c r="F231" s="2">
        <f t="shared" si="9"/>
        <v>49</v>
      </c>
      <c r="G231" s="2">
        <f t="shared" si="10"/>
        <v>1</v>
      </c>
      <c r="J231" s="2"/>
    </row>
    <row r="232" spans="2:10" x14ac:dyDescent="0.2">
      <c r="B232" t="s">
        <v>16</v>
      </c>
      <c r="C232" s="3" t="s">
        <v>17</v>
      </c>
      <c r="D232" s="2">
        <v>4456</v>
      </c>
      <c r="E232" s="2">
        <v>86</v>
      </c>
      <c r="F232" s="2">
        <f t="shared" si="9"/>
        <v>444</v>
      </c>
      <c r="G232" s="2">
        <f t="shared" si="10"/>
        <v>28</v>
      </c>
      <c r="H232" s="2">
        <f t="shared" si="11"/>
        <v>7260</v>
      </c>
      <c r="I232" s="2">
        <f>SUM(16239+82299)</f>
        <v>98538</v>
      </c>
      <c r="J232" s="2"/>
    </row>
    <row r="233" spans="2:10" x14ac:dyDescent="0.2">
      <c r="C233" s="3" t="s">
        <v>18</v>
      </c>
      <c r="D233" s="2">
        <v>1521</v>
      </c>
      <c r="E233" s="2">
        <v>37</v>
      </c>
      <c r="F233" s="2">
        <f t="shared" si="9"/>
        <v>162</v>
      </c>
      <c r="G233" s="2">
        <f t="shared" si="10"/>
        <v>7</v>
      </c>
      <c r="J233" s="2"/>
    </row>
    <row r="234" spans="2:10" x14ac:dyDescent="0.2">
      <c r="C234" s="3" t="s">
        <v>19</v>
      </c>
      <c r="D234" s="2">
        <v>1034</v>
      </c>
      <c r="E234" s="2">
        <v>23</v>
      </c>
      <c r="F234" s="2">
        <f t="shared" si="9"/>
        <v>136</v>
      </c>
      <c r="G234" s="2">
        <f t="shared" si="10"/>
        <v>3</v>
      </c>
      <c r="J234" s="2"/>
    </row>
    <row r="235" spans="2:10" x14ac:dyDescent="0.2">
      <c r="C235" s="3" t="s">
        <v>40</v>
      </c>
      <c r="D235" s="2">
        <v>1319</v>
      </c>
      <c r="E235" s="2">
        <v>11</v>
      </c>
      <c r="F235" s="2">
        <f t="shared" si="9"/>
        <v>173</v>
      </c>
      <c r="G235" s="2">
        <f t="shared" si="10"/>
        <v>1</v>
      </c>
      <c r="J235" s="2"/>
    </row>
    <row r="236" spans="2:10" x14ac:dyDescent="0.2">
      <c r="C236" s="3" t="s">
        <v>41</v>
      </c>
      <c r="D236" s="2">
        <v>416</v>
      </c>
      <c r="E236" s="2">
        <v>7</v>
      </c>
      <c r="F236" s="2">
        <f t="shared" si="9"/>
        <v>47</v>
      </c>
      <c r="G236" s="2">
        <f t="shared" si="10"/>
        <v>3</v>
      </c>
      <c r="J236" s="2"/>
    </row>
    <row r="237" spans="2:10" x14ac:dyDescent="0.2">
      <c r="B237" t="s">
        <v>20</v>
      </c>
      <c r="C237" s="3" t="s">
        <v>22</v>
      </c>
      <c r="D237" s="2">
        <v>7505</v>
      </c>
      <c r="E237" s="2">
        <v>196</v>
      </c>
      <c r="F237" s="2">
        <f t="shared" si="9"/>
        <v>620</v>
      </c>
      <c r="G237" s="2">
        <f t="shared" si="10"/>
        <v>26</v>
      </c>
      <c r="H237" s="2">
        <f t="shared" si="11"/>
        <v>13035</v>
      </c>
      <c r="I237" s="2">
        <f>SUM(16957+127307)</f>
        <v>144264</v>
      </c>
      <c r="J237" s="2"/>
    </row>
    <row r="238" spans="2:10" x14ac:dyDescent="0.2">
      <c r="C238" s="3" t="s">
        <v>26</v>
      </c>
      <c r="D238" s="2">
        <v>1532</v>
      </c>
      <c r="E238" s="2">
        <v>36</v>
      </c>
      <c r="F238" s="2">
        <f t="shared" si="9"/>
        <v>76</v>
      </c>
      <c r="G238" s="2">
        <f t="shared" si="10"/>
        <v>5</v>
      </c>
      <c r="J238" s="2"/>
    </row>
    <row r="239" spans="2:10" x14ac:dyDescent="0.2">
      <c r="C239" s="3" t="s">
        <v>27</v>
      </c>
      <c r="D239" s="2">
        <v>974</v>
      </c>
      <c r="E239" s="2">
        <v>28</v>
      </c>
      <c r="F239" s="2">
        <f t="shared" ref="F239:F302" si="12">SUM(D239-D209)</f>
        <v>69</v>
      </c>
      <c r="G239" s="2">
        <f t="shared" si="10"/>
        <v>3</v>
      </c>
      <c r="J239" s="2"/>
    </row>
    <row r="240" spans="2:10" x14ac:dyDescent="0.2">
      <c r="C240" s="3" t="s">
        <v>42</v>
      </c>
      <c r="D240" s="2">
        <v>1380</v>
      </c>
      <c r="E240" s="2">
        <v>47</v>
      </c>
      <c r="F240" s="2">
        <f t="shared" si="12"/>
        <v>95</v>
      </c>
      <c r="G240" s="2">
        <f t="shared" si="10"/>
        <v>3</v>
      </c>
      <c r="J240" s="2"/>
    </row>
    <row r="241" spans="1:10" x14ac:dyDescent="0.2">
      <c r="C241" s="3" t="s">
        <v>43</v>
      </c>
      <c r="D241" s="2">
        <v>1016</v>
      </c>
      <c r="E241" s="2">
        <v>17</v>
      </c>
      <c r="F241" s="2">
        <f t="shared" si="12"/>
        <v>85</v>
      </c>
      <c r="G241" s="2">
        <f t="shared" si="10"/>
        <v>2</v>
      </c>
      <c r="J241" s="2"/>
    </row>
    <row r="242" spans="1:10" x14ac:dyDescent="0.2">
      <c r="A242" s="1">
        <v>43930</v>
      </c>
      <c r="B242" t="s">
        <v>5</v>
      </c>
      <c r="C242" s="3" t="s">
        <v>6</v>
      </c>
      <c r="D242" s="2">
        <v>27759</v>
      </c>
      <c r="E242" s="2">
        <v>1493</v>
      </c>
      <c r="F242" s="2">
        <f t="shared" si="12"/>
        <v>1555</v>
      </c>
      <c r="G242" s="2">
        <f t="shared" si="10"/>
        <v>149</v>
      </c>
      <c r="H242" s="2">
        <f t="shared" si="11"/>
        <v>26396</v>
      </c>
      <c r="I242" s="2">
        <f>SUM(159937+231612)</f>
        <v>391549</v>
      </c>
      <c r="J242" s="2"/>
    </row>
    <row r="243" spans="1:10" x14ac:dyDescent="0.2">
      <c r="C243" s="3" t="s">
        <v>7</v>
      </c>
      <c r="D243" s="2">
        <v>23408</v>
      </c>
      <c r="E243" s="2">
        <v>1341</v>
      </c>
      <c r="F243" s="2">
        <f t="shared" si="12"/>
        <v>1828</v>
      </c>
      <c r="G243" s="2">
        <f t="shared" si="10"/>
        <v>156</v>
      </c>
      <c r="J243" s="2"/>
    </row>
    <row r="244" spans="1:10" x14ac:dyDescent="0.2">
      <c r="C244" s="3" t="s">
        <v>8</v>
      </c>
      <c r="D244" s="2">
        <v>20140</v>
      </c>
      <c r="E244" s="2">
        <v>778</v>
      </c>
      <c r="F244" s="2">
        <f t="shared" si="12"/>
        <v>1592</v>
      </c>
      <c r="G244" s="2">
        <f t="shared" si="10"/>
        <v>77</v>
      </c>
      <c r="J244" s="2"/>
    </row>
    <row r="245" spans="1:10" x14ac:dyDescent="0.2">
      <c r="C245" s="3" t="s">
        <v>35</v>
      </c>
      <c r="D245" s="2">
        <v>18736</v>
      </c>
      <c r="E245" s="2">
        <v>1135</v>
      </c>
      <c r="F245" s="2">
        <f t="shared" si="12"/>
        <v>2317</v>
      </c>
      <c r="G245" s="2">
        <f t="shared" si="10"/>
        <v>134</v>
      </c>
      <c r="J245" s="2"/>
    </row>
    <row r="246" spans="1:10" x14ac:dyDescent="0.2">
      <c r="C246" s="3" t="s">
        <v>14</v>
      </c>
      <c r="D246" s="2">
        <v>17413</v>
      </c>
      <c r="E246" s="2">
        <v>369</v>
      </c>
      <c r="F246" s="2">
        <f t="shared" si="12"/>
        <v>1569</v>
      </c>
      <c r="G246" s="2">
        <f t="shared" si="10"/>
        <v>41</v>
      </c>
      <c r="J246" s="2"/>
    </row>
    <row r="247" spans="1:10" x14ac:dyDescent="0.2">
      <c r="B247" t="s">
        <v>9</v>
      </c>
      <c r="C247" s="3" t="s">
        <v>10</v>
      </c>
      <c r="D247" s="2">
        <v>8343</v>
      </c>
      <c r="E247" s="2">
        <v>345</v>
      </c>
      <c r="F247" s="2">
        <f t="shared" si="12"/>
        <v>469</v>
      </c>
      <c r="G247" s="2">
        <f t="shared" si="10"/>
        <v>31</v>
      </c>
      <c r="H247" s="2">
        <f t="shared" si="11"/>
        <v>6776</v>
      </c>
      <c r="I247" s="2">
        <f>SUM(51027+56165)</f>
        <v>107192</v>
      </c>
      <c r="J247" s="2"/>
    </row>
    <row r="248" spans="1:10" x14ac:dyDescent="0.2">
      <c r="C248" s="3" t="s">
        <v>11</v>
      </c>
      <c r="D248" s="2">
        <v>5879</v>
      </c>
      <c r="E248" s="2">
        <v>132</v>
      </c>
      <c r="F248" s="2">
        <f t="shared" si="12"/>
        <v>442</v>
      </c>
      <c r="G248" s="2">
        <f t="shared" si="10"/>
        <v>10</v>
      </c>
      <c r="J248" s="2"/>
    </row>
    <row r="249" spans="1:10" x14ac:dyDescent="0.2">
      <c r="C249" s="3" t="s">
        <v>12</v>
      </c>
      <c r="D249" s="2">
        <v>6069</v>
      </c>
      <c r="E249" s="2">
        <v>312</v>
      </c>
      <c r="F249" s="2">
        <f t="shared" si="12"/>
        <v>471</v>
      </c>
      <c r="G249" s="2">
        <f t="shared" si="10"/>
        <v>36</v>
      </c>
      <c r="J249" s="2"/>
    </row>
    <row r="250" spans="1:10" x14ac:dyDescent="0.2">
      <c r="C250" s="3" t="s">
        <v>36</v>
      </c>
      <c r="D250" s="2">
        <v>5203</v>
      </c>
      <c r="E250" s="2">
        <v>145</v>
      </c>
      <c r="F250" s="2">
        <f t="shared" si="12"/>
        <v>372</v>
      </c>
      <c r="G250" s="2">
        <f t="shared" si="10"/>
        <v>20</v>
      </c>
      <c r="J250" s="2"/>
    </row>
    <row r="251" spans="1:10" x14ac:dyDescent="0.2">
      <c r="C251" s="3" t="s">
        <v>37</v>
      </c>
      <c r="D251" s="2">
        <v>4690</v>
      </c>
      <c r="E251" s="2">
        <v>82</v>
      </c>
      <c r="F251" s="2">
        <f t="shared" si="12"/>
        <v>318</v>
      </c>
      <c r="G251" s="2">
        <f t="shared" si="10"/>
        <v>11</v>
      </c>
      <c r="J251" s="2"/>
    </row>
    <row r="252" spans="1:10" x14ac:dyDescent="0.2">
      <c r="B252" t="s">
        <v>13</v>
      </c>
      <c r="C252" s="3" t="s">
        <v>14</v>
      </c>
      <c r="D252" s="2">
        <v>4041</v>
      </c>
      <c r="E252" s="2">
        <v>56</v>
      </c>
      <c r="F252" s="2">
        <f t="shared" si="12"/>
        <v>441</v>
      </c>
      <c r="G252" s="2">
        <f t="shared" si="10"/>
        <v>6</v>
      </c>
      <c r="H252" s="2">
        <f t="shared" si="11"/>
        <v>7447</v>
      </c>
      <c r="I252" s="2">
        <v>94958</v>
      </c>
      <c r="J252" s="2"/>
    </row>
    <row r="253" spans="1:10" x14ac:dyDescent="0.2">
      <c r="C253" s="3" t="s">
        <v>15</v>
      </c>
      <c r="D253" s="2">
        <v>4045</v>
      </c>
      <c r="E253" s="2">
        <v>93</v>
      </c>
      <c r="F253" s="2">
        <f t="shared" si="12"/>
        <v>500</v>
      </c>
      <c r="G253" s="2">
        <f t="shared" si="10"/>
        <v>13</v>
      </c>
      <c r="J253" s="2"/>
    </row>
    <row r="254" spans="1:10" x14ac:dyDescent="0.2">
      <c r="C254" s="3" t="s">
        <v>12</v>
      </c>
      <c r="D254" s="2">
        <v>2336</v>
      </c>
      <c r="E254" s="2">
        <v>61</v>
      </c>
      <c r="F254" s="2">
        <f t="shared" si="12"/>
        <v>233</v>
      </c>
      <c r="G254" s="2">
        <f t="shared" si="10"/>
        <v>9</v>
      </c>
      <c r="J254" s="2"/>
    </row>
    <row r="255" spans="1:10" x14ac:dyDescent="0.2">
      <c r="C255" s="3" t="s">
        <v>33</v>
      </c>
      <c r="D255" s="2">
        <v>2007</v>
      </c>
      <c r="E255" s="2">
        <v>52</v>
      </c>
      <c r="F255" s="2">
        <f t="shared" si="12"/>
        <v>229</v>
      </c>
      <c r="G255" s="2">
        <f t="shared" si="10"/>
        <v>10</v>
      </c>
      <c r="J255" s="2"/>
    </row>
    <row r="256" spans="1:10" x14ac:dyDescent="0.2">
      <c r="C256" s="3" t="s">
        <v>34</v>
      </c>
      <c r="D256" s="2">
        <v>1461</v>
      </c>
      <c r="E256" s="2">
        <v>31</v>
      </c>
      <c r="F256" s="2">
        <f t="shared" si="12"/>
        <v>165</v>
      </c>
      <c r="G256" s="2">
        <f t="shared" si="10"/>
        <v>1</v>
      </c>
      <c r="J256" s="2"/>
    </row>
    <row r="257" spans="1:10" x14ac:dyDescent="0.2">
      <c r="B257" t="s">
        <v>23</v>
      </c>
      <c r="C257" s="3" t="s">
        <v>24</v>
      </c>
      <c r="D257" s="2">
        <v>10093</v>
      </c>
      <c r="E257" s="2">
        <v>504</v>
      </c>
      <c r="F257" s="2">
        <f t="shared" si="12"/>
        <v>467</v>
      </c>
      <c r="G257" s="2">
        <f t="shared" si="10"/>
        <v>58</v>
      </c>
      <c r="H257" s="2">
        <f t="shared" si="11"/>
        <v>915</v>
      </c>
      <c r="I257" s="2">
        <f>SUM(21504+45550)</f>
        <v>67054</v>
      </c>
      <c r="J257" s="2"/>
    </row>
    <row r="258" spans="1:10" x14ac:dyDescent="0.2">
      <c r="C258" s="3" t="s">
        <v>25</v>
      </c>
      <c r="D258" s="2">
        <v>4247</v>
      </c>
      <c r="E258" s="2">
        <v>246</v>
      </c>
      <c r="F258" s="2">
        <f t="shared" si="12"/>
        <v>240</v>
      </c>
      <c r="G258" s="2">
        <f t="shared" si="10"/>
        <v>12</v>
      </c>
      <c r="J258" s="2"/>
    </row>
    <row r="259" spans="1:10" x14ac:dyDescent="0.2">
      <c r="C259" s="3" t="s">
        <v>28</v>
      </c>
      <c r="D259" s="2">
        <v>2783</v>
      </c>
      <c r="E259" s="2">
        <v>165</v>
      </c>
      <c r="F259" s="2">
        <f t="shared" si="12"/>
        <v>157</v>
      </c>
      <c r="G259" s="2">
        <f t="shared" si="10"/>
        <v>24</v>
      </c>
      <c r="J259" s="2"/>
    </row>
    <row r="260" spans="1:10" x14ac:dyDescent="0.2">
      <c r="C260" s="3" t="s">
        <v>38</v>
      </c>
      <c r="D260" s="2">
        <v>755</v>
      </c>
      <c r="E260" s="2">
        <v>48</v>
      </c>
      <c r="F260" s="2">
        <f t="shared" si="12"/>
        <v>42</v>
      </c>
      <c r="G260" s="2">
        <f t="shared" si="10"/>
        <v>9</v>
      </c>
      <c r="J260" s="2"/>
    </row>
    <row r="261" spans="1:10" x14ac:dyDescent="0.2">
      <c r="C261" s="3" t="s">
        <v>39</v>
      </c>
      <c r="D261" s="2">
        <v>637</v>
      </c>
      <c r="E261" s="2">
        <v>15</v>
      </c>
      <c r="F261" s="2">
        <f t="shared" si="12"/>
        <v>27</v>
      </c>
      <c r="G261" s="2">
        <f t="shared" si="10"/>
        <v>2</v>
      </c>
      <c r="J261" s="2"/>
    </row>
    <row r="262" spans="1:10" x14ac:dyDescent="0.2">
      <c r="B262" t="s">
        <v>16</v>
      </c>
      <c r="C262" s="3" t="s">
        <v>17</v>
      </c>
      <c r="D262" s="2">
        <v>5029</v>
      </c>
      <c r="E262" s="2">
        <v>86</v>
      </c>
      <c r="F262" s="2">
        <f t="shared" si="12"/>
        <v>573</v>
      </c>
      <c r="G262" s="2">
        <f t="shared" si="10"/>
        <v>0</v>
      </c>
      <c r="H262" s="2">
        <f t="shared" si="11"/>
        <v>7064</v>
      </c>
      <c r="I262" s="2">
        <f>SUM(18228+87374)</f>
        <v>105602</v>
      </c>
      <c r="J262" s="2"/>
    </row>
    <row r="263" spans="1:10" x14ac:dyDescent="0.2">
      <c r="C263" s="3" t="s">
        <v>18</v>
      </c>
      <c r="D263" s="2">
        <v>1693</v>
      </c>
      <c r="E263" s="2">
        <v>37</v>
      </c>
      <c r="F263" s="2">
        <f t="shared" si="12"/>
        <v>172</v>
      </c>
      <c r="G263" s="2">
        <f t="shared" si="10"/>
        <v>0</v>
      </c>
      <c r="J263" s="2"/>
    </row>
    <row r="264" spans="1:10" x14ac:dyDescent="0.2">
      <c r="C264" s="3" t="s">
        <v>19</v>
      </c>
      <c r="D264" s="2">
        <v>1222</v>
      </c>
      <c r="E264" s="2">
        <v>26</v>
      </c>
      <c r="F264" s="2">
        <f t="shared" si="12"/>
        <v>188</v>
      </c>
      <c r="G264" s="2">
        <f t="shared" si="10"/>
        <v>3</v>
      </c>
      <c r="J264" s="2"/>
    </row>
    <row r="265" spans="1:10" x14ac:dyDescent="0.2">
      <c r="C265" s="3" t="s">
        <v>40</v>
      </c>
      <c r="D265" s="2">
        <v>1466</v>
      </c>
      <c r="E265" s="2">
        <v>13</v>
      </c>
      <c r="F265" s="2">
        <f t="shared" si="12"/>
        <v>147</v>
      </c>
      <c r="G265" s="2">
        <f t="shared" si="10"/>
        <v>2</v>
      </c>
      <c r="J265" s="2"/>
    </row>
    <row r="266" spans="1:10" x14ac:dyDescent="0.2">
      <c r="C266" s="3" t="s">
        <v>41</v>
      </c>
      <c r="D266" s="2">
        <v>616</v>
      </c>
      <c r="E266" s="2">
        <v>8</v>
      </c>
      <c r="F266" s="2">
        <f t="shared" si="12"/>
        <v>200</v>
      </c>
      <c r="G266" s="2">
        <f t="shared" si="10"/>
        <v>1</v>
      </c>
      <c r="J266" s="2"/>
    </row>
    <row r="267" spans="1:10" x14ac:dyDescent="0.2">
      <c r="B267" t="s">
        <v>20</v>
      </c>
      <c r="C267" s="3" t="s">
        <v>22</v>
      </c>
      <c r="D267" s="2">
        <v>7919</v>
      </c>
      <c r="E267" s="2">
        <v>220</v>
      </c>
      <c r="F267" s="2">
        <f t="shared" si="12"/>
        <v>414</v>
      </c>
      <c r="G267" s="2">
        <f t="shared" si="10"/>
        <v>24</v>
      </c>
      <c r="H267" s="2">
        <f t="shared" si="11"/>
        <v>19236</v>
      </c>
      <c r="I267" s="2">
        <f>SUM(18309+145191)</f>
        <v>163500</v>
      </c>
      <c r="J267" s="2"/>
    </row>
    <row r="268" spans="1:10" x14ac:dyDescent="0.2">
      <c r="C268" s="3" t="s">
        <v>26</v>
      </c>
      <c r="D268" s="2">
        <v>1630</v>
      </c>
      <c r="E268" s="2">
        <v>40</v>
      </c>
      <c r="F268" s="2">
        <f t="shared" si="12"/>
        <v>98</v>
      </c>
      <c r="G268" s="2">
        <f t="shared" si="10"/>
        <v>4</v>
      </c>
      <c r="J268" s="2"/>
    </row>
    <row r="269" spans="1:10" x14ac:dyDescent="0.2">
      <c r="C269" s="3" t="s">
        <v>27</v>
      </c>
      <c r="D269" s="2">
        <v>1083</v>
      </c>
      <c r="E269" s="2">
        <v>29</v>
      </c>
      <c r="F269" s="2">
        <f t="shared" si="12"/>
        <v>109</v>
      </c>
      <c r="G269" s="2">
        <f t="shared" si="10"/>
        <v>1</v>
      </c>
      <c r="J269" s="2"/>
    </row>
    <row r="270" spans="1:10" x14ac:dyDescent="0.2">
      <c r="C270" s="3" t="s">
        <v>42</v>
      </c>
      <c r="D270" s="2">
        <v>1442</v>
      </c>
      <c r="E270" s="2">
        <v>48</v>
      </c>
      <c r="F270" s="2">
        <f t="shared" si="12"/>
        <v>62</v>
      </c>
      <c r="G270" s="2">
        <f t="shared" si="10"/>
        <v>1</v>
      </c>
      <c r="J270" s="2"/>
    </row>
    <row r="271" spans="1:10" x14ac:dyDescent="0.2">
      <c r="C271" s="3" t="s">
        <v>43</v>
      </c>
      <c r="D271" s="2">
        <v>1079</v>
      </c>
      <c r="E271" s="2">
        <v>17</v>
      </c>
      <c r="F271" s="2">
        <f t="shared" si="12"/>
        <v>63</v>
      </c>
      <c r="G271" s="2">
        <f t="shared" si="10"/>
        <v>0</v>
      </c>
      <c r="J271" s="2"/>
    </row>
    <row r="272" spans="1:10" x14ac:dyDescent="0.2">
      <c r="A272" s="1">
        <v>43931</v>
      </c>
      <c r="B272" t="s">
        <v>5</v>
      </c>
      <c r="C272" s="3" t="s">
        <v>6</v>
      </c>
      <c r="D272" s="2">
        <v>29754</v>
      </c>
      <c r="E272" s="2">
        <v>1759</v>
      </c>
      <c r="F272" s="2">
        <f t="shared" si="12"/>
        <v>1995</v>
      </c>
      <c r="G272" s="2">
        <f t="shared" si="10"/>
        <v>266</v>
      </c>
      <c r="H272" s="2">
        <f t="shared" si="11"/>
        <v>26336</v>
      </c>
      <c r="I272" s="2">
        <f>SUM(170512+247373)</f>
        <v>417885</v>
      </c>
      <c r="J272" s="2"/>
    </row>
    <row r="273" spans="2:10" x14ac:dyDescent="0.2">
      <c r="C273" s="3" t="s">
        <v>7</v>
      </c>
      <c r="D273" s="2">
        <v>24846</v>
      </c>
      <c r="E273" s="2">
        <v>1510</v>
      </c>
      <c r="F273" s="2">
        <f t="shared" si="12"/>
        <v>1438</v>
      </c>
      <c r="G273" s="2">
        <f t="shared" si="10"/>
        <v>169</v>
      </c>
      <c r="J273" s="2"/>
    </row>
    <row r="274" spans="2:10" x14ac:dyDescent="0.2">
      <c r="C274" s="3" t="s">
        <v>8</v>
      </c>
      <c r="D274" s="2">
        <v>21512</v>
      </c>
      <c r="E274" s="2">
        <v>890</v>
      </c>
      <c r="F274" s="2">
        <f t="shared" si="12"/>
        <v>1372</v>
      </c>
      <c r="G274" s="2">
        <f t="shared" si="10"/>
        <v>112</v>
      </c>
      <c r="J274" s="2"/>
    </row>
    <row r="275" spans="2:10" x14ac:dyDescent="0.2">
      <c r="C275" s="3" t="s">
        <v>35</v>
      </c>
      <c r="D275" s="2">
        <v>20543</v>
      </c>
      <c r="E275" s="2">
        <v>1241</v>
      </c>
      <c r="F275" s="2">
        <f t="shared" si="12"/>
        <v>1807</v>
      </c>
      <c r="G275" s="2">
        <f t="shared" si="10"/>
        <v>106</v>
      </c>
      <c r="J275" s="2"/>
    </row>
    <row r="276" spans="2:10" x14ac:dyDescent="0.2">
      <c r="C276" s="3" t="s">
        <v>14</v>
      </c>
      <c r="D276" s="2">
        <v>18692</v>
      </c>
      <c r="E276" s="2">
        <v>425</v>
      </c>
      <c r="F276" s="2">
        <f t="shared" si="12"/>
        <v>1279</v>
      </c>
      <c r="G276" s="2">
        <f t="shared" si="10"/>
        <v>56</v>
      </c>
      <c r="J276" s="2"/>
    </row>
    <row r="277" spans="2:10" x14ac:dyDescent="0.2">
      <c r="B277" t="s">
        <v>9</v>
      </c>
      <c r="C277" s="3" t="s">
        <v>10</v>
      </c>
      <c r="D277" s="2">
        <v>8928</v>
      </c>
      <c r="E277" s="2">
        <v>390</v>
      </c>
      <c r="F277" s="2">
        <f t="shared" si="12"/>
        <v>585</v>
      </c>
      <c r="G277" s="2">
        <f t="shared" si="10"/>
        <v>45</v>
      </c>
      <c r="H277" s="2">
        <f t="shared" si="11"/>
        <v>6331</v>
      </c>
      <c r="I277" s="2">
        <f>SUM(54588+58935)</f>
        <v>113523</v>
      </c>
      <c r="J277" s="2"/>
    </row>
    <row r="278" spans="2:10" x14ac:dyDescent="0.2">
      <c r="C278" s="3" t="s">
        <v>11</v>
      </c>
      <c r="D278" s="2">
        <v>6411</v>
      </c>
      <c r="E278" s="2">
        <v>163</v>
      </c>
      <c r="F278" s="2">
        <f t="shared" si="12"/>
        <v>532</v>
      </c>
      <c r="G278" s="2">
        <f t="shared" si="10"/>
        <v>31</v>
      </c>
      <c r="J278" s="2"/>
    </row>
    <row r="279" spans="2:10" x14ac:dyDescent="0.2">
      <c r="C279" s="3" t="s">
        <v>12</v>
      </c>
      <c r="D279" s="2">
        <v>6580</v>
      </c>
      <c r="E279" s="2">
        <v>352</v>
      </c>
      <c r="F279" s="2">
        <f t="shared" si="12"/>
        <v>511</v>
      </c>
      <c r="G279" s="2">
        <f t="shared" si="10"/>
        <v>40</v>
      </c>
      <c r="J279" s="2"/>
    </row>
    <row r="280" spans="2:10" x14ac:dyDescent="0.2">
      <c r="C280" s="3" t="s">
        <v>36</v>
      </c>
      <c r="D280" s="2">
        <v>5575</v>
      </c>
      <c r="E280" s="2">
        <v>161</v>
      </c>
      <c r="F280" s="2">
        <f t="shared" si="12"/>
        <v>372</v>
      </c>
      <c r="G280" s="2">
        <f t="shared" si="10"/>
        <v>16</v>
      </c>
      <c r="J280" s="2"/>
    </row>
    <row r="281" spans="2:10" x14ac:dyDescent="0.2">
      <c r="C281" s="3" t="s">
        <v>37</v>
      </c>
      <c r="D281" s="2">
        <v>5017</v>
      </c>
      <c r="E281" s="2">
        <v>101</v>
      </c>
      <c r="F281" s="2">
        <f t="shared" si="12"/>
        <v>327</v>
      </c>
      <c r="G281" s="2">
        <f t="shared" si="10"/>
        <v>19</v>
      </c>
      <c r="J281" s="2"/>
    </row>
    <row r="282" spans="2:10" x14ac:dyDescent="0.2">
      <c r="B282" t="s">
        <v>13</v>
      </c>
      <c r="C282" s="3" t="s">
        <v>14</v>
      </c>
      <c r="D282" s="2">
        <v>4534</v>
      </c>
      <c r="E282" s="2">
        <v>73</v>
      </c>
      <c r="F282" s="2">
        <f t="shared" si="12"/>
        <v>493</v>
      </c>
      <c r="G282" s="2">
        <f t="shared" si="10"/>
        <v>17</v>
      </c>
      <c r="H282" s="2">
        <f t="shared" si="11"/>
        <v>7414</v>
      </c>
      <c r="I282" s="2">
        <v>102372</v>
      </c>
      <c r="J282" s="2"/>
    </row>
    <row r="283" spans="2:10" x14ac:dyDescent="0.2">
      <c r="C283" s="3" t="s">
        <v>15</v>
      </c>
      <c r="D283" s="2">
        <v>4447</v>
      </c>
      <c r="E283" s="2">
        <v>109</v>
      </c>
      <c r="F283" s="2">
        <f t="shared" si="12"/>
        <v>402</v>
      </c>
      <c r="G283" s="2">
        <f t="shared" si="10"/>
        <v>16</v>
      </c>
      <c r="J283" s="2"/>
    </row>
    <row r="284" spans="2:10" x14ac:dyDescent="0.2">
      <c r="C284" s="3" t="s">
        <v>12</v>
      </c>
      <c r="D284" s="2">
        <v>2670</v>
      </c>
      <c r="E284" s="2">
        <v>80</v>
      </c>
      <c r="F284" s="2">
        <f t="shared" si="12"/>
        <v>334</v>
      </c>
      <c r="G284" s="2">
        <f t="shared" si="10"/>
        <v>19</v>
      </c>
      <c r="J284" s="2"/>
    </row>
    <row r="285" spans="2:10" x14ac:dyDescent="0.2">
      <c r="C285" s="3" t="s">
        <v>33</v>
      </c>
      <c r="D285" s="2">
        <v>2216</v>
      </c>
      <c r="E285" s="2">
        <v>66</v>
      </c>
      <c r="F285" s="2">
        <f t="shared" si="12"/>
        <v>209</v>
      </c>
      <c r="G285" s="2">
        <f t="shared" si="10"/>
        <v>14</v>
      </c>
      <c r="J285" s="2"/>
    </row>
    <row r="286" spans="2:10" x14ac:dyDescent="0.2">
      <c r="C286" s="3" t="s">
        <v>34</v>
      </c>
      <c r="D286" s="2">
        <v>1678</v>
      </c>
      <c r="E286" s="2">
        <v>38</v>
      </c>
      <c r="F286" s="2">
        <f t="shared" si="12"/>
        <v>217</v>
      </c>
      <c r="G286" s="2">
        <f t="shared" si="10"/>
        <v>7</v>
      </c>
      <c r="J286" s="2"/>
    </row>
    <row r="287" spans="2:10" x14ac:dyDescent="0.2">
      <c r="B287" t="s">
        <v>23</v>
      </c>
      <c r="C287" s="3" t="s">
        <v>24</v>
      </c>
      <c r="D287" s="2">
        <v>10539</v>
      </c>
      <c r="E287" s="2">
        <v>609</v>
      </c>
      <c r="F287" s="2">
        <f t="shared" si="12"/>
        <v>446</v>
      </c>
      <c r="G287" s="2">
        <f t="shared" si="10"/>
        <v>105</v>
      </c>
      <c r="H287" s="2">
        <f t="shared" si="11"/>
        <v>4990</v>
      </c>
      <c r="I287" s="2">
        <f>SUM(22783+49261)</f>
        <v>72044</v>
      </c>
      <c r="J287" s="2"/>
    </row>
    <row r="288" spans="2:10" x14ac:dyDescent="0.2">
      <c r="C288" s="3" t="s">
        <v>25</v>
      </c>
      <c r="D288" s="2">
        <v>4511</v>
      </c>
      <c r="E288" s="2">
        <v>282</v>
      </c>
      <c r="F288" s="2">
        <f t="shared" si="12"/>
        <v>264</v>
      </c>
      <c r="G288" s="2">
        <f t="shared" si="10"/>
        <v>36</v>
      </c>
      <c r="J288" s="2"/>
    </row>
    <row r="289" spans="1:10" x14ac:dyDescent="0.2">
      <c r="C289" s="3" t="s">
        <v>28</v>
      </c>
      <c r="D289" s="2">
        <v>2973</v>
      </c>
      <c r="E289" s="2">
        <v>197</v>
      </c>
      <c r="F289" s="2">
        <f t="shared" si="12"/>
        <v>190</v>
      </c>
      <c r="G289" s="2">
        <f t="shared" ref="G289:G351" si="13">SUM(E289-E259)</f>
        <v>32</v>
      </c>
      <c r="J289" s="2"/>
    </row>
    <row r="290" spans="1:10" x14ac:dyDescent="0.2">
      <c r="C290" s="3" t="s">
        <v>38</v>
      </c>
      <c r="D290" s="2">
        <v>828</v>
      </c>
      <c r="E290" s="2">
        <v>57</v>
      </c>
      <c r="F290" s="2">
        <f t="shared" si="12"/>
        <v>73</v>
      </c>
      <c r="G290" s="2">
        <f t="shared" si="13"/>
        <v>9</v>
      </c>
      <c r="J290" s="2"/>
    </row>
    <row r="291" spans="1:10" x14ac:dyDescent="0.2">
      <c r="C291" s="3" t="s">
        <v>39</v>
      </c>
      <c r="D291" s="2">
        <v>659</v>
      </c>
      <c r="E291" s="2">
        <v>15</v>
      </c>
      <c r="F291" s="2">
        <f t="shared" si="12"/>
        <v>22</v>
      </c>
      <c r="G291" s="2">
        <f t="shared" si="13"/>
        <v>0</v>
      </c>
      <c r="J291" s="2"/>
    </row>
    <row r="292" spans="1:10" x14ac:dyDescent="0.2">
      <c r="B292" t="s">
        <v>16</v>
      </c>
      <c r="C292" s="3" t="s">
        <v>17</v>
      </c>
      <c r="D292" s="2">
        <v>5521</v>
      </c>
      <c r="E292" s="2">
        <v>110</v>
      </c>
      <c r="F292" s="2">
        <f t="shared" si="12"/>
        <v>492</v>
      </c>
      <c r="G292" s="2">
        <f t="shared" si="13"/>
        <v>24</v>
      </c>
      <c r="H292" s="2">
        <f t="shared" ref="H292:H352" si="14">SUM(I292-I262)</f>
        <v>7417</v>
      </c>
      <c r="I292" s="2">
        <f>SUM(19979+93040)</f>
        <v>113019</v>
      </c>
      <c r="J292" s="2"/>
    </row>
    <row r="293" spans="1:10" x14ac:dyDescent="0.2">
      <c r="C293" s="3" t="s">
        <v>18</v>
      </c>
      <c r="D293" s="2">
        <v>1889</v>
      </c>
      <c r="E293" s="2">
        <v>62</v>
      </c>
      <c r="F293" s="2">
        <f t="shared" si="12"/>
        <v>196</v>
      </c>
      <c r="G293" s="2">
        <f t="shared" si="13"/>
        <v>25</v>
      </c>
      <c r="J293" s="2"/>
    </row>
    <row r="294" spans="1:10" x14ac:dyDescent="0.2">
      <c r="C294" s="3" t="s">
        <v>19</v>
      </c>
      <c r="D294" s="2">
        <v>1377</v>
      </c>
      <c r="E294" s="2">
        <v>30</v>
      </c>
      <c r="F294" s="2">
        <f t="shared" si="12"/>
        <v>155</v>
      </c>
      <c r="G294" s="2">
        <f t="shared" si="13"/>
        <v>4</v>
      </c>
      <c r="J294" s="2"/>
    </row>
    <row r="295" spans="1:10" x14ac:dyDescent="0.2">
      <c r="C295" s="3" t="s">
        <v>40</v>
      </c>
      <c r="D295" s="2">
        <v>1562</v>
      </c>
      <c r="E295" s="2">
        <v>16</v>
      </c>
      <c r="F295" s="2">
        <f t="shared" si="12"/>
        <v>96</v>
      </c>
      <c r="G295" s="2">
        <f t="shared" si="13"/>
        <v>3</v>
      </c>
      <c r="J295" s="2"/>
    </row>
    <row r="296" spans="1:10" x14ac:dyDescent="0.2">
      <c r="C296" s="3" t="s">
        <v>41</v>
      </c>
      <c r="D296" s="2">
        <v>720</v>
      </c>
      <c r="E296" s="2">
        <v>12</v>
      </c>
      <c r="F296" s="2">
        <f t="shared" si="12"/>
        <v>104</v>
      </c>
      <c r="G296" s="2">
        <f t="shared" si="13"/>
        <v>4</v>
      </c>
      <c r="J296" s="2"/>
    </row>
    <row r="297" spans="1:10" x14ac:dyDescent="0.2">
      <c r="B297" t="s">
        <v>20</v>
      </c>
      <c r="C297" s="3" t="s">
        <v>22</v>
      </c>
      <c r="D297" s="2">
        <v>8384</v>
      </c>
      <c r="E297" s="2">
        <v>241</v>
      </c>
      <c r="F297" s="2">
        <f t="shared" si="12"/>
        <v>465</v>
      </c>
      <c r="G297" s="2">
        <f t="shared" si="13"/>
        <v>21</v>
      </c>
      <c r="H297" s="2">
        <f t="shared" si="14"/>
        <v>1363</v>
      </c>
      <c r="I297" s="2">
        <f>SUM(19472+145391)</f>
        <v>164863</v>
      </c>
      <c r="J297" s="2"/>
    </row>
    <row r="298" spans="1:10" x14ac:dyDescent="0.2">
      <c r="C298" s="3" t="s">
        <v>26</v>
      </c>
      <c r="D298" s="2">
        <v>1695</v>
      </c>
      <c r="E298" s="2">
        <v>54</v>
      </c>
      <c r="F298" s="2">
        <f t="shared" si="12"/>
        <v>65</v>
      </c>
      <c r="G298" s="2">
        <f t="shared" si="13"/>
        <v>14</v>
      </c>
      <c r="J298" s="2"/>
    </row>
    <row r="299" spans="1:10" x14ac:dyDescent="0.2">
      <c r="C299" s="3" t="s">
        <v>27</v>
      </c>
      <c r="D299" s="2">
        <v>1162</v>
      </c>
      <c r="E299" s="2">
        <v>38</v>
      </c>
      <c r="F299" s="2">
        <f t="shared" si="12"/>
        <v>79</v>
      </c>
      <c r="G299" s="2">
        <f t="shared" si="13"/>
        <v>9</v>
      </c>
      <c r="J299" s="2"/>
    </row>
    <row r="300" spans="1:10" x14ac:dyDescent="0.2">
      <c r="C300" s="3" t="s">
        <v>42</v>
      </c>
      <c r="D300" s="2">
        <v>1484</v>
      </c>
      <c r="E300" s="2">
        <v>50</v>
      </c>
      <c r="F300" s="2">
        <f t="shared" si="12"/>
        <v>42</v>
      </c>
      <c r="G300" s="2">
        <f t="shared" si="13"/>
        <v>2</v>
      </c>
      <c r="J300" s="2"/>
    </row>
    <row r="301" spans="1:10" x14ac:dyDescent="0.2">
      <c r="C301" s="3" t="s">
        <v>43</v>
      </c>
      <c r="D301" s="2">
        <v>1138</v>
      </c>
      <c r="E301" s="2">
        <v>17</v>
      </c>
      <c r="F301" s="2">
        <f t="shared" si="12"/>
        <v>59</v>
      </c>
      <c r="G301" s="2">
        <f t="shared" si="13"/>
        <v>0</v>
      </c>
      <c r="J301" s="2"/>
    </row>
    <row r="302" spans="1:10" x14ac:dyDescent="0.2">
      <c r="A302" s="1">
        <v>43932</v>
      </c>
      <c r="B302" t="s">
        <v>5</v>
      </c>
      <c r="C302" s="3" t="s">
        <v>6</v>
      </c>
      <c r="D302" s="2">
        <v>31044</v>
      </c>
      <c r="E302" s="2">
        <v>1848</v>
      </c>
      <c r="F302" s="2">
        <f t="shared" si="12"/>
        <v>1290</v>
      </c>
      <c r="G302" s="2">
        <f t="shared" si="13"/>
        <v>89</v>
      </c>
      <c r="H302" s="2">
        <f t="shared" si="14"/>
        <v>23095</v>
      </c>
      <c r="I302" s="2">
        <f>SUM(180458+260522)</f>
        <v>440980</v>
      </c>
      <c r="J302" s="2"/>
    </row>
    <row r="303" spans="1:10" x14ac:dyDescent="0.2">
      <c r="C303" s="3" t="s">
        <v>7</v>
      </c>
      <c r="D303" s="2">
        <v>26042</v>
      </c>
      <c r="E303" s="2">
        <v>1618</v>
      </c>
      <c r="F303" s="2">
        <f>SUM(D303-D273)</f>
        <v>1196</v>
      </c>
      <c r="G303" s="2">
        <f t="shared" si="13"/>
        <v>108</v>
      </c>
      <c r="J303" s="2"/>
    </row>
    <row r="304" spans="1:10" x14ac:dyDescent="0.2">
      <c r="C304" s="3" t="s">
        <v>8</v>
      </c>
      <c r="D304" s="2">
        <v>21512</v>
      </c>
      <c r="E304" s="2">
        <v>965</v>
      </c>
      <c r="G304" s="2">
        <f t="shared" si="13"/>
        <v>75</v>
      </c>
      <c r="J304" s="2"/>
    </row>
    <row r="305" spans="2:10" x14ac:dyDescent="0.2">
      <c r="C305" s="3" t="s">
        <v>35</v>
      </c>
      <c r="D305" s="2">
        <v>21523</v>
      </c>
      <c r="E305" s="2">
        <v>1308</v>
      </c>
      <c r="F305" s="2">
        <f t="shared" ref="F305:F366" si="15">SUM(D305-D275)</f>
        <v>980</v>
      </c>
      <c r="G305" s="2">
        <f t="shared" si="13"/>
        <v>67</v>
      </c>
      <c r="J305" s="2"/>
    </row>
    <row r="306" spans="2:10" x14ac:dyDescent="0.2">
      <c r="C306" s="3" t="s">
        <v>14</v>
      </c>
      <c r="D306" s="2">
        <v>19883</v>
      </c>
      <c r="E306" s="2">
        <v>469</v>
      </c>
      <c r="F306" s="2">
        <f t="shared" si="15"/>
        <v>1191</v>
      </c>
      <c r="G306" s="2">
        <f t="shared" si="13"/>
        <v>44</v>
      </c>
      <c r="J306" s="2"/>
    </row>
    <row r="307" spans="2:10" x14ac:dyDescent="0.2">
      <c r="B307" t="s">
        <v>9</v>
      </c>
      <c r="C307" s="3" t="s">
        <v>10</v>
      </c>
      <c r="D307" s="2">
        <v>9362</v>
      </c>
      <c r="E307" s="2">
        <v>435</v>
      </c>
      <c r="F307" s="2">
        <f t="shared" si="15"/>
        <v>434</v>
      </c>
      <c r="G307" s="2">
        <f t="shared" si="13"/>
        <v>45</v>
      </c>
      <c r="H307" s="2">
        <f t="shared" si="14"/>
        <v>6670</v>
      </c>
      <c r="I307" s="2">
        <f>SUM(58151+62042)</f>
        <v>120193</v>
      </c>
      <c r="J307" s="2"/>
    </row>
    <row r="308" spans="2:10" x14ac:dyDescent="0.2">
      <c r="C308" s="3" t="s">
        <v>11</v>
      </c>
      <c r="D308" s="2">
        <v>7007</v>
      </c>
      <c r="E308" s="2">
        <v>183</v>
      </c>
      <c r="F308" s="2">
        <f t="shared" si="15"/>
        <v>596</v>
      </c>
      <c r="G308" s="2">
        <f t="shared" si="13"/>
        <v>20</v>
      </c>
      <c r="J308" s="2"/>
    </row>
    <row r="309" spans="2:10" x14ac:dyDescent="0.2">
      <c r="C309" s="3" t="s">
        <v>12</v>
      </c>
      <c r="D309" s="2">
        <v>6851</v>
      </c>
      <c r="E309" s="2">
        <v>412</v>
      </c>
      <c r="F309" s="2">
        <f t="shared" si="15"/>
        <v>271</v>
      </c>
      <c r="G309" s="2">
        <f t="shared" si="13"/>
        <v>60</v>
      </c>
      <c r="J309" s="2"/>
    </row>
    <row r="310" spans="2:10" x14ac:dyDescent="0.2">
      <c r="C310" s="3" t="s">
        <v>36</v>
      </c>
      <c r="D310" s="2">
        <v>5865</v>
      </c>
      <c r="E310" s="2">
        <v>195</v>
      </c>
      <c r="F310" s="2">
        <f t="shared" si="15"/>
        <v>290</v>
      </c>
      <c r="G310" s="2">
        <f t="shared" si="13"/>
        <v>34</v>
      </c>
      <c r="J310" s="2"/>
    </row>
    <row r="311" spans="2:10" x14ac:dyDescent="0.2">
      <c r="C311" s="3" t="s">
        <v>37</v>
      </c>
      <c r="D311" s="2">
        <v>5295</v>
      </c>
      <c r="E311" s="2">
        <v>119</v>
      </c>
      <c r="F311" s="2">
        <f t="shared" si="15"/>
        <v>278</v>
      </c>
      <c r="G311" s="2">
        <f t="shared" si="13"/>
        <v>18</v>
      </c>
      <c r="J311" s="2"/>
    </row>
    <row r="312" spans="2:10" x14ac:dyDescent="0.2">
      <c r="B312" t="s">
        <v>13</v>
      </c>
      <c r="C312" s="3" t="s">
        <v>14</v>
      </c>
      <c r="D312" s="2">
        <v>4926</v>
      </c>
      <c r="E312" s="2">
        <v>81</v>
      </c>
      <c r="F312" s="2">
        <f t="shared" si="15"/>
        <v>392</v>
      </c>
      <c r="G312" s="2">
        <f t="shared" si="13"/>
        <v>8</v>
      </c>
      <c r="H312" s="2">
        <f t="shared" si="14"/>
        <v>6404</v>
      </c>
      <c r="I312" s="2">
        <v>108776</v>
      </c>
      <c r="J312" s="2"/>
    </row>
    <row r="313" spans="2:10" x14ac:dyDescent="0.2">
      <c r="C313" s="3" t="s">
        <v>15</v>
      </c>
      <c r="D313" s="2">
        <v>4872</v>
      </c>
      <c r="E313" s="2">
        <v>137</v>
      </c>
      <c r="F313" s="2">
        <f t="shared" si="15"/>
        <v>425</v>
      </c>
      <c r="G313" s="2">
        <f t="shared" si="13"/>
        <v>28</v>
      </c>
      <c r="J313" s="2"/>
    </row>
    <row r="314" spans="2:10" x14ac:dyDescent="0.2">
      <c r="C314" s="3" t="s">
        <v>12</v>
      </c>
      <c r="D314" s="2">
        <v>2896</v>
      </c>
      <c r="E314" s="2">
        <v>92</v>
      </c>
      <c r="F314" s="2">
        <f t="shared" si="15"/>
        <v>226</v>
      </c>
      <c r="G314" s="2">
        <f t="shared" si="13"/>
        <v>12</v>
      </c>
      <c r="J314" s="2"/>
    </row>
    <row r="315" spans="2:10" x14ac:dyDescent="0.2">
      <c r="C315" s="3" t="s">
        <v>33</v>
      </c>
      <c r="D315" s="2">
        <v>2395</v>
      </c>
      <c r="E315" s="2">
        <v>81</v>
      </c>
      <c r="F315" s="2">
        <f t="shared" si="15"/>
        <v>179</v>
      </c>
      <c r="G315" s="2">
        <f t="shared" si="13"/>
        <v>15</v>
      </c>
      <c r="J315" s="2"/>
    </row>
    <row r="316" spans="2:10" x14ac:dyDescent="0.2">
      <c r="C316" s="3" t="s">
        <v>34</v>
      </c>
      <c r="D316" s="2">
        <v>1822</v>
      </c>
      <c r="E316" s="2">
        <v>42</v>
      </c>
      <c r="F316" s="2">
        <f t="shared" si="15"/>
        <v>144</v>
      </c>
      <c r="G316" s="2">
        <f t="shared" si="13"/>
        <v>4</v>
      </c>
      <c r="J316" s="2"/>
    </row>
    <row r="317" spans="2:10" x14ac:dyDescent="0.2">
      <c r="B317" t="s">
        <v>23</v>
      </c>
      <c r="C317" s="3" t="s">
        <v>24</v>
      </c>
      <c r="D317" s="2">
        <v>10951</v>
      </c>
      <c r="E317" s="2">
        <v>652</v>
      </c>
      <c r="F317" s="2">
        <f t="shared" si="15"/>
        <v>412</v>
      </c>
      <c r="G317" s="2">
        <f t="shared" si="13"/>
        <v>43</v>
      </c>
      <c r="H317" s="2">
        <f t="shared" si="14"/>
        <v>3970</v>
      </c>
      <c r="I317" s="2">
        <f>SUM(23993+52021)</f>
        <v>76014</v>
      </c>
      <c r="J317" s="2"/>
    </row>
    <row r="318" spans="2:10" x14ac:dyDescent="0.2">
      <c r="C318" s="3" t="s">
        <v>25</v>
      </c>
      <c r="D318" s="2">
        <v>4802</v>
      </c>
      <c r="E318" s="2">
        <v>316</v>
      </c>
      <c r="F318" s="2">
        <f t="shared" si="15"/>
        <v>291</v>
      </c>
      <c r="G318" s="2">
        <f t="shared" si="13"/>
        <v>34</v>
      </c>
      <c r="J318" s="2"/>
    </row>
    <row r="319" spans="2:10" x14ac:dyDescent="0.2">
      <c r="C319" s="3" t="s">
        <v>28</v>
      </c>
      <c r="D319" s="2">
        <v>3164</v>
      </c>
      <c r="E319" s="2">
        <v>209</v>
      </c>
      <c r="F319" s="2">
        <f t="shared" si="15"/>
        <v>191</v>
      </c>
      <c r="G319" s="2">
        <f t="shared" si="13"/>
        <v>12</v>
      </c>
      <c r="J319" s="2"/>
    </row>
    <row r="320" spans="2:10" x14ac:dyDescent="0.2">
      <c r="C320" s="3" t="s">
        <v>38</v>
      </c>
      <c r="D320" s="2">
        <v>919</v>
      </c>
      <c r="E320" s="2">
        <v>62</v>
      </c>
      <c r="F320" s="2">
        <f t="shared" si="15"/>
        <v>91</v>
      </c>
      <c r="G320" s="2">
        <f t="shared" si="13"/>
        <v>5</v>
      </c>
      <c r="J320" s="2"/>
    </row>
    <row r="321" spans="1:10" x14ac:dyDescent="0.2">
      <c r="C321" s="3" t="s">
        <v>39</v>
      </c>
      <c r="D321" s="2">
        <v>685</v>
      </c>
      <c r="E321" s="2">
        <v>18</v>
      </c>
      <c r="F321" s="2">
        <f t="shared" si="15"/>
        <v>26</v>
      </c>
      <c r="G321" s="2">
        <f t="shared" si="13"/>
        <v>3</v>
      </c>
      <c r="J321" s="2"/>
    </row>
    <row r="322" spans="1:10" x14ac:dyDescent="0.2">
      <c r="B322" t="s">
        <v>16</v>
      </c>
      <c r="C322" s="3" t="s">
        <v>17</v>
      </c>
      <c r="D322" s="2">
        <v>6022</v>
      </c>
      <c r="E322" s="2">
        <v>130</v>
      </c>
      <c r="F322" s="2">
        <f t="shared" si="15"/>
        <v>501</v>
      </c>
      <c r="G322" s="2">
        <f t="shared" si="13"/>
        <v>20</v>
      </c>
      <c r="H322" s="2">
        <f t="shared" si="14"/>
        <v>7134</v>
      </c>
      <c r="I322" s="2">
        <f>SUM(21655+98498)</f>
        <v>120153</v>
      </c>
      <c r="J322" s="2"/>
    </row>
    <row r="323" spans="1:10" x14ac:dyDescent="0.2">
      <c r="C323" s="3" t="s">
        <v>18</v>
      </c>
      <c r="D323" s="2">
        <v>2053</v>
      </c>
      <c r="E323" s="2">
        <v>68</v>
      </c>
      <c r="F323" s="2">
        <f t="shared" si="15"/>
        <v>164</v>
      </c>
      <c r="G323" s="2">
        <f t="shared" si="13"/>
        <v>6</v>
      </c>
      <c r="J323" s="2"/>
    </row>
    <row r="324" spans="1:10" x14ac:dyDescent="0.2">
      <c r="C324" s="3" t="s">
        <v>19</v>
      </c>
      <c r="D324" s="2">
        <v>1510</v>
      </c>
      <c r="E324" s="2">
        <v>39</v>
      </c>
      <c r="F324" s="2">
        <f t="shared" si="15"/>
        <v>133</v>
      </c>
      <c r="G324" s="2">
        <f t="shared" si="13"/>
        <v>9</v>
      </c>
      <c r="J324" s="2"/>
    </row>
    <row r="325" spans="1:10" x14ac:dyDescent="0.2">
      <c r="C325" s="3" t="s">
        <v>40</v>
      </c>
      <c r="D325" s="2">
        <v>1620</v>
      </c>
      <c r="E325" s="2">
        <v>16</v>
      </c>
      <c r="F325" s="2">
        <f t="shared" si="15"/>
        <v>58</v>
      </c>
      <c r="G325" s="2">
        <f t="shared" si="13"/>
        <v>0</v>
      </c>
      <c r="J325" s="2"/>
    </row>
    <row r="326" spans="1:10" x14ac:dyDescent="0.2">
      <c r="C326" s="3" t="s">
        <v>41</v>
      </c>
      <c r="D326" s="2">
        <v>930</v>
      </c>
      <c r="E326" s="2">
        <v>19</v>
      </c>
      <c r="F326" s="2">
        <f t="shared" si="15"/>
        <v>210</v>
      </c>
      <c r="G326" s="2">
        <f t="shared" si="13"/>
        <v>7</v>
      </c>
      <c r="J326" s="2"/>
    </row>
    <row r="327" spans="1:10" x14ac:dyDescent="0.2">
      <c r="B327" t="s">
        <v>20</v>
      </c>
      <c r="C327" s="3" t="s">
        <v>22</v>
      </c>
      <c r="D327" s="2">
        <v>8823</v>
      </c>
      <c r="E327" s="2">
        <v>265</v>
      </c>
      <c r="F327" s="2">
        <f t="shared" si="15"/>
        <v>439</v>
      </c>
      <c r="G327" s="2">
        <f t="shared" si="13"/>
        <v>24</v>
      </c>
      <c r="H327" s="2">
        <f t="shared" si="14"/>
        <v>8356</v>
      </c>
      <c r="I327" s="2">
        <f>SUM(20615+152604)</f>
        <v>173219</v>
      </c>
      <c r="J327" s="2"/>
    </row>
    <row r="328" spans="1:10" x14ac:dyDescent="0.2">
      <c r="C328" s="3" t="s">
        <v>26</v>
      </c>
      <c r="D328" s="2">
        <v>1763</v>
      </c>
      <c r="E328" s="2">
        <v>54</v>
      </c>
      <c r="F328" s="2">
        <f t="shared" si="15"/>
        <v>68</v>
      </c>
      <c r="G328" s="2">
        <f t="shared" si="13"/>
        <v>0</v>
      </c>
      <c r="J328" s="2"/>
    </row>
    <row r="329" spans="1:10" x14ac:dyDescent="0.2">
      <c r="C329" s="3" t="s">
        <v>27</v>
      </c>
      <c r="D329" s="2">
        <v>1260</v>
      </c>
      <c r="E329" s="2">
        <v>38</v>
      </c>
      <c r="F329" s="2">
        <f t="shared" si="15"/>
        <v>98</v>
      </c>
      <c r="G329" s="2">
        <f t="shared" si="13"/>
        <v>0</v>
      </c>
      <c r="J329" s="2"/>
    </row>
    <row r="330" spans="1:10" x14ac:dyDescent="0.2">
      <c r="C330" s="3" t="s">
        <v>42</v>
      </c>
      <c r="D330" s="2">
        <v>1566</v>
      </c>
      <c r="E330" s="2">
        <v>52</v>
      </c>
      <c r="F330" s="2">
        <f t="shared" si="15"/>
        <v>82</v>
      </c>
      <c r="G330" s="2">
        <f t="shared" si="13"/>
        <v>2</v>
      </c>
      <c r="J330" s="2"/>
    </row>
    <row r="331" spans="1:10" x14ac:dyDescent="0.2">
      <c r="C331" s="3" t="s">
        <v>43</v>
      </c>
      <c r="D331" s="2">
        <v>1221</v>
      </c>
      <c r="E331" s="2">
        <v>18</v>
      </c>
      <c r="F331" s="2">
        <f t="shared" si="15"/>
        <v>83</v>
      </c>
      <c r="G331" s="2">
        <f t="shared" si="13"/>
        <v>1</v>
      </c>
      <c r="J331" s="2"/>
    </row>
    <row r="332" spans="1:10" x14ac:dyDescent="0.2">
      <c r="A332" s="1">
        <v>43933</v>
      </c>
      <c r="B332" s="3" t="s">
        <v>5</v>
      </c>
      <c r="C332" s="3" t="s">
        <v>6</v>
      </c>
      <c r="D332" s="2">
        <v>32749</v>
      </c>
      <c r="E332" s="2">
        <v>1994</v>
      </c>
      <c r="F332" s="2">
        <f t="shared" si="15"/>
        <v>1705</v>
      </c>
      <c r="G332" s="2">
        <f t="shared" si="13"/>
        <v>146</v>
      </c>
      <c r="H332" s="2">
        <f t="shared" si="14"/>
        <v>20621</v>
      </c>
      <c r="I332" s="2">
        <f>SUM(188694+272907)</f>
        <v>461601</v>
      </c>
      <c r="J332" s="2"/>
    </row>
    <row r="333" spans="1:10" x14ac:dyDescent="0.2">
      <c r="B333" s="3"/>
      <c r="C333" s="3" t="s">
        <v>7</v>
      </c>
      <c r="D333" s="2">
        <v>27462</v>
      </c>
      <c r="E333" s="2">
        <v>1746</v>
      </c>
      <c r="F333" s="2">
        <f t="shared" si="15"/>
        <v>1420</v>
      </c>
      <c r="G333" s="2">
        <f t="shared" si="13"/>
        <v>128</v>
      </c>
      <c r="J333" s="2"/>
    </row>
    <row r="334" spans="1:10" x14ac:dyDescent="0.2">
      <c r="B334" s="3"/>
      <c r="C334" s="3" t="s">
        <v>8</v>
      </c>
      <c r="D334" s="2">
        <v>22584</v>
      </c>
      <c r="E334" s="2">
        <v>1030</v>
      </c>
      <c r="F334" s="2">
        <f>SUM(D334-D304)</f>
        <v>1072</v>
      </c>
      <c r="G334" s="2">
        <f t="shared" si="13"/>
        <v>65</v>
      </c>
      <c r="J334" s="2"/>
    </row>
    <row r="335" spans="1:10" x14ac:dyDescent="0.2">
      <c r="B335" s="3"/>
      <c r="C335" s="3" t="s">
        <v>35</v>
      </c>
      <c r="D335" s="2">
        <v>22709</v>
      </c>
      <c r="E335" s="2">
        <v>1400</v>
      </c>
      <c r="F335" s="2">
        <f t="shared" si="15"/>
        <v>1186</v>
      </c>
      <c r="G335" s="2">
        <f t="shared" si="13"/>
        <v>92</v>
      </c>
      <c r="J335" s="2"/>
    </row>
    <row r="336" spans="1:10" x14ac:dyDescent="0.2">
      <c r="B336" s="3"/>
      <c r="C336" s="3" t="s">
        <v>14</v>
      </c>
      <c r="D336" s="2">
        <v>20816</v>
      </c>
      <c r="E336" s="2">
        <v>529</v>
      </c>
      <c r="F336" s="2">
        <f t="shared" si="15"/>
        <v>933</v>
      </c>
      <c r="G336" s="2">
        <f t="shared" si="13"/>
        <v>60</v>
      </c>
      <c r="J336" s="2"/>
    </row>
    <row r="337" spans="2:10" x14ac:dyDescent="0.2">
      <c r="B337" s="3" t="s">
        <v>9</v>
      </c>
      <c r="C337" s="3" t="s">
        <v>10</v>
      </c>
      <c r="D337" s="2">
        <v>9784</v>
      </c>
      <c r="E337" s="2">
        <v>453</v>
      </c>
      <c r="F337" s="2">
        <f t="shared" si="15"/>
        <v>422</v>
      </c>
      <c r="G337" s="2">
        <f t="shared" si="13"/>
        <v>18</v>
      </c>
      <c r="H337" s="2">
        <f t="shared" si="14"/>
        <v>6542</v>
      </c>
      <c r="I337" s="2">
        <f>SUM(61850+64885)</f>
        <v>126735</v>
      </c>
      <c r="J337" s="2"/>
    </row>
    <row r="338" spans="2:10" x14ac:dyDescent="0.2">
      <c r="B338" s="3"/>
      <c r="C338" s="3" t="s">
        <v>11</v>
      </c>
      <c r="D338" s="2">
        <v>7469</v>
      </c>
      <c r="E338" s="2">
        <v>226</v>
      </c>
      <c r="F338" s="2">
        <f t="shared" si="15"/>
        <v>462</v>
      </c>
      <c r="G338" s="2">
        <f t="shared" si="13"/>
        <v>43</v>
      </c>
      <c r="J338" s="2"/>
    </row>
    <row r="339" spans="2:10" x14ac:dyDescent="0.2">
      <c r="B339" s="3"/>
      <c r="C339" s="3" t="s">
        <v>12</v>
      </c>
      <c r="D339" s="2">
        <v>7410</v>
      </c>
      <c r="E339" s="2">
        <v>428</v>
      </c>
      <c r="F339" s="2">
        <f t="shared" si="15"/>
        <v>559</v>
      </c>
      <c r="G339" s="2">
        <f t="shared" si="13"/>
        <v>16</v>
      </c>
      <c r="J339" s="2"/>
    </row>
    <row r="340" spans="2:10" x14ac:dyDescent="0.2">
      <c r="B340" s="3"/>
      <c r="C340" s="3" t="s">
        <v>36</v>
      </c>
      <c r="D340" s="2">
        <v>6180</v>
      </c>
      <c r="E340" s="2">
        <v>209</v>
      </c>
      <c r="F340" s="2">
        <f t="shared" si="15"/>
        <v>315</v>
      </c>
      <c r="G340" s="2">
        <f t="shared" si="13"/>
        <v>14</v>
      </c>
      <c r="J340" s="2"/>
    </row>
    <row r="341" spans="2:10" x14ac:dyDescent="0.2">
      <c r="B341" s="3"/>
      <c r="C341" s="3" t="s">
        <v>37</v>
      </c>
      <c r="D341" s="2">
        <v>5590</v>
      </c>
      <c r="E341" s="2">
        <v>131</v>
      </c>
      <c r="F341" s="2">
        <f t="shared" si="15"/>
        <v>295</v>
      </c>
      <c r="G341" s="2">
        <f t="shared" si="13"/>
        <v>12</v>
      </c>
      <c r="J341" s="2"/>
    </row>
    <row r="342" spans="2:10" x14ac:dyDescent="0.2">
      <c r="B342" s="3" t="s">
        <v>13</v>
      </c>
      <c r="C342" s="3" t="s">
        <v>14</v>
      </c>
      <c r="D342" s="2">
        <v>5359</v>
      </c>
      <c r="E342" s="2">
        <v>88</v>
      </c>
      <c r="F342" s="2">
        <f t="shared" si="15"/>
        <v>433</v>
      </c>
      <c r="G342" s="2">
        <f t="shared" si="13"/>
        <v>7</v>
      </c>
      <c r="H342" s="2">
        <f t="shared" si="14"/>
        <v>7954</v>
      </c>
      <c r="I342" s="2">
        <v>116730</v>
      </c>
      <c r="J342" s="2"/>
    </row>
    <row r="343" spans="2:10" x14ac:dyDescent="0.2">
      <c r="B343" s="3"/>
      <c r="C343" s="3" t="s">
        <v>15</v>
      </c>
      <c r="D343" s="2">
        <v>5660</v>
      </c>
      <c r="E343" s="2">
        <v>149</v>
      </c>
      <c r="F343" s="2">
        <f t="shared" si="15"/>
        <v>788</v>
      </c>
      <c r="G343" s="2">
        <f t="shared" si="13"/>
        <v>12</v>
      </c>
      <c r="J343" s="2"/>
    </row>
    <row r="344" spans="2:10" x14ac:dyDescent="0.2">
      <c r="B344" s="3"/>
      <c r="C344" s="3" t="s">
        <v>12</v>
      </c>
      <c r="D344" s="2">
        <v>3170</v>
      </c>
      <c r="E344" s="2">
        <v>102</v>
      </c>
      <c r="F344" s="2">
        <f t="shared" si="15"/>
        <v>274</v>
      </c>
      <c r="G344" s="2">
        <f t="shared" si="13"/>
        <v>10</v>
      </c>
      <c r="J344" s="2"/>
    </row>
    <row r="345" spans="2:10" x14ac:dyDescent="0.2">
      <c r="B345" s="3"/>
      <c r="C345" s="3" t="s">
        <v>33</v>
      </c>
      <c r="D345" s="2">
        <v>2649</v>
      </c>
      <c r="E345" s="2">
        <v>93</v>
      </c>
      <c r="F345" s="2">
        <f t="shared" si="15"/>
        <v>254</v>
      </c>
      <c r="G345" s="2">
        <f t="shared" si="13"/>
        <v>12</v>
      </c>
      <c r="J345" s="2"/>
    </row>
    <row r="346" spans="2:10" x14ac:dyDescent="0.2">
      <c r="B346" s="3"/>
      <c r="C346" s="3" t="s">
        <v>34</v>
      </c>
      <c r="D346" s="2">
        <v>2032</v>
      </c>
      <c r="E346" s="2">
        <v>49</v>
      </c>
      <c r="F346" s="2">
        <f t="shared" si="15"/>
        <v>210</v>
      </c>
      <c r="G346" s="2">
        <f t="shared" si="13"/>
        <v>7</v>
      </c>
      <c r="J346" s="2"/>
    </row>
    <row r="347" spans="2:10" x14ac:dyDescent="0.2">
      <c r="B347" s="3" t="s">
        <v>23</v>
      </c>
      <c r="C347" s="3" t="s">
        <v>24</v>
      </c>
      <c r="D347" s="2">
        <v>11164</v>
      </c>
      <c r="E347" s="2">
        <v>704</v>
      </c>
      <c r="F347" s="2">
        <f t="shared" si="15"/>
        <v>213</v>
      </c>
      <c r="G347" s="2">
        <f t="shared" si="13"/>
        <v>52</v>
      </c>
      <c r="H347" s="2">
        <f t="shared" si="14"/>
        <v>3423</v>
      </c>
      <c r="I347" s="2">
        <f>SUM(24638+54799)</f>
        <v>79437</v>
      </c>
    </row>
    <row r="348" spans="2:10" x14ac:dyDescent="0.2">
      <c r="B348" s="3"/>
      <c r="C348" s="3" t="s">
        <v>25</v>
      </c>
      <c r="D348" s="2">
        <v>4915</v>
      </c>
      <c r="E348" s="2">
        <v>329</v>
      </c>
      <c r="F348" s="2">
        <f t="shared" si="15"/>
        <v>113</v>
      </c>
      <c r="G348" s="2">
        <f t="shared" si="13"/>
        <v>13</v>
      </c>
    </row>
    <row r="349" spans="2:10" x14ac:dyDescent="0.2">
      <c r="B349" s="3"/>
      <c r="C349" s="3" t="s">
        <v>28</v>
      </c>
      <c r="D349" s="2">
        <v>3254</v>
      </c>
      <c r="E349" s="2">
        <v>217</v>
      </c>
      <c r="F349" s="2">
        <f t="shared" si="15"/>
        <v>90</v>
      </c>
      <c r="G349" s="2">
        <f t="shared" si="13"/>
        <v>8</v>
      </c>
    </row>
    <row r="350" spans="2:10" x14ac:dyDescent="0.2">
      <c r="B350" s="3"/>
      <c r="C350" s="3" t="s">
        <v>38</v>
      </c>
      <c r="D350" s="2">
        <v>955</v>
      </c>
      <c r="E350" s="2">
        <v>68</v>
      </c>
      <c r="F350" s="2">
        <f t="shared" si="15"/>
        <v>36</v>
      </c>
      <c r="G350" s="2">
        <f t="shared" si="13"/>
        <v>6</v>
      </c>
    </row>
    <row r="351" spans="2:10" x14ac:dyDescent="0.2">
      <c r="B351" s="3"/>
      <c r="C351" s="3" t="s">
        <v>39</v>
      </c>
      <c r="D351" s="2">
        <v>716</v>
      </c>
      <c r="E351" s="2">
        <v>18</v>
      </c>
      <c r="F351" s="2">
        <f t="shared" si="15"/>
        <v>31</v>
      </c>
      <c r="G351" s="2">
        <f t="shared" si="13"/>
        <v>0</v>
      </c>
    </row>
    <row r="352" spans="2:10" x14ac:dyDescent="0.2">
      <c r="B352" s="3" t="s">
        <v>16</v>
      </c>
      <c r="C352" s="3" t="s">
        <v>17</v>
      </c>
      <c r="D352" s="2">
        <v>6352</v>
      </c>
      <c r="F352" s="2">
        <f t="shared" si="15"/>
        <v>330</v>
      </c>
      <c r="H352" s="2">
        <f t="shared" si="14"/>
        <v>4737</v>
      </c>
      <c r="I352" s="2">
        <f>SUM(22833+102057)</f>
        <v>124890</v>
      </c>
    </row>
    <row r="353" spans="1:9" x14ac:dyDescent="0.2">
      <c r="B353" s="3"/>
      <c r="C353" s="3" t="s">
        <v>18</v>
      </c>
      <c r="D353" s="2">
        <v>2164</v>
      </c>
      <c r="E353" s="2">
        <v>68</v>
      </c>
      <c r="F353" s="2">
        <f t="shared" si="15"/>
        <v>111</v>
      </c>
      <c r="G353" s="2">
        <f t="shared" ref="G353:G416" si="16">SUM(E353-E323)</f>
        <v>0</v>
      </c>
    </row>
    <row r="354" spans="1:9" x14ac:dyDescent="0.2">
      <c r="B354" s="3"/>
      <c r="C354" s="3" t="s">
        <v>19</v>
      </c>
      <c r="D354" s="2">
        <v>1594</v>
      </c>
      <c r="E354" s="2">
        <v>39</v>
      </c>
      <c r="F354" s="2">
        <f t="shared" si="15"/>
        <v>84</v>
      </c>
      <c r="G354" s="2">
        <f t="shared" si="16"/>
        <v>0</v>
      </c>
    </row>
    <row r="355" spans="1:9" x14ac:dyDescent="0.2">
      <c r="B355" s="3"/>
      <c r="C355" s="3" t="s">
        <v>40</v>
      </c>
      <c r="D355" s="2">
        <v>1684</v>
      </c>
      <c r="E355" s="2">
        <v>18</v>
      </c>
      <c r="F355" s="2">
        <f t="shared" si="15"/>
        <v>64</v>
      </c>
      <c r="G355" s="2">
        <f t="shared" si="16"/>
        <v>2</v>
      </c>
    </row>
    <row r="356" spans="1:9" x14ac:dyDescent="0.2">
      <c r="B356" s="3"/>
      <c r="C356" s="3" t="s">
        <v>41</v>
      </c>
      <c r="D356" s="2">
        <v>1035</v>
      </c>
      <c r="E356" s="2">
        <v>20</v>
      </c>
      <c r="F356" s="2">
        <f t="shared" si="15"/>
        <v>105</v>
      </c>
      <c r="G356" s="2">
        <f t="shared" si="16"/>
        <v>1</v>
      </c>
    </row>
    <row r="357" spans="1:9" x14ac:dyDescent="0.2">
      <c r="B357" s="3" t="s">
        <v>20</v>
      </c>
      <c r="C357" s="3" t="s">
        <v>22</v>
      </c>
      <c r="D357" s="2">
        <v>9133</v>
      </c>
      <c r="E357" s="2">
        <v>296</v>
      </c>
      <c r="F357" s="2">
        <f t="shared" si="15"/>
        <v>310</v>
      </c>
      <c r="G357" s="2">
        <f t="shared" si="16"/>
        <v>31</v>
      </c>
      <c r="H357" s="2">
        <f t="shared" ref="H357:H412" si="17">SUM(I357-I327)</f>
        <v>17109</v>
      </c>
      <c r="I357" s="2">
        <f>SUM(21794+168534)</f>
        <v>190328</v>
      </c>
    </row>
    <row r="358" spans="1:9" x14ac:dyDescent="0.2">
      <c r="B358" s="3"/>
      <c r="C358" s="3" t="s">
        <v>26</v>
      </c>
      <c r="D358" s="2">
        <v>1806</v>
      </c>
      <c r="E358" s="2">
        <v>55</v>
      </c>
      <c r="F358" s="2">
        <f t="shared" si="15"/>
        <v>43</v>
      </c>
      <c r="G358" s="2">
        <f t="shared" si="16"/>
        <v>1</v>
      </c>
    </row>
    <row r="359" spans="1:9" x14ac:dyDescent="0.2">
      <c r="B359" s="3"/>
      <c r="C359" s="3" t="s">
        <v>27</v>
      </c>
      <c r="D359" s="2">
        <v>1330</v>
      </c>
      <c r="E359" s="2">
        <v>39</v>
      </c>
      <c r="F359" s="2">
        <f t="shared" si="15"/>
        <v>70</v>
      </c>
      <c r="G359" s="2">
        <f t="shared" si="16"/>
        <v>1</v>
      </c>
    </row>
    <row r="360" spans="1:9" x14ac:dyDescent="0.2">
      <c r="B360" s="3"/>
      <c r="C360" s="3" t="s">
        <v>42</v>
      </c>
      <c r="D360" s="2">
        <v>1621</v>
      </c>
      <c r="E360" s="2">
        <v>54</v>
      </c>
      <c r="F360" s="2">
        <f t="shared" si="15"/>
        <v>55</v>
      </c>
      <c r="G360" s="2">
        <f t="shared" si="16"/>
        <v>2</v>
      </c>
    </row>
    <row r="361" spans="1:9" x14ac:dyDescent="0.2">
      <c r="B361" s="3"/>
      <c r="C361" s="3" t="s">
        <v>43</v>
      </c>
      <c r="D361" s="2">
        <v>1277</v>
      </c>
      <c r="E361" s="2">
        <v>19</v>
      </c>
      <c r="F361" s="2">
        <f t="shared" si="15"/>
        <v>56</v>
      </c>
      <c r="G361" s="2">
        <f t="shared" si="16"/>
        <v>1</v>
      </c>
    </row>
    <row r="362" spans="1:9" x14ac:dyDescent="0.2">
      <c r="A362" s="1">
        <v>43934</v>
      </c>
      <c r="B362" s="3" t="s">
        <v>5</v>
      </c>
      <c r="C362" s="3" t="s">
        <v>6</v>
      </c>
      <c r="D362" s="2">
        <v>33468</v>
      </c>
      <c r="E362" s="2">
        <v>2105</v>
      </c>
      <c r="F362" s="2">
        <f t="shared" si="15"/>
        <v>719</v>
      </c>
      <c r="G362" s="2">
        <f t="shared" si="16"/>
        <v>111</v>
      </c>
      <c r="H362" s="2">
        <f t="shared" si="17"/>
        <v>16756</v>
      </c>
      <c r="I362" s="2">
        <f>SUM(195031+283326)</f>
        <v>478357</v>
      </c>
    </row>
    <row r="363" spans="1:9" x14ac:dyDescent="0.2">
      <c r="B363" s="3"/>
      <c r="C363" s="3" t="s">
        <v>7</v>
      </c>
      <c r="D363" s="2">
        <v>28035</v>
      </c>
      <c r="E363" s="2">
        <v>1869</v>
      </c>
      <c r="F363" s="2">
        <f t="shared" si="15"/>
        <v>573</v>
      </c>
      <c r="G363" s="2">
        <f t="shared" si="16"/>
        <v>123</v>
      </c>
    </row>
    <row r="364" spans="1:9" x14ac:dyDescent="0.2">
      <c r="B364" s="3"/>
      <c r="C364" s="3" t="s">
        <v>8</v>
      </c>
      <c r="D364" s="2">
        <v>24358</v>
      </c>
      <c r="E364" s="2">
        <v>1109</v>
      </c>
      <c r="F364" s="2">
        <f t="shared" si="15"/>
        <v>1774</v>
      </c>
      <c r="G364" s="2">
        <f t="shared" si="16"/>
        <v>79</v>
      </c>
    </row>
    <row r="365" spans="1:9" x14ac:dyDescent="0.2">
      <c r="B365" s="3"/>
      <c r="C365" s="3" t="s">
        <v>35</v>
      </c>
      <c r="D365" s="2">
        <v>23352</v>
      </c>
      <c r="E365" s="2">
        <v>1512</v>
      </c>
      <c r="F365" s="2">
        <f t="shared" si="15"/>
        <v>643</v>
      </c>
      <c r="G365" s="2">
        <f t="shared" si="16"/>
        <v>112</v>
      </c>
    </row>
    <row r="366" spans="1:9" x14ac:dyDescent="0.2">
      <c r="B366" s="3"/>
      <c r="C366" s="3" t="s">
        <v>14</v>
      </c>
      <c r="D366" s="2">
        <v>21643</v>
      </c>
      <c r="E366" s="2">
        <v>580</v>
      </c>
      <c r="F366" s="2">
        <f t="shared" si="15"/>
        <v>827</v>
      </c>
      <c r="G366" s="2">
        <f t="shared" si="16"/>
        <v>51</v>
      </c>
    </row>
    <row r="367" spans="1:9" x14ac:dyDescent="0.2">
      <c r="B367" s="3" t="s">
        <v>9</v>
      </c>
      <c r="C367" s="3" t="s">
        <v>10</v>
      </c>
      <c r="D367" s="2">
        <v>10092</v>
      </c>
      <c r="E367" s="2">
        <v>482</v>
      </c>
      <c r="F367" s="2">
        <f t="shared" ref="F367:F430" si="18">SUM(D367-D337)</f>
        <v>308</v>
      </c>
      <c r="G367" s="2">
        <f t="shared" si="16"/>
        <v>29</v>
      </c>
      <c r="H367" s="2">
        <f t="shared" si="17"/>
        <v>2734</v>
      </c>
      <c r="I367" s="2">
        <f>SUM(64584+64885)</f>
        <v>129469</v>
      </c>
    </row>
    <row r="368" spans="1:9" x14ac:dyDescent="0.2">
      <c r="B368" s="3"/>
      <c r="C368" s="3" t="s">
        <v>11</v>
      </c>
      <c r="D368" s="2">
        <v>7879</v>
      </c>
      <c r="E368" s="2">
        <v>236</v>
      </c>
      <c r="F368" s="2">
        <f t="shared" si="18"/>
        <v>410</v>
      </c>
      <c r="G368" s="2">
        <f t="shared" si="16"/>
        <v>10</v>
      </c>
    </row>
    <row r="369" spans="2:9" x14ac:dyDescent="0.2">
      <c r="B369" s="3"/>
      <c r="C369" s="3" t="s">
        <v>12</v>
      </c>
      <c r="D369" s="2">
        <v>7634</v>
      </c>
      <c r="E369" s="2">
        <v>433</v>
      </c>
      <c r="F369" s="2">
        <f t="shared" si="18"/>
        <v>224</v>
      </c>
      <c r="G369" s="2">
        <f t="shared" si="16"/>
        <v>5</v>
      </c>
    </row>
    <row r="370" spans="2:9" x14ac:dyDescent="0.2">
      <c r="B370" s="3"/>
      <c r="C370" s="3" t="s">
        <v>36</v>
      </c>
      <c r="D370" s="2">
        <v>6636</v>
      </c>
      <c r="E370" s="2">
        <v>217</v>
      </c>
      <c r="F370" s="2">
        <f t="shared" si="18"/>
        <v>456</v>
      </c>
      <c r="G370" s="2">
        <f t="shared" si="16"/>
        <v>8</v>
      </c>
    </row>
    <row r="371" spans="2:9" x14ac:dyDescent="0.2">
      <c r="B371" s="3"/>
      <c r="C371" s="3" t="s">
        <v>37</v>
      </c>
      <c r="D371" s="2">
        <v>5950</v>
      </c>
      <c r="E371" s="2">
        <v>136</v>
      </c>
      <c r="F371" s="2">
        <f t="shared" si="18"/>
        <v>360</v>
      </c>
      <c r="G371" s="2">
        <f t="shared" si="16"/>
        <v>5</v>
      </c>
    </row>
    <row r="372" spans="2:9" x14ac:dyDescent="0.2">
      <c r="B372" s="3" t="s">
        <v>13</v>
      </c>
      <c r="C372" s="3" t="s">
        <v>14</v>
      </c>
      <c r="D372" s="2">
        <v>5579</v>
      </c>
      <c r="E372" s="2">
        <v>106</v>
      </c>
      <c r="F372" s="2">
        <f t="shared" si="18"/>
        <v>220</v>
      </c>
      <c r="G372" s="2">
        <f t="shared" si="16"/>
        <v>18</v>
      </c>
      <c r="H372" s="2">
        <f t="shared" si="17"/>
        <v>5319</v>
      </c>
      <c r="I372" s="2">
        <v>122049</v>
      </c>
    </row>
    <row r="373" spans="2:9" x14ac:dyDescent="0.2">
      <c r="B373" s="3"/>
      <c r="C373" s="3" t="s">
        <v>15</v>
      </c>
      <c r="D373" s="2">
        <v>5983</v>
      </c>
      <c r="E373" s="2">
        <v>163</v>
      </c>
      <c r="F373" s="2">
        <f t="shared" si="18"/>
        <v>323</v>
      </c>
      <c r="G373" s="2">
        <f t="shared" si="16"/>
        <v>14</v>
      </c>
    </row>
    <row r="374" spans="2:9" x14ac:dyDescent="0.2">
      <c r="B374" s="3"/>
      <c r="C374" s="3" t="s">
        <v>12</v>
      </c>
      <c r="D374" s="2">
        <v>3413</v>
      </c>
      <c r="E374" s="2">
        <v>114</v>
      </c>
      <c r="F374" s="2">
        <f t="shared" si="18"/>
        <v>243</v>
      </c>
      <c r="G374" s="2">
        <f t="shared" si="16"/>
        <v>12</v>
      </c>
    </row>
    <row r="375" spans="2:9" x14ac:dyDescent="0.2">
      <c r="B375" s="3"/>
      <c r="C375" s="3" t="s">
        <v>33</v>
      </c>
      <c r="D375" s="2">
        <v>2838</v>
      </c>
      <c r="E375" s="2">
        <v>107</v>
      </c>
      <c r="F375" s="2">
        <f t="shared" si="18"/>
        <v>189</v>
      </c>
      <c r="G375" s="2">
        <f t="shared" si="16"/>
        <v>14</v>
      </c>
    </row>
    <row r="376" spans="2:9" x14ac:dyDescent="0.2">
      <c r="B376" s="3"/>
      <c r="C376" s="3" t="s">
        <v>34</v>
      </c>
      <c r="D376" s="2">
        <v>2128</v>
      </c>
      <c r="E376" s="2">
        <v>51</v>
      </c>
      <c r="F376" s="2">
        <f t="shared" si="18"/>
        <v>96</v>
      </c>
      <c r="G376" s="2">
        <f t="shared" si="16"/>
        <v>2</v>
      </c>
    </row>
    <row r="377" spans="2:9" x14ac:dyDescent="0.2">
      <c r="B377" s="3" t="s">
        <v>23</v>
      </c>
      <c r="C377" s="3" t="s">
        <v>24</v>
      </c>
      <c r="D377" s="2">
        <v>11648</v>
      </c>
      <c r="E377" s="2">
        <v>760</v>
      </c>
      <c r="F377" s="2">
        <f t="shared" si="18"/>
        <v>484</v>
      </c>
      <c r="G377" s="2">
        <f t="shared" si="16"/>
        <v>56</v>
      </c>
      <c r="H377" s="2">
        <f t="shared" si="17"/>
        <v>3207</v>
      </c>
      <c r="I377" s="2">
        <f>SUM(25635+57009)</f>
        <v>82644</v>
      </c>
    </row>
    <row r="378" spans="2:9" x14ac:dyDescent="0.2">
      <c r="B378" s="3"/>
      <c r="C378" s="3" t="s">
        <v>25</v>
      </c>
      <c r="D378" s="2">
        <v>5073</v>
      </c>
      <c r="E378" s="2">
        <v>347</v>
      </c>
      <c r="F378" s="2">
        <f t="shared" si="18"/>
        <v>158</v>
      </c>
      <c r="G378" s="2">
        <f t="shared" si="16"/>
        <v>18</v>
      </c>
    </row>
    <row r="379" spans="2:9" x14ac:dyDescent="0.2">
      <c r="B379" s="3"/>
      <c r="C379" s="3" t="s">
        <v>28</v>
      </c>
      <c r="D379" s="2">
        <v>3418</v>
      </c>
      <c r="E379" s="2">
        <v>240</v>
      </c>
      <c r="F379" s="2">
        <f t="shared" si="18"/>
        <v>164</v>
      </c>
      <c r="G379" s="2">
        <f t="shared" si="16"/>
        <v>23</v>
      </c>
    </row>
    <row r="380" spans="2:9" x14ac:dyDescent="0.2">
      <c r="B380" s="3"/>
      <c r="C380" s="3" t="s">
        <v>38</v>
      </c>
      <c r="D380" s="2">
        <v>988</v>
      </c>
      <c r="E380" s="2">
        <v>77</v>
      </c>
      <c r="F380" s="2">
        <f t="shared" si="18"/>
        <v>33</v>
      </c>
      <c r="G380" s="2">
        <f t="shared" si="16"/>
        <v>9</v>
      </c>
    </row>
    <row r="381" spans="2:9" x14ac:dyDescent="0.2">
      <c r="B381" s="3"/>
      <c r="C381" s="3" t="s">
        <v>39</v>
      </c>
      <c r="D381" s="2">
        <v>736</v>
      </c>
      <c r="E381" s="2">
        <v>18</v>
      </c>
      <c r="F381" s="2">
        <f t="shared" si="18"/>
        <v>20</v>
      </c>
      <c r="G381" s="2">
        <f t="shared" si="16"/>
        <v>0</v>
      </c>
    </row>
    <row r="382" spans="2:9" x14ac:dyDescent="0.2">
      <c r="B382" s="3" t="s">
        <v>16</v>
      </c>
      <c r="C382" s="3" t="s">
        <v>17</v>
      </c>
      <c r="D382" s="2">
        <v>6810</v>
      </c>
      <c r="F382" s="2">
        <f t="shared" si="18"/>
        <v>458</v>
      </c>
      <c r="H382" s="2">
        <f t="shared" si="17"/>
        <v>4902</v>
      </c>
      <c r="I382" s="2">
        <f>SUM(24199+105593)</f>
        <v>129792</v>
      </c>
    </row>
    <row r="383" spans="2:9" x14ac:dyDescent="0.2">
      <c r="B383" s="3"/>
      <c r="C383" s="3" t="s">
        <v>18</v>
      </c>
      <c r="D383" s="2">
        <v>2285</v>
      </c>
      <c r="E383" s="2">
        <v>91</v>
      </c>
      <c r="F383" s="2">
        <f t="shared" si="18"/>
        <v>121</v>
      </c>
      <c r="G383" s="2">
        <f t="shared" si="16"/>
        <v>23</v>
      </c>
    </row>
    <row r="384" spans="2:9" x14ac:dyDescent="0.2">
      <c r="B384" s="3"/>
      <c r="C384" s="3" t="s">
        <v>19</v>
      </c>
      <c r="D384" s="2">
        <v>1712</v>
      </c>
      <c r="E384" s="2">
        <v>40</v>
      </c>
      <c r="F384" s="2">
        <f t="shared" si="18"/>
        <v>118</v>
      </c>
      <c r="G384" s="2">
        <f t="shared" si="16"/>
        <v>1</v>
      </c>
    </row>
    <row r="385" spans="1:9" x14ac:dyDescent="0.2">
      <c r="B385" s="3"/>
      <c r="C385" s="3" t="s">
        <v>40</v>
      </c>
      <c r="D385" s="2">
        <v>1747</v>
      </c>
      <c r="E385" s="2">
        <v>19</v>
      </c>
      <c r="F385" s="2">
        <f t="shared" si="18"/>
        <v>63</v>
      </c>
      <c r="G385" s="2">
        <f t="shared" si="16"/>
        <v>1</v>
      </c>
    </row>
    <row r="386" spans="1:9" x14ac:dyDescent="0.2">
      <c r="B386" s="3"/>
      <c r="C386" s="3" t="s">
        <v>41</v>
      </c>
      <c r="D386" s="2">
        <v>1150</v>
      </c>
      <c r="E386" s="2">
        <v>21</v>
      </c>
      <c r="F386" s="2">
        <f t="shared" si="18"/>
        <v>115</v>
      </c>
      <c r="G386" s="2">
        <f t="shared" si="16"/>
        <v>1</v>
      </c>
    </row>
    <row r="387" spans="1:9" x14ac:dyDescent="0.2">
      <c r="B387" s="3" t="s">
        <v>20</v>
      </c>
      <c r="C387" s="3" t="s">
        <v>22</v>
      </c>
      <c r="D387" s="2">
        <v>9367</v>
      </c>
      <c r="E387" s="2">
        <v>320</v>
      </c>
      <c r="F387" s="2">
        <f t="shared" si="18"/>
        <v>234</v>
      </c>
      <c r="G387" s="2">
        <f t="shared" si="16"/>
        <v>24</v>
      </c>
      <c r="H387" s="2">
        <f t="shared" si="17"/>
        <v>554</v>
      </c>
      <c r="I387" s="2">
        <f>SUM(22348+168534)</f>
        <v>190882</v>
      </c>
    </row>
    <row r="388" spans="1:9" x14ac:dyDescent="0.2">
      <c r="B388" s="3"/>
      <c r="C388" s="3" t="s">
        <v>26</v>
      </c>
      <c r="D388" s="2">
        <v>1849</v>
      </c>
      <c r="E388" s="2">
        <v>66</v>
      </c>
      <c r="F388" s="2">
        <f t="shared" si="18"/>
        <v>43</v>
      </c>
      <c r="G388" s="2">
        <f t="shared" si="16"/>
        <v>11</v>
      </c>
    </row>
    <row r="389" spans="1:9" x14ac:dyDescent="0.2">
      <c r="B389" s="3"/>
      <c r="C389" s="3" t="s">
        <v>27</v>
      </c>
      <c r="D389" s="2">
        <v>1460</v>
      </c>
      <c r="E389" s="2">
        <v>50</v>
      </c>
      <c r="F389" s="2">
        <f t="shared" si="18"/>
        <v>130</v>
      </c>
      <c r="G389" s="2">
        <f t="shared" si="16"/>
        <v>11</v>
      </c>
    </row>
    <row r="390" spans="1:9" x14ac:dyDescent="0.2">
      <c r="B390" s="3"/>
      <c r="C390" s="3" t="s">
        <v>42</v>
      </c>
      <c r="D390" s="2">
        <v>1666</v>
      </c>
      <c r="E390" s="2">
        <v>61</v>
      </c>
      <c r="F390" s="2">
        <f t="shared" si="18"/>
        <v>45</v>
      </c>
      <c r="G390" s="2">
        <f t="shared" si="16"/>
        <v>7</v>
      </c>
    </row>
    <row r="391" spans="1:9" x14ac:dyDescent="0.2">
      <c r="B391" s="3"/>
      <c r="C391" s="3" t="s">
        <v>43</v>
      </c>
      <c r="D391" s="2">
        <v>1283</v>
      </c>
      <c r="E391" s="2">
        <v>19</v>
      </c>
      <c r="F391" s="2">
        <f t="shared" si="18"/>
        <v>6</v>
      </c>
      <c r="G391" s="2">
        <f t="shared" si="16"/>
        <v>0</v>
      </c>
    </row>
    <row r="392" spans="1:9" x14ac:dyDescent="0.2">
      <c r="A392" s="1">
        <v>43935</v>
      </c>
      <c r="B392" s="3" t="s">
        <v>5</v>
      </c>
      <c r="C392" s="3" t="s">
        <v>6</v>
      </c>
      <c r="D392" s="2">
        <v>33616</v>
      </c>
      <c r="E392" s="2">
        <v>2105</v>
      </c>
      <c r="F392" s="2">
        <f t="shared" si="18"/>
        <v>148</v>
      </c>
      <c r="G392" s="2">
        <f t="shared" si="16"/>
        <v>0</v>
      </c>
      <c r="H392" s="2">
        <f t="shared" si="17"/>
        <v>20786</v>
      </c>
      <c r="I392" s="2">
        <f>SUM(202208+296935)</f>
        <v>499143</v>
      </c>
    </row>
    <row r="393" spans="1:9" x14ac:dyDescent="0.2">
      <c r="B393" s="3"/>
      <c r="C393" s="3" t="s">
        <v>7</v>
      </c>
      <c r="D393" s="2">
        <v>28138</v>
      </c>
      <c r="E393" s="2">
        <v>1869</v>
      </c>
      <c r="F393" s="2">
        <f t="shared" si="18"/>
        <v>103</v>
      </c>
      <c r="G393" s="2">
        <f t="shared" si="16"/>
        <v>0</v>
      </c>
    </row>
    <row r="394" spans="1:9" x14ac:dyDescent="0.2">
      <c r="B394" s="3"/>
      <c r="C394" s="3" t="s">
        <v>8</v>
      </c>
      <c r="D394" s="2">
        <v>25250</v>
      </c>
      <c r="E394" s="2">
        <v>1217</v>
      </c>
      <c r="F394" s="2">
        <f t="shared" si="18"/>
        <v>892</v>
      </c>
      <c r="G394" s="2">
        <f t="shared" si="16"/>
        <v>108</v>
      </c>
    </row>
    <row r="395" spans="1:9" x14ac:dyDescent="0.2">
      <c r="B395" s="3"/>
      <c r="C395" s="3" t="s">
        <v>35</v>
      </c>
      <c r="D395" s="2">
        <v>23426</v>
      </c>
      <c r="E395" s="2">
        <v>1584</v>
      </c>
      <c r="F395" s="2">
        <f t="shared" si="18"/>
        <v>74</v>
      </c>
      <c r="G395" s="2">
        <f t="shared" si="16"/>
        <v>72</v>
      </c>
    </row>
    <row r="396" spans="1:9" x14ac:dyDescent="0.2">
      <c r="B396" s="3"/>
      <c r="C396" s="3" t="s">
        <v>14</v>
      </c>
      <c r="D396" s="2">
        <v>22462</v>
      </c>
      <c r="E396" s="2">
        <v>617</v>
      </c>
      <c r="F396" s="2">
        <f t="shared" si="18"/>
        <v>819</v>
      </c>
      <c r="G396" s="2">
        <f t="shared" si="16"/>
        <v>37</v>
      </c>
    </row>
    <row r="397" spans="1:9" x14ac:dyDescent="0.2">
      <c r="B397" s="3" t="s">
        <v>9</v>
      </c>
      <c r="C397" s="3" t="s">
        <v>10</v>
      </c>
      <c r="D397" s="2">
        <v>10426</v>
      </c>
      <c r="E397" s="2">
        <v>550</v>
      </c>
      <c r="F397" s="2">
        <f t="shared" si="18"/>
        <v>334</v>
      </c>
      <c r="G397" s="2">
        <f t="shared" si="16"/>
        <v>68</v>
      </c>
      <c r="H397" s="2">
        <f t="shared" si="17"/>
        <v>10305</v>
      </c>
      <c r="I397" s="2">
        <f>SUM(68824+70950)</f>
        <v>139774</v>
      </c>
    </row>
    <row r="398" spans="1:9" x14ac:dyDescent="0.2">
      <c r="B398" s="3"/>
      <c r="C398" s="3" t="s">
        <v>11</v>
      </c>
      <c r="D398" s="2">
        <v>8242</v>
      </c>
      <c r="E398" s="2">
        <v>277</v>
      </c>
      <c r="F398" s="2">
        <f t="shared" si="18"/>
        <v>363</v>
      </c>
      <c r="G398" s="2">
        <f t="shared" si="16"/>
        <v>41</v>
      </c>
    </row>
    <row r="399" spans="1:9" x14ac:dyDescent="0.2">
      <c r="B399" s="3"/>
      <c r="C399" s="3" t="s">
        <v>12</v>
      </c>
      <c r="D399" s="2">
        <v>8212</v>
      </c>
      <c r="E399" s="2">
        <v>535</v>
      </c>
      <c r="F399" s="2">
        <f t="shared" si="18"/>
        <v>578</v>
      </c>
      <c r="G399" s="2">
        <f t="shared" si="16"/>
        <v>102</v>
      </c>
    </row>
    <row r="400" spans="1:9" x14ac:dyDescent="0.2">
      <c r="B400" s="3"/>
      <c r="C400" s="3" t="s">
        <v>36</v>
      </c>
      <c r="D400" s="2">
        <v>7265</v>
      </c>
      <c r="E400" s="2">
        <v>238</v>
      </c>
      <c r="F400" s="2">
        <f t="shared" si="18"/>
        <v>629</v>
      </c>
      <c r="G400" s="2">
        <f t="shared" si="16"/>
        <v>21</v>
      </c>
    </row>
    <row r="401" spans="2:9" x14ac:dyDescent="0.2">
      <c r="B401" s="3"/>
      <c r="C401" s="3" t="s">
        <v>37</v>
      </c>
      <c r="D401" s="2">
        <v>6438</v>
      </c>
      <c r="E401" s="2">
        <v>156</v>
      </c>
      <c r="F401" s="2">
        <f t="shared" si="18"/>
        <v>488</v>
      </c>
      <c r="G401" s="2">
        <f t="shared" si="16"/>
        <v>20</v>
      </c>
    </row>
    <row r="402" spans="2:9" x14ac:dyDescent="0.2">
      <c r="B402" s="3" t="s">
        <v>13</v>
      </c>
      <c r="C402" s="3" t="s">
        <v>14</v>
      </c>
      <c r="D402" s="2">
        <v>5872</v>
      </c>
      <c r="E402" s="2">
        <v>120</v>
      </c>
      <c r="F402" s="2">
        <f t="shared" si="18"/>
        <v>293</v>
      </c>
      <c r="G402" s="2">
        <f t="shared" si="16"/>
        <v>14</v>
      </c>
      <c r="H402" s="2">
        <f t="shared" si="17"/>
        <v>4502</v>
      </c>
      <c r="I402" s="2">
        <v>126551</v>
      </c>
    </row>
    <row r="403" spans="2:9" x14ac:dyDescent="0.2">
      <c r="B403" s="3"/>
      <c r="C403" s="3" t="s">
        <v>15</v>
      </c>
      <c r="D403" s="2">
        <v>6254</v>
      </c>
      <c r="E403" s="2">
        <v>188</v>
      </c>
      <c r="F403" s="2">
        <f t="shared" si="18"/>
        <v>271</v>
      </c>
      <c r="G403" s="2">
        <f t="shared" si="16"/>
        <v>25</v>
      </c>
    </row>
    <row r="404" spans="2:9" x14ac:dyDescent="0.2">
      <c r="B404" s="3"/>
      <c r="C404" s="3" t="s">
        <v>12</v>
      </c>
      <c r="D404" s="2">
        <v>3594</v>
      </c>
      <c r="E404" s="2">
        <v>126</v>
      </c>
      <c r="F404" s="2">
        <f t="shared" si="18"/>
        <v>181</v>
      </c>
      <c r="G404" s="2">
        <f t="shared" si="16"/>
        <v>12</v>
      </c>
    </row>
    <row r="405" spans="2:9" x14ac:dyDescent="0.2">
      <c r="B405" s="3"/>
      <c r="C405" s="3" t="s">
        <v>33</v>
      </c>
      <c r="D405" s="2">
        <v>2969</v>
      </c>
      <c r="E405" s="2">
        <v>125</v>
      </c>
      <c r="F405" s="2">
        <f t="shared" si="18"/>
        <v>131</v>
      </c>
      <c r="G405" s="2">
        <f t="shared" si="16"/>
        <v>18</v>
      </c>
    </row>
    <row r="406" spans="2:9" x14ac:dyDescent="0.2">
      <c r="B406" s="3"/>
      <c r="C406" s="3" t="s">
        <v>34</v>
      </c>
      <c r="D406" s="2">
        <v>2246</v>
      </c>
      <c r="E406" s="2">
        <v>57</v>
      </c>
      <c r="F406" s="2">
        <f t="shared" si="18"/>
        <v>118</v>
      </c>
      <c r="G406" s="2">
        <f t="shared" si="16"/>
        <v>6</v>
      </c>
    </row>
    <row r="407" spans="2:9" x14ac:dyDescent="0.2">
      <c r="B407" s="3" t="s">
        <v>23</v>
      </c>
      <c r="C407" s="3" t="s">
        <v>24</v>
      </c>
      <c r="D407" s="2">
        <v>12209</v>
      </c>
      <c r="E407" s="2">
        <v>820</v>
      </c>
      <c r="F407" s="2">
        <f t="shared" si="18"/>
        <v>561</v>
      </c>
      <c r="G407" s="2">
        <f t="shared" si="16"/>
        <v>60</v>
      </c>
      <c r="H407" s="2">
        <f t="shared" si="17"/>
        <v>3582</v>
      </c>
      <c r="I407" s="2">
        <f>SUM(27001+59225)</f>
        <v>86226</v>
      </c>
    </row>
    <row r="408" spans="2:9" x14ac:dyDescent="0.2">
      <c r="B408" s="3"/>
      <c r="C408" s="3" t="s">
        <v>25</v>
      </c>
      <c r="D408" s="2">
        <v>5364</v>
      </c>
      <c r="E408" s="2">
        <v>364</v>
      </c>
      <c r="F408" s="2">
        <f t="shared" si="18"/>
        <v>291</v>
      </c>
      <c r="G408" s="2">
        <f t="shared" si="16"/>
        <v>17</v>
      </c>
    </row>
    <row r="409" spans="2:9" x14ac:dyDescent="0.2">
      <c r="B409" s="3"/>
      <c r="C409" s="3" t="s">
        <v>28</v>
      </c>
      <c r="D409" s="2">
        <v>3620</v>
      </c>
      <c r="E409" s="2">
        <v>293</v>
      </c>
      <c r="F409" s="2">
        <f t="shared" si="18"/>
        <v>202</v>
      </c>
      <c r="G409" s="2">
        <f t="shared" si="16"/>
        <v>53</v>
      </c>
    </row>
    <row r="410" spans="2:9" x14ac:dyDescent="0.2">
      <c r="B410" s="3"/>
      <c r="C410" s="3" t="s">
        <v>38</v>
      </c>
      <c r="D410" s="2">
        <v>1030</v>
      </c>
      <c r="E410" s="2">
        <v>86</v>
      </c>
      <c r="F410" s="2">
        <f t="shared" si="18"/>
        <v>42</v>
      </c>
      <c r="G410" s="2">
        <f t="shared" si="16"/>
        <v>9</v>
      </c>
    </row>
    <row r="411" spans="2:9" x14ac:dyDescent="0.2">
      <c r="B411" s="3"/>
      <c r="C411" s="3" t="s">
        <v>39</v>
      </c>
      <c r="D411" s="2">
        <v>772</v>
      </c>
      <c r="E411" s="2">
        <v>21</v>
      </c>
      <c r="F411" s="2">
        <f t="shared" si="18"/>
        <v>36</v>
      </c>
      <c r="G411" s="2">
        <f t="shared" si="16"/>
        <v>3</v>
      </c>
    </row>
    <row r="412" spans="2:9" x14ac:dyDescent="0.2">
      <c r="B412" s="3" t="s">
        <v>16</v>
      </c>
      <c r="C412" s="3" t="s">
        <v>17</v>
      </c>
      <c r="D412" s="2">
        <v>7121</v>
      </c>
      <c r="E412" s="2">
        <v>206</v>
      </c>
      <c r="F412" s="2">
        <f t="shared" si="18"/>
        <v>311</v>
      </c>
      <c r="H412" s="2">
        <f t="shared" si="17"/>
        <v>3839</v>
      </c>
      <c r="I412" s="2">
        <f>SUM(25345+108286)</f>
        <v>133631</v>
      </c>
    </row>
    <row r="413" spans="2:9" x14ac:dyDescent="0.2">
      <c r="B413" s="3"/>
      <c r="C413" s="3" t="s">
        <v>18</v>
      </c>
      <c r="D413" s="2">
        <v>2354</v>
      </c>
      <c r="E413" s="2">
        <v>109</v>
      </c>
      <c r="F413" s="2">
        <f t="shared" si="18"/>
        <v>69</v>
      </c>
      <c r="G413" s="2">
        <f t="shared" si="16"/>
        <v>18</v>
      </c>
    </row>
    <row r="414" spans="2:9" x14ac:dyDescent="0.2">
      <c r="B414" s="3"/>
      <c r="C414" s="3" t="s">
        <v>19</v>
      </c>
      <c r="D414" s="2">
        <v>1806</v>
      </c>
      <c r="E414" s="2">
        <v>46</v>
      </c>
      <c r="F414" s="2">
        <f t="shared" si="18"/>
        <v>94</v>
      </c>
      <c r="G414" s="2">
        <f t="shared" si="16"/>
        <v>6</v>
      </c>
    </row>
    <row r="415" spans="2:9" x14ac:dyDescent="0.2">
      <c r="B415" s="3"/>
      <c r="C415" s="3" t="s">
        <v>40</v>
      </c>
      <c r="D415" s="2">
        <v>1803</v>
      </c>
      <c r="E415" s="2">
        <v>23</v>
      </c>
      <c r="F415" s="2">
        <f t="shared" si="18"/>
        <v>56</v>
      </c>
      <c r="G415" s="2">
        <f t="shared" si="16"/>
        <v>4</v>
      </c>
    </row>
    <row r="416" spans="2:9" x14ac:dyDescent="0.2">
      <c r="B416" s="3"/>
      <c r="C416" s="3" t="s">
        <v>41</v>
      </c>
      <c r="D416" s="2">
        <v>1247</v>
      </c>
      <c r="E416" s="2">
        <v>27</v>
      </c>
      <c r="F416" s="2">
        <f t="shared" si="18"/>
        <v>97</v>
      </c>
      <c r="G416" s="2">
        <f t="shared" si="16"/>
        <v>6</v>
      </c>
    </row>
    <row r="417" spans="1:9" x14ac:dyDescent="0.2">
      <c r="B417" s="3" t="s">
        <v>20</v>
      </c>
      <c r="C417" s="3" t="s">
        <v>22</v>
      </c>
      <c r="D417" s="2">
        <v>9948</v>
      </c>
      <c r="E417" s="2">
        <v>360</v>
      </c>
      <c r="F417" s="2">
        <f t="shared" si="18"/>
        <v>581</v>
      </c>
      <c r="G417" s="2">
        <f t="shared" ref="G417:G480" si="19">SUM(E417-E387)</f>
        <v>40</v>
      </c>
      <c r="H417" s="2">
        <f t="shared" ref="H417:H477" si="20">SUM(I417-I387)</f>
        <v>11326</v>
      </c>
      <c r="I417" s="2">
        <f>SUM(23338+178870)</f>
        <v>202208</v>
      </c>
    </row>
    <row r="418" spans="1:9" x14ac:dyDescent="0.2">
      <c r="B418" s="3"/>
      <c r="C418" s="3" t="s">
        <v>26</v>
      </c>
      <c r="D418" s="2">
        <v>1932</v>
      </c>
      <c r="E418" s="2">
        <v>67</v>
      </c>
      <c r="F418" s="2">
        <f t="shared" si="18"/>
        <v>83</v>
      </c>
      <c r="G418" s="2">
        <f t="shared" si="19"/>
        <v>1</v>
      </c>
    </row>
    <row r="419" spans="1:9" x14ac:dyDescent="0.2">
      <c r="B419" s="3"/>
      <c r="C419" s="3" t="s">
        <v>27</v>
      </c>
      <c r="D419" s="2">
        <v>1467</v>
      </c>
      <c r="E419" s="2">
        <v>54</v>
      </c>
      <c r="F419" s="2">
        <f t="shared" si="18"/>
        <v>7</v>
      </c>
      <c r="G419" s="2">
        <f t="shared" si="19"/>
        <v>4</v>
      </c>
    </row>
    <row r="420" spans="1:9" x14ac:dyDescent="0.2">
      <c r="B420" s="3"/>
      <c r="C420" s="3" t="s">
        <v>42</v>
      </c>
      <c r="D420" s="2">
        <v>1666</v>
      </c>
      <c r="E420" s="2">
        <v>61</v>
      </c>
      <c r="F420" s="2">
        <f t="shared" si="18"/>
        <v>0</v>
      </c>
      <c r="G420" s="2">
        <f t="shared" si="19"/>
        <v>0</v>
      </c>
    </row>
    <row r="421" spans="1:9" x14ac:dyDescent="0.2">
      <c r="B421" s="3"/>
      <c r="C421" s="3" t="s">
        <v>43</v>
      </c>
      <c r="D421" s="2">
        <v>1299</v>
      </c>
      <c r="E421" s="2">
        <v>19</v>
      </c>
      <c r="F421" s="2">
        <f t="shared" si="18"/>
        <v>16</v>
      </c>
      <c r="G421" s="2">
        <f t="shared" si="19"/>
        <v>0</v>
      </c>
    </row>
    <row r="422" spans="1:9" x14ac:dyDescent="0.2">
      <c r="A422" s="1">
        <v>43936</v>
      </c>
      <c r="B422" s="3" t="s">
        <v>5</v>
      </c>
      <c r="C422" s="3" t="s">
        <v>6</v>
      </c>
      <c r="D422" s="2">
        <v>36765</v>
      </c>
      <c r="E422" s="2">
        <v>2179</v>
      </c>
      <c r="F422" s="2">
        <f t="shared" si="18"/>
        <v>3149</v>
      </c>
      <c r="G422" s="2">
        <f t="shared" si="19"/>
        <v>74</v>
      </c>
      <c r="H422" s="2">
        <f t="shared" si="20"/>
        <v>26869</v>
      </c>
      <c r="I422" s="2">
        <f>SUM(213779+312233)</f>
        <v>526012</v>
      </c>
    </row>
    <row r="423" spans="1:9" x14ac:dyDescent="0.2">
      <c r="B423" s="3"/>
      <c r="C423" s="3" t="s">
        <v>7</v>
      </c>
      <c r="D423" s="2">
        <v>31969</v>
      </c>
      <c r="E423" s="2">
        <v>1954</v>
      </c>
      <c r="F423" s="2">
        <f t="shared" si="18"/>
        <v>3831</v>
      </c>
      <c r="G423" s="2">
        <f t="shared" si="19"/>
        <v>85</v>
      </c>
    </row>
    <row r="424" spans="1:9" x14ac:dyDescent="0.2">
      <c r="B424" s="3"/>
      <c r="C424" s="3" t="s">
        <v>8</v>
      </c>
      <c r="D424" s="2">
        <v>26715</v>
      </c>
      <c r="E424" s="2">
        <v>1286</v>
      </c>
      <c r="F424" s="2">
        <f t="shared" si="18"/>
        <v>1465</v>
      </c>
      <c r="G424" s="2">
        <f t="shared" si="19"/>
        <v>69</v>
      </c>
    </row>
    <row r="425" spans="1:9" x14ac:dyDescent="0.2">
      <c r="B425" s="3"/>
      <c r="C425" s="3" t="s">
        <v>35</v>
      </c>
      <c r="D425" s="2">
        <v>24587</v>
      </c>
      <c r="E425" s="2">
        <v>1749</v>
      </c>
      <c r="F425" s="2">
        <f t="shared" si="18"/>
        <v>1161</v>
      </c>
      <c r="G425" s="2">
        <f t="shared" si="19"/>
        <v>165</v>
      </c>
    </row>
    <row r="426" spans="1:9" x14ac:dyDescent="0.2">
      <c r="B426" s="3"/>
      <c r="C426" s="3" t="s">
        <v>14</v>
      </c>
      <c r="D426" s="2">
        <v>23278</v>
      </c>
      <c r="E426" s="2">
        <v>663</v>
      </c>
      <c r="F426" s="2">
        <f t="shared" si="18"/>
        <v>816</v>
      </c>
      <c r="G426" s="2">
        <f t="shared" si="19"/>
        <v>46</v>
      </c>
    </row>
    <row r="427" spans="1:9" x14ac:dyDescent="0.2">
      <c r="B427" s="3" t="s">
        <v>9</v>
      </c>
      <c r="C427" s="3" t="s">
        <v>10</v>
      </c>
      <c r="D427" s="2">
        <v>10848</v>
      </c>
      <c r="E427" s="2">
        <v>608</v>
      </c>
      <c r="F427" s="2">
        <f t="shared" si="18"/>
        <v>422</v>
      </c>
      <c r="G427" s="2">
        <f t="shared" si="19"/>
        <v>58</v>
      </c>
      <c r="H427" s="2">
        <f t="shared" si="20"/>
        <v>4247</v>
      </c>
      <c r="I427" s="2">
        <f>SUM(71030+72991)</f>
        <v>144021</v>
      </c>
    </row>
    <row r="428" spans="1:9" x14ac:dyDescent="0.2">
      <c r="B428" s="3"/>
      <c r="C428" s="3" t="s">
        <v>11</v>
      </c>
      <c r="D428" s="2">
        <v>8511</v>
      </c>
      <c r="E428" s="2">
        <v>312</v>
      </c>
      <c r="F428" s="2">
        <f t="shared" si="18"/>
        <v>269</v>
      </c>
      <c r="G428" s="2">
        <f t="shared" si="19"/>
        <v>35</v>
      </c>
    </row>
    <row r="429" spans="1:9" x14ac:dyDescent="0.2">
      <c r="B429" s="3"/>
      <c r="C429" s="3" t="s">
        <v>12</v>
      </c>
      <c r="D429" s="2">
        <v>8579</v>
      </c>
      <c r="E429" s="2">
        <v>590</v>
      </c>
      <c r="F429" s="2">
        <f t="shared" si="18"/>
        <v>367</v>
      </c>
      <c r="G429" s="2">
        <f t="shared" si="19"/>
        <v>55</v>
      </c>
    </row>
    <row r="430" spans="1:9" x14ac:dyDescent="0.2">
      <c r="B430" s="3"/>
      <c r="C430" s="3" t="s">
        <v>36</v>
      </c>
      <c r="D430" s="2">
        <v>7438</v>
      </c>
      <c r="E430" s="2">
        <v>269</v>
      </c>
      <c r="F430" s="2">
        <f t="shared" si="18"/>
        <v>173</v>
      </c>
      <c r="G430" s="2">
        <f t="shared" si="19"/>
        <v>31</v>
      </c>
    </row>
    <row r="431" spans="1:9" x14ac:dyDescent="0.2">
      <c r="B431" s="3"/>
      <c r="C431" s="3" t="s">
        <v>37</v>
      </c>
      <c r="D431" s="2">
        <v>6750</v>
      </c>
      <c r="E431" s="2">
        <v>182</v>
      </c>
      <c r="F431" s="2">
        <f t="shared" ref="F431:F494" si="21">SUM(D431-D401)</f>
        <v>312</v>
      </c>
      <c r="G431" s="2">
        <f t="shared" si="19"/>
        <v>26</v>
      </c>
    </row>
    <row r="432" spans="1:9" x14ac:dyDescent="0.2">
      <c r="B432" s="3" t="s">
        <v>13</v>
      </c>
      <c r="C432" s="3" t="s">
        <v>14</v>
      </c>
      <c r="D432" s="2">
        <v>6279</v>
      </c>
      <c r="E432" s="2">
        <v>147</v>
      </c>
      <c r="F432" s="2">
        <f t="shared" si="21"/>
        <v>407</v>
      </c>
      <c r="G432" s="2">
        <f t="shared" si="19"/>
        <v>27</v>
      </c>
      <c r="H432" s="2">
        <f t="shared" si="20"/>
        <v>5472</v>
      </c>
      <c r="I432" s="2">
        <v>132023</v>
      </c>
    </row>
    <row r="433" spans="2:9" x14ac:dyDescent="0.2">
      <c r="B433" s="3"/>
      <c r="C433" s="3" t="s">
        <v>15</v>
      </c>
      <c r="D433" s="2">
        <v>6681</v>
      </c>
      <c r="E433" s="2">
        <v>221</v>
      </c>
      <c r="F433" s="2">
        <f t="shared" si="21"/>
        <v>427</v>
      </c>
      <c r="G433" s="2">
        <f t="shared" si="19"/>
        <v>33</v>
      </c>
    </row>
    <row r="434" spans="2:9" x14ac:dyDescent="0.2">
      <c r="B434" s="3"/>
      <c r="C434" s="3" t="s">
        <v>12</v>
      </c>
      <c r="D434" s="2">
        <v>3894</v>
      </c>
      <c r="E434" s="2">
        <v>141</v>
      </c>
      <c r="F434" s="2">
        <f t="shared" si="21"/>
        <v>300</v>
      </c>
      <c r="G434" s="2">
        <f t="shared" si="19"/>
        <v>15</v>
      </c>
    </row>
    <row r="435" spans="2:9" x14ac:dyDescent="0.2">
      <c r="B435" s="3"/>
      <c r="C435" s="3" t="s">
        <v>33</v>
      </c>
      <c r="D435" s="2">
        <v>3122</v>
      </c>
      <c r="E435" s="2">
        <v>149</v>
      </c>
      <c r="F435" s="2">
        <f t="shared" si="21"/>
        <v>153</v>
      </c>
      <c r="G435" s="2">
        <f t="shared" si="19"/>
        <v>24</v>
      </c>
    </row>
    <row r="436" spans="2:9" x14ac:dyDescent="0.2">
      <c r="B436" s="3"/>
      <c r="C436" s="3" t="s">
        <v>34</v>
      </c>
      <c r="D436" s="2">
        <v>2350</v>
      </c>
      <c r="E436" s="2">
        <v>74</v>
      </c>
      <c r="F436" s="2">
        <f t="shared" si="21"/>
        <v>104</v>
      </c>
      <c r="G436" s="2">
        <f t="shared" si="19"/>
        <v>17</v>
      </c>
    </row>
    <row r="437" spans="2:9" x14ac:dyDescent="0.2">
      <c r="B437" s="3" t="s">
        <v>23</v>
      </c>
      <c r="C437" s="3" t="s">
        <v>24</v>
      </c>
      <c r="D437" s="2">
        <v>12544</v>
      </c>
      <c r="E437" s="2">
        <v>884</v>
      </c>
      <c r="F437" s="2">
        <f t="shared" si="21"/>
        <v>335</v>
      </c>
      <c r="G437" s="2">
        <f t="shared" si="19"/>
        <v>64</v>
      </c>
      <c r="H437" s="2">
        <f t="shared" si="20"/>
        <v>3471</v>
      </c>
      <c r="I437" s="2">
        <f>SUM(28059+61638)</f>
        <v>89697</v>
      </c>
    </row>
    <row r="438" spans="2:9" x14ac:dyDescent="0.2">
      <c r="B438" s="3"/>
      <c r="C438" s="3" t="s">
        <v>25</v>
      </c>
      <c r="D438" s="2">
        <v>5576</v>
      </c>
      <c r="E438" s="2">
        <v>392</v>
      </c>
      <c r="F438" s="2">
        <f t="shared" si="21"/>
        <v>212</v>
      </c>
      <c r="G438" s="2">
        <f t="shared" si="19"/>
        <v>28</v>
      </c>
    </row>
    <row r="439" spans="2:9" x14ac:dyDescent="0.2">
      <c r="B439" s="3"/>
      <c r="C439" s="3" t="s">
        <v>28</v>
      </c>
      <c r="D439" s="2">
        <v>3792</v>
      </c>
      <c r="E439" s="2">
        <v>330</v>
      </c>
      <c r="F439" s="2">
        <f t="shared" si="21"/>
        <v>172</v>
      </c>
      <c r="G439" s="2">
        <f t="shared" si="19"/>
        <v>37</v>
      </c>
    </row>
    <row r="440" spans="2:9" x14ac:dyDescent="0.2">
      <c r="B440" s="3"/>
      <c r="C440" s="3" t="s">
        <v>38</v>
      </c>
      <c r="D440" s="2">
        <v>1084</v>
      </c>
      <c r="E440" s="2">
        <v>89</v>
      </c>
      <c r="F440" s="2">
        <f t="shared" si="21"/>
        <v>54</v>
      </c>
      <c r="G440" s="2">
        <f t="shared" si="19"/>
        <v>3</v>
      </c>
    </row>
    <row r="441" spans="2:9" x14ac:dyDescent="0.2">
      <c r="B441" s="3"/>
      <c r="C441" s="3" t="s">
        <v>39</v>
      </c>
      <c r="D441" s="2">
        <v>798</v>
      </c>
      <c r="E441" s="2">
        <v>24</v>
      </c>
      <c r="F441" s="2">
        <f t="shared" si="21"/>
        <v>26</v>
      </c>
      <c r="G441" s="2">
        <f t="shared" si="19"/>
        <v>3</v>
      </c>
    </row>
    <row r="442" spans="2:9" x14ac:dyDescent="0.2">
      <c r="B442" s="3" t="s">
        <v>16</v>
      </c>
      <c r="C442" s="3" t="s">
        <v>17</v>
      </c>
      <c r="D442" s="2">
        <v>7441</v>
      </c>
      <c r="E442" s="2">
        <v>222</v>
      </c>
      <c r="F442" s="2">
        <f t="shared" si="21"/>
        <v>320</v>
      </c>
      <c r="G442" s="2">
        <f t="shared" si="19"/>
        <v>16</v>
      </c>
      <c r="H442" s="2">
        <f t="shared" si="20"/>
        <v>3953</v>
      </c>
      <c r="I442" s="2">
        <f>SUM(26490+111094)</f>
        <v>137584</v>
      </c>
    </row>
    <row r="443" spans="2:9" x14ac:dyDescent="0.2">
      <c r="B443" s="3"/>
      <c r="C443" s="3" t="s">
        <v>18</v>
      </c>
      <c r="D443" s="2">
        <v>2475</v>
      </c>
      <c r="E443" s="2">
        <v>120</v>
      </c>
      <c r="F443" s="2">
        <f t="shared" si="21"/>
        <v>121</v>
      </c>
      <c r="G443" s="2">
        <f t="shared" si="19"/>
        <v>11</v>
      </c>
    </row>
    <row r="444" spans="2:9" x14ac:dyDescent="0.2">
      <c r="B444" s="3"/>
      <c r="C444" s="3" t="s">
        <v>19</v>
      </c>
      <c r="D444" s="2">
        <v>1935</v>
      </c>
      <c r="E444" s="2">
        <v>60</v>
      </c>
      <c r="F444" s="2">
        <f t="shared" si="21"/>
        <v>129</v>
      </c>
      <c r="G444" s="2">
        <f t="shared" si="19"/>
        <v>14</v>
      </c>
    </row>
    <row r="445" spans="2:9" x14ac:dyDescent="0.2">
      <c r="B445" s="3"/>
      <c r="C445" s="3" t="s">
        <v>40</v>
      </c>
      <c r="D445" s="2">
        <v>1922</v>
      </c>
      <c r="E445" s="2">
        <v>25</v>
      </c>
      <c r="F445" s="2">
        <f t="shared" si="21"/>
        <v>119</v>
      </c>
      <c r="G445" s="2">
        <f t="shared" si="19"/>
        <v>2</v>
      </c>
    </row>
    <row r="446" spans="2:9" x14ac:dyDescent="0.2">
      <c r="B446" s="3"/>
      <c r="C446" s="3" t="s">
        <v>41</v>
      </c>
      <c r="D446" s="2">
        <v>1335</v>
      </c>
      <c r="E446" s="2">
        <v>28</v>
      </c>
      <c r="F446" s="2">
        <f t="shared" si="21"/>
        <v>88</v>
      </c>
      <c r="G446" s="2">
        <f t="shared" si="19"/>
        <v>1</v>
      </c>
    </row>
    <row r="447" spans="2:9" x14ac:dyDescent="0.2">
      <c r="B447" s="3" t="s">
        <v>20</v>
      </c>
      <c r="C447" s="3" t="s">
        <v>22</v>
      </c>
      <c r="D447" s="2">
        <v>10416</v>
      </c>
      <c r="E447" s="2">
        <v>402</v>
      </c>
      <c r="F447" s="2">
        <f t="shared" si="21"/>
        <v>468</v>
      </c>
      <c r="G447" s="2">
        <f t="shared" si="19"/>
        <v>42</v>
      </c>
      <c r="H447" s="2">
        <f t="shared" si="20"/>
        <v>14278</v>
      </c>
      <c r="I447" s="2">
        <f>SUM(24424+192062)</f>
        <v>216486</v>
      </c>
    </row>
    <row r="448" spans="2:9" x14ac:dyDescent="0.2">
      <c r="B448" s="3"/>
      <c r="C448" s="3" t="s">
        <v>26</v>
      </c>
      <c r="D448" s="2">
        <v>2014</v>
      </c>
      <c r="E448" s="2">
        <v>67</v>
      </c>
      <c r="F448" s="2">
        <f t="shared" si="21"/>
        <v>82</v>
      </c>
      <c r="G448" s="2">
        <f t="shared" si="19"/>
        <v>0</v>
      </c>
    </row>
    <row r="449" spans="1:9" x14ac:dyDescent="0.2">
      <c r="B449" s="3"/>
      <c r="C449" s="3" t="s">
        <v>27</v>
      </c>
      <c r="D449" s="2">
        <v>1723</v>
      </c>
      <c r="E449" s="2">
        <v>59</v>
      </c>
      <c r="F449" s="2">
        <f t="shared" si="21"/>
        <v>256</v>
      </c>
      <c r="G449" s="2">
        <f t="shared" si="19"/>
        <v>5</v>
      </c>
    </row>
    <row r="450" spans="1:9" x14ac:dyDescent="0.2">
      <c r="B450" s="3"/>
      <c r="C450" s="3" t="s">
        <v>42</v>
      </c>
      <c r="D450" s="2">
        <v>1793</v>
      </c>
      <c r="E450" s="2">
        <v>66</v>
      </c>
      <c r="F450" s="2">
        <f t="shared" si="21"/>
        <v>127</v>
      </c>
      <c r="G450" s="2">
        <f t="shared" si="19"/>
        <v>5</v>
      </c>
    </row>
    <row r="451" spans="1:9" x14ac:dyDescent="0.2">
      <c r="B451" s="3"/>
      <c r="C451" s="3" t="s">
        <v>43</v>
      </c>
      <c r="D451" s="2">
        <v>1376</v>
      </c>
      <c r="E451" s="2">
        <v>22</v>
      </c>
      <c r="F451" s="2">
        <f t="shared" si="21"/>
        <v>77</v>
      </c>
      <c r="G451" s="2">
        <f t="shared" si="19"/>
        <v>3</v>
      </c>
    </row>
    <row r="452" spans="1:9" x14ac:dyDescent="0.2">
      <c r="A452" s="1">
        <v>43937</v>
      </c>
      <c r="B452" s="3" t="s">
        <v>5</v>
      </c>
      <c r="C452" s="3" t="s">
        <v>6</v>
      </c>
      <c r="D452" s="2">
        <v>37918</v>
      </c>
      <c r="E452" s="2">
        <v>2324</v>
      </c>
      <c r="F452" s="2">
        <f t="shared" si="21"/>
        <v>1153</v>
      </c>
      <c r="G452" s="2">
        <f t="shared" si="19"/>
        <v>145</v>
      </c>
      <c r="H452" s="2">
        <f t="shared" si="20"/>
        <v>24567</v>
      </c>
      <c r="I452" s="2">
        <f>SUM(222284+328295)</f>
        <v>550579</v>
      </c>
    </row>
    <row r="453" spans="1:9" x14ac:dyDescent="0.2">
      <c r="B453" s="3"/>
      <c r="C453" s="3" t="s">
        <v>7</v>
      </c>
      <c r="D453" s="2">
        <v>33521</v>
      </c>
      <c r="E453" s="2">
        <v>2189</v>
      </c>
      <c r="F453" s="2">
        <f t="shared" si="21"/>
        <v>1552</v>
      </c>
      <c r="G453" s="2">
        <f t="shared" si="19"/>
        <v>235</v>
      </c>
    </row>
    <row r="454" spans="1:9" x14ac:dyDescent="0.2">
      <c r="B454" s="3"/>
      <c r="C454" s="3" t="s">
        <v>8</v>
      </c>
      <c r="D454" s="2">
        <v>27772</v>
      </c>
      <c r="E454" s="2">
        <v>1356</v>
      </c>
      <c r="F454" s="2">
        <f t="shared" si="21"/>
        <v>1057</v>
      </c>
      <c r="G454" s="2">
        <f t="shared" si="19"/>
        <v>70</v>
      </c>
    </row>
    <row r="455" spans="1:9" x14ac:dyDescent="0.2">
      <c r="B455" s="3"/>
      <c r="C455" s="3" t="s">
        <v>35</v>
      </c>
      <c r="D455" s="2">
        <v>25638</v>
      </c>
      <c r="E455" s="2">
        <v>1802</v>
      </c>
      <c r="F455" s="2">
        <f t="shared" si="21"/>
        <v>1051</v>
      </c>
      <c r="G455" s="2">
        <f t="shared" si="19"/>
        <v>53</v>
      </c>
    </row>
    <row r="456" spans="1:9" x14ac:dyDescent="0.2">
      <c r="B456" s="3"/>
      <c r="C456" s="3" t="s">
        <v>14</v>
      </c>
      <c r="D456" s="2">
        <v>24182</v>
      </c>
      <c r="E456" s="2">
        <v>706</v>
      </c>
      <c r="F456" s="2">
        <f t="shared" si="21"/>
        <v>904</v>
      </c>
      <c r="G456" s="2">
        <f t="shared" si="19"/>
        <v>43</v>
      </c>
    </row>
    <row r="457" spans="1:9" x14ac:dyDescent="0.2">
      <c r="B457" s="3" t="s">
        <v>9</v>
      </c>
      <c r="C457" s="3" t="s">
        <v>10</v>
      </c>
      <c r="D457" s="2">
        <v>11409</v>
      </c>
      <c r="E457" s="2">
        <v>668</v>
      </c>
      <c r="F457" s="2">
        <f t="shared" si="21"/>
        <v>561</v>
      </c>
      <c r="G457" s="2">
        <f t="shared" si="19"/>
        <v>60</v>
      </c>
      <c r="H457" s="2">
        <f t="shared" si="20"/>
        <v>7809</v>
      </c>
      <c r="I457" s="2">
        <f>SUM(75317+76513)</f>
        <v>151830</v>
      </c>
    </row>
    <row r="458" spans="1:9" x14ac:dyDescent="0.2">
      <c r="B458" s="3"/>
      <c r="C458" s="3" t="s">
        <v>11</v>
      </c>
      <c r="D458" s="2">
        <v>9165</v>
      </c>
      <c r="E458" s="2">
        <v>365</v>
      </c>
      <c r="F458" s="2">
        <f t="shared" si="21"/>
        <v>654</v>
      </c>
      <c r="G458" s="2">
        <f t="shared" si="19"/>
        <v>53</v>
      </c>
    </row>
    <row r="459" spans="1:9" x14ac:dyDescent="0.2">
      <c r="B459" s="3"/>
      <c r="C459" s="3" t="s">
        <v>12</v>
      </c>
      <c r="D459" s="2">
        <v>9084</v>
      </c>
      <c r="E459" s="2">
        <v>642</v>
      </c>
      <c r="F459" s="2">
        <f t="shared" si="21"/>
        <v>505</v>
      </c>
      <c r="G459" s="2">
        <f t="shared" si="19"/>
        <v>52</v>
      </c>
    </row>
    <row r="460" spans="1:9" x14ac:dyDescent="0.2">
      <c r="B460" s="3"/>
      <c r="C460" s="3" t="s">
        <v>36</v>
      </c>
      <c r="D460" s="2">
        <v>7904</v>
      </c>
      <c r="E460" s="2">
        <v>301</v>
      </c>
      <c r="F460" s="2">
        <f t="shared" si="21"/>
        <v>466</v>
      </c>
      <c r="G460" s="2">
        <f t="shared" si="19"/>
        <v>32</v>
      </c>
    </row>
    <row r="461" spans="1:9" x14ac:dyDescent="0.2">
      <c r="B461" s="3"/>
      <c r="C461" s="3" t="s">
        <v>37</v>
      </c>
      <c r="D461" s="2">
        <v>7317</v>
      </c>
      <c r="E461" s="2">
        <v>211</v>
      </c>
      <c r="F461" s="2">
        <f t="shared" si="21"/>
        <v>567</v>
      </c>
      <c r="G461" s="2">
        <f t="shared" si="19"/>
        <v>29</v>
      </c>
    </row>
    <row r="462" spans="1:9" x14ac:dyDescent="0.2">
      <c r="B462" s="3" t="s">
        <v>13</v>
      </c>
      <c r="C462" s="3" t="s">
        <v>14</v>
      </c>
      <c r="D462" s="2">
        <v>6820</v>
      </c>
      <c r="E462" s="2">
        <v>166</v>
      </c>
      <c r="F462" s="2">
        <f t="shared" si="21"/>
        <v>541</v>
      </c>
      <c r="G462" s="2">
        <f t="shared" si="19"/>
        <v>19</v>
      </c>
      <c r="H462" s="2">
        <f t="shared" si="20"/>
        <v>8750</v>
      </c>
      <c r="I462" s="2">
        <v>140773</v>
      </c>
    </row>
    <row r="463" spans="1:9" x14ac:dyDescent="0.2">
      <c r="B463" s="3"/>
      <c r="C463" s="3" t="s">
        <v>15</v>
      </c>
      <c r="D463" s="4">
        <v>7206</v>
      </c>
      <c r="E463" s="2">
        <v>258</v>
      </c>
      <c r="F463" s="2">
        <f t="shared" si="21"/>
        <v>525</v>
      </c>
      <c r="G463" s="2">
        <f t="shared" si="19"/>
        <v>37</v>
      </c>
    </row>
    <row r="464" spans="1:9" x14ac:dyDescent="0.2">
      <c r="B464" s="3"/>
      <c r="C464" s="3" t="s">
        <v>12</v>
      </c>
      <c r="D464" s="4">
        <v>4245</v>
      </c>
      <c r="E464" s="2">
        <v>160</v>
      </c>
      <c r="F464" s="2">
        <f t="shared" si="21"/>
        <v>351</v>
      </c>
      <c r="G464" s="2">
        <f t="shared" si="19"/>
        <v>19</v>
      </c>
    </row>
    <row r="465" spans="2:10" x14ac:dyDescent="0.2">
      <c r="B465" s="3"/>
      <c r="C465" s="3" t="s">
        <v>33</v>
      </c>
      <c r="D465" s="4">
        <v>3342</v>
      </c>
      <c r="E465" s="2">
        <v>175</v>
      </c>
      <c r="F465" s="2">
        <f t="shared" si="21"/>
        <v>220</v>
      </c>
      <c r="G465" s="2">
        <f t="shared" si="19"/>
        <v>26</v>
      </c>
    </row>
    <row r="466" spans="2:10" x14ac:dyDescent="0.2">
      <c r="B466" s="3"/>
      <c r="C466" s="3" t="s">
        <v>34</v>
      </c>
      <c r="D466" s="4">
        <v>2503</v>
      </c>
      <c r="E466" s="2">
        <v>84</v>
      </c>
      <c r="F466" s="2">
        <f t="shared" si="21"/>
        <v>153</v>
      </c>
      <c r="G466" s="2">
        <f t="shared" si="19"/>
        <v>10</v>
      </c>
    </row>
    <row r="467" spans="2:10" x14ac:dyDescent="0.2">
      <c r="B467" s="3" t="s">
        <v>23</v>
      </c>
      <c r="C467" s="3" t="s">
        <v>24</v>
      </c>
      <c r="D467" s="2">
        <v>13002</v>
      </c>
      <c r="E467" s="2">
        <v>981</v>
      </c>
      <c r="F467" s="2">
        <f t="shared" si="21"/>
        <v>458</v>
      </c>
      <c r="G467" s="2">
        <f t="shared" si="19"/>
        <v>97</v>
      </c>
      <c r="H467" s="2">
        <f>SUM(I467-I437)</f>
        <v>4589</v>
      </c>
      <c r="I467" s="2">
        <f>SUM(29263+65023)</f>
        <v>94286</v>
      </c>
      <c r="J467" t="s">
        <v>32</v>
      </c>
    </row>
    <row r="468" spans="2:10" x14ac:dyDescent="0.2">
      <c r="B468" s="3"/>
      <c r="C468" s="3" t="s">
        <v>25</v>
      </c>
      <c r="D468" s="2">
        <v>5778</v>
      </c>
      <c r="E468" s="2">
        <v>420</v>
      </c>
      <c r="F468" s="2">
        <f t="shared" si="21"/>
        <v>202</v>
      </c>
      <c r="G468" s="2">
        <f t="shared" si="19"/>
        <v>28</v>
      </c>
    </row>
    <row r="469" spans="2:10" x14ac:dyDescent="0.2">
      <c r="B469" s="3"/>
      <c r="C469" s="3" t="s">
        <v>28</v>
      </c>
      <c r="D469" s="2">
        <v>3992</v>
      </c>
      <c r="E469" s="2">
        <v>354</v>
      </c>
      <c r="F469" s="2">
        <f t="shared" si="21"/>
        <v>200</v>
      </c>
      <c r="G469" s="2">
        <f t="shared" si="19"/>
        <v>24</v>
      </c>
    </row>
    <row r="470" spans="2:10" x14ac:dyDescent="0.2">
      <c r="B470" s="3"/>
      <c r="C470" s="3" t="s">
        <v>38</v>
      </c>
      <c r="D470" s="2">
        <v>1147</v>
      </c>
      <c r="E470" s="2">
        <v>99</v>
      </c>
      <c r="F470" s="2">
        <f t="shared" si="21"/>
        <v>63</v>
      </c>
      <c r="G470" s="2">
        <f t="shared" si="19"/>
        <v>10</v>
      </c>
    </row>
    <row r="471" spans="2:10" x14ac:dyDescent="0.2">
      <c r="B471" s="3"/>
      <c r="C471" s="3" t="s">
        <v>39</v>
      </c>
      <c r="D471" s="2">
        <v>826</v>
      </c>
      <c r="E471" s="2">
        <v>25</v>
      </c>
      <c r="F471" s="2">
        <f t="shared" si="21"/>
        <v>28</v>
      </c>
      <c r="G471" s="2">
        <f t="shared" si="19"/>
        <v>1</v>
      </c>
    </row>
    <row r="472" spans="2:10" x14ac:dyDescent="0.2">
      <c r="B472" s="3" t="s">
        <v>16</v>
      </c>
      <c r="C472" s="3" t="s">
        <v>17</v>
      </c>
      <c r="D472" s="4">
        <v>7684</v>
      </c>
      <c r="E472" s="2">
        <v>264</v>
      </c>
      <c r="F472" s="2">
        <f t="shared" si="21"/>
        <v>243</v>
      </c>
      <c r="G472" s="2">
        <f t="shared" si="19"/>
        <v>42</v>
      </c>
      <c r="H472" s="2">
        <f t="shared" si="20"/>
        <v>3886</v>
      </c>
      <c r="I472" s="2">
        <f>SUM(27735+113735)</f>
        <v>141470</v>
      </c>
    </row>
    <row r="473" spans="2:10" x14ac:dyDescent="0.2">
      <c r="B473" s="3"/>
      <c r="C473" s="3" t="s">
        <v>18</v>
      </c>
      <c r="D473" s="2">
        <v>2544</v>
      </c>
      <c r="E473" s="2">
        <v>128</v>
      </c>
      <c r="F473" s="2">
        <f t="shared" si="21"/>
        <v>69</v>
      </c>
      <c r="G473" s="2">
        <f t="shared" si="19"/>
        <v>8</v>
      </c>
    </row>
    <row r="474" spans="2:10" x14ac:dyDescent="0.2">
      <c r="B474" s="3"/>
      <c r="C474" s="3" t="s">
        <v>19</v>
      </c>
      <c r="D474" s="4">
        <v>1999</v>
      </c>
      <c r="E474" s="2">
        <v>71</v>
      </c>
      <c r="F474" s="2">
        <f t="shared" si="21"/>
        <v>64</v>
      </c>
      <c r="G474" s="2">
        <f t="shared" si="19"/>
        <v>11</v>
      </c>
    </row>
    <row r="475" spans="2:10" x14ac:dyDescent="0.2">
      <c r="B475" s="3"/>
      <c r="C475" s="3" t="s">
        <v>40</v>
      </c>
      <c r="D475" s="4">
        <v>1999</v>
      </c>
      <c r="E475" s="2">
        <v>28</v>
      </c>
      <c r="F475" s="2">
        <f t="shared" si="21"/>
        <v>77</v>
      </c>
      <c r="G475" s="2">
        <f t="shared" si="19"/>
        <v>3</v>
      </c>
    </row>
    <row r="476" spans="2:10" x14ac:dyDescent="0.2">
      <c r="B476" s="3"/>
      <c r="C476" s="3" t="s">
        <v>41</v>
      </c>
      <c r="D476" s="4">
        <v>1419</v>
      </c>
      <c r="E476" s="2">
        <v>31</v>
      </c>
      <c r="F476" s="2">
        <f t="shared" si="21"/>
        <v>84</v>
      </c>
      <c r="G476" s="2">
        <f t="shared" si="19"/>
        <v>3</v>
      </c>
    </row>
    <row r="477" spans="2:10" x14ac:dyDescent="0.2">
      <c r="B477" s="3" t="s">
        <v>20</v>
      </c>
      <c r="C477" s="3" t="s">
        <v>22</v>
      </c>
      <c r="D477" s="4">
        <v>10786</v>
      </c>
      <c r="E477" s="2">
        <v>455</v>
      </c>
      <c r="F477" s="2">
        <f t="shared" si="21"/>
        <v>370</v>
      </c>
      <c r="G477" s="2">
        <f t="shared" si="19"/>
        <v>53</v>
      </c>
      <c r="H477" s="2">
        <f t="shared" si="20"/>
        <v>29914</v>
      </c>
      <c r="I477" s="2">
        <f>SUM(26182+220218)</f>
        <v>246400</v>
      </c>
    </row>
    <row r="478" spans="2:10" x14ac:dyDescent="0.2">
      <c r="B478" s="3"/>
      <c r="C478" s="3" t="s">
        <v>26</v>
      </c>
      <c r="D478" s="4">
        <v>2089</v>
      </c>
      <c r="E478" s="2">
        <v>77</v>
      </c>
      <c r="F478" s="2">
        <f t="shared" si="21"/>
        <v>75</v>
      </c>
      <c r="G478" s="2">
        <f t="shared" si="19"/>
        <v>10</v>
      </c>
    </row>
    <row r="479" spans="2:10" x14ac:dyDescent="0.2">
      <c r="B479" s="3"/>
      <c r="C479" s="3" t="s">
        <v>27</v>
      </c>
      <c r="D479" s="2">
        <v>1913</v>
      </c>
      <c r="E479" s="2">
        <v>65</v>
      </c>
      <c r="F479" s="2">
        <f t="shared" si="21"/>
        <v>190</v>
      </c>
      <c r="G479" s="2">
        <f t="shared" si="19"/>
        <v>6</v>
      </c>
    </row>
    <row r="480" spans="2:10" x14ac:dyDescent="0.2">
      <c r="B480" s="3"/>
      <c r="C480" s="3" t="s">
        <v>42</v>
      </c>
      <c r="D480" s="2">
        <v>1833</v>
      </c>
      <c r="E480" s="2">
        <v>70</v>
      </c>
      <c r="F480" s="2">
        <f t="shared" si="21"/>
        <v>40</v>
      </c>
      <c r="G480" s="2">
        <f t="shared" si="19"/>
        <v>4</v>
      </c>
    </row>
    <row r="481" spans="1:13" x14ac:dyDescent="0.2">
      <c r="B481" s="3"/>
      <c r="C481" s="3" t="s">
        <v>43</v>
      </c>
      <c r="D481" s="2">
        <v>1425</v>
      </c>
      <c r="E481" s="2">
        <v>25</v>
      </c>
      <c r="F481" s="2">
        <f t="shared" si="21"/>
        <v>49</v>
      </c>
      <c r="G481" s="2">
        <f t="shared" ref="G481:G544" si="22">SUM(E481-E451)</f>
        <v>3</v>
      </c>
      <c r="M481" s="3"/>
    </row>
    <row r="482" spans="1:13" x14ac:dyDescent="0.2">
      <c r="A482" s="1">
        <v>43938</v>
      </c>
      <c r="B482" s="3" t="s">
        <v>5</v>
      </c>
      <c r="C482" s="3" t="s">
        <v>6</v>
      </c>
      <c r="D482" s="2">
        <v>39091</v>
      </c>
      <c r="E482" s="2">
        <v>2402</v>
      </c>
      <c r="F482" s="2">
        <f t="shared" si="21"/>
        <v>1173</v>
      </c>
      <c r="G482" s="2">
        <f t="shared" si="22"/>
        <v>78</v>
      </c>
      <c r="H482" s="2">
        <f t="shared" ref="H482:H542" si="23">SUM(I482-I452)</f>
        <v>22644</v>
      </c>
      <c r="I482" s="2">
        <f>SUM(229642+343581)</f>
        <v>573223</v>
      </c>
      <c r="M482" s="3"/>
    </row>
    <row r="483" spans="1:13" x14ac:dyDescent="0.2">
      <c r="B483" s="3"/>
      <c r="C483" s="3" t="s">
        <v>7</v>
      </c>
      <c r="D483" s="2">
        <v>34705</v>
      </c>
      <c r="E483" s="2">
        <v>2293</v>
      </c>
      <c r="F483" s="2">
        <f t="shared" si="21"/>
        <v>1184</v>
      </c>
      <c r="G483" s="2">
        <f t="shared" si="22"/>
        <v>104</v>
      </c>
      <c r="M483" s="3"/>
    </row>
    <row r="484" spans="1:13" x14ac:dyDescent="0.2">
      <c r="B484" s="3"/>
      <c r="C484" s="3" t="s">
        <v>8</v>
      </c>
      <c r="D484" s="2">
        <v>28539</v>
      </c>
      <c r="E484" s="2">
        <v>1356</v>
      </c>
      <c r="F484" s="2">
        <f t="shared" si="21"/>
        <v>767</v>
      </c>
      <c r="G484" s="2">
        <f t="shared" si="22"/>
        <v>0</v>
      </c>
      <c r="M484" s="3"/>
    </row>
    <row r="485" spans="1:13" x14ac:dyDescent="0.2">
      <c r="B485" s="3"/>
      <c r="C485" s="3" t="s">
        <v>35</v>
      </c>
      <c r="D485" s="2">
        <v>27014</v>
      </c>
      <c r="E485" s="2">
        <v>1917</v>
      </c>
      <c r="F485" s="2">
        <f t="shared" si="21"/>
        <v>1376</v>
      </c>
      <c r="G485" s="2">
        <f t="shared" si="22"/>
        <v>115</v>
      </c>
      <c r="M485" s="3"/>
    </row>
    <row r="486" spans="1:13" x14ac:dyDescent="0.2">
      <c r="B486" s="3"/>
      <c r="C486" s="3" t="s">
        <v>14</v>
      </c>
      <c r="D486" s="2">
        <v>25035</v>
      </c>
      <c r="E486" s="2">
        <v>706</v>
      </c>
      <c r="F486" s="2">
        <f t="shared" si="21"/>
        <v>853</v>
      </c>
      <c r="G486" s="2">
        <f t="shared" si="22"/>
        <v>0</v>
      </c>
      <c r="M486" s="3"/>
    </row>
    <row r="487" spans="1:13" x14ac:dyDescent="0.2">
      <c r="B487" s="3" t="s">
        <v>9</v>
      </c>
      <c r="C487" s="3" t="s">
        <v>10</v>
      </c>
      <c r="D487" s="2">
        <v>11863</v>
      </c>
      <c r="E487" s="2">
        <v>714</v>
      </c>
      <c r="F487" s="2">
        <f t="shared" si="21"/>
        <v>454</v>
      </c>
      <c r="G487" s="2">
        <f t="shared" si="22"/>
        <v>46</v>
      </c>
      <c r="H487" s="2">
        <f t="shared" si="23"/>
        <v>5619</v>
      </c>
      <c r="I487" s="2">
        <f>SUM(78467+78982)</f>
        <v>157449</v>
      </c>
      <c r="M487" s="3"/>
    </row>
    <row r="488" spans="1:13" x14ac:dyDescent="0.2">
      <c r="B488" s="3"/>
      <c r="C488" s="3" t="s">
        <v>11</v>
      </c>
      <c r="D488" s="2">
        <v>9636</v>
      </c>
      <c r="E488" s="2">
        <v>420</v>
      </c>
      <c r="F488" s="2">
        <f t="shared" si="21"/>
        <v>471</v>
      </c>
      <c r="G488" s="2">
        <f t="shared" si="22"/>
        <v>55</v>
      </c>
      <c r="M488" s="3"/>
    </row>
    <row r="489" spans="1:13" x14ac:dyDescent="0.2">
      <c r="B489" s="3"/>
      <c r="C489" s="3" t="s">
        <v>12</v>
      </c>
      <c r="D489" s="2">
        <v>9672</v>
      </c>
      <c r="E489" s="2">
        <v>684</v>
      </c>
      <c r="F489" s="2">
        <f t="shared" si="21"/>
        <v>588</v>
      </c>
      <c r="G489" s="2">
        <f t="shared" si="22"/>
        <v>42</v>
      </c>
      <c r="M489" s="3"/>
    </row>
    <row r="490" spans="1:13" x14ac:dyDescent="0.2">
      <c r="B490" s="3"/>
      <c r="C490" s="3" t="s">
        <v>36</v>
      </c>
      <c r="D490" s="2">
        <v>8429</v>
      </c>
      <c r="E490" s="2">
        <v>330</v>
      </c>
      <c r="F490" s="2">
        <f t="shared" si="21"/>
        <v>525</v>
      </c>
      <c r="G490" s="2">
        <f t="shared" si="22"/>
        <v>29</v>
      </c>
      <c r="M490" s="3"/>
    </row>
    <row r="491" spans="1:13" x14ac:dyDescent="0.2">
      <c r="B491" s="3"/>
      <c r="C491" s="3" t="s">
        <v>37</v>
      </c>
      <c r="D491" s="2">
        <v>7604</v>
      </c>
      <c r="E491" s="2">
        <v>221</v>
      </c>
      <c r="F491" s="2">
        <f t="shared" si="21"/>
        <v>287</v>
      </c>
      <c r="G491" s="2">
        <f t="shared" si="22"/>
        <v>10</v>
      </c>
      <c r="M491" s="3"/>
    </row>
    <row r="492" spans="1:13" x14ac:dyDescent="0.2">
      <c r="B492" s="3" t="s">
        <v>13</v>
      </c>
      <c r="C492" s="3" t="s">
        <v>14</v>
      </c>
      <c r="D492" s="2">
        <v>7272</v>
      </c>
      <c r="F492" s="2">
        <f t="shared" si="21"/>
        <v>452</v>
      </c>
      <c r="H492" s="2">
        <f t="shared" si="23"/>
        <v>7971</v>
      </c>
      <c r="I492" s="2">
        <v>148744</v>
      </c>
      <c r="M492" s="3"/>
    </row>
    <row r="493" spans="1:13" x14ac:dyDescent="0.2">
      <c r="B493" s="3"/>
      <c r="C493" s="3" t="s">
        <v>15</v>
      </c>
      <c r="D493" s="4">
        <v>7744</v>
      </c>
      <c r="E493" s="2">
        <v>294</v>
      </c>
      <c r="F493" s="2">
        <f t="shared" si="21"/>
        <v>538</v>
      </c>
      <c r="G493" s="2">
        <f t="shared" si="22"/>
        <v>36</v>
      </c>
      <c r="M493" s="3"/>
    </row>
    <row r="494" spans="1:13" x14ac:dyDescent="0.2">
      <c r="B494" s="3"/>
      <c r="C494" s="3" t="s">
        <v>12</v>
      </c>
      <c r="D494" s="4">
        <v>4584</v>
      </c>
      <c r="E494" s="2">
        <v>178</v>
      </c>
      <c r="F494" s="2">
        <f t="shared" si="21"/>
        <v>339</v>
      </c>
      <c r="G494" s="2">
        <f t="shared" si="22"/>
        <v>18</v>
      </c>
      <c r="M494" s="3"/>
    </row>
    <row r="495" spans="1:13" x14ac:dyDescent="0.2">
      <c r="B495" s="3"/>
      <c r="C495" s="3" t="s">
        <v>33</v>
      </c>
      <c r="D495" s="4">
        <v>3499</v>
      </c>
      <c r="E495" s="2">
        <v>195</v>
      </c>
      <c r="F495" s="2">
        <f t="shared" ref="F495:F558" si="24">SUM(D495-D465)</f>
        <v>157</v>
      </c>
      <c r="G495" s="2">
        <f t="shared" si="22"/>
        <v>20</v>
      </c>
      <c r="M495" s="3"/>
    </row>
    <row r="496" spans="1:13" x14ac:dyDescent="0.2">
      <c r="B496" s="3"/>
      <c r="C496" s="3" t="s">
        <v>34</v>
      </c>
      <c r="D496" s="4">
        <v>2765</v>
      </c>
      <c r="E496" s="2">
        <v>118</v>
      </c>
      <c r="F496" s="2">
        <f t="shared" si="24"/>
        <v>262</v>
      </c>
      <c r="G496" s="2">
        <f t="shared" si="22"/>
        <v>34</v>
      </c>
      <c r="M496" s="3"/>
    </row>
    <row r="497" spans="1:13" x14ac:dyDescent="0.2">
      <c r="B497" s="3" t="s">
        <v>23</v>
      </c>
      <c r="C497" s="3" t="s">
        <v>24</v>
      </c>
      <c r="D497" s="2">
        <v>13233</v>
      </c>
      <c r="E497" s="2">
        <v>1044</v>
      </c>
      <c r="F497" s="2">
        <f t="shared" si="24"/>
        <v>231</v>
      </c>
      <c r="G497" s="2">
        <f t="shared" si="22"/>
        <v>63</v>
      </c>
      <c r="H497" s="2">
        <f>SUM(I497-I467)</f>
        <v>4673</v>
      </c>
      <c r="I497" s="2">
        <f>SUM(30023+68936)</f>
        <v>98959</v>
      </c>
      <c r="M497" s="3"/>
    </row>
    <row r="498" spans="1:13" x14ac:dyDescent="0.2">
      <c r="B498" s="3"/>
      <c r="C498" s="3" t="s">
        <v>25</v>
      </c>
      <c r="D498" s="2">
        <v>5901</v>
      </c>
      <c r="E498" s="2">
        <v>442</v>
      </c>
      <c r="F498" s="2">
        <f t="shared" si="24"/>
        <v>123</v>
      </c>
      <c r="G498" s="2">
        <f t="shared" si="22"/>
        <v>22</v>
      </c>
      <c r="M498" s="3"/>
    </row>
    <row r="499" spans="1:13" x14ac:dyDescent="0.2">
      <c r="B499" s="3"/>
      <c r="C499" s="3" t="s">
        <v>28</v>
      </c>
      <c r="D499" s="2">
        <v>4145</v>
      </c>
      <c r="E499" s="2">
        <v>373</v>
      </c>
      <c r="F499" s="2">
        <f t="shared" si="24"/>
        <v>153</v>
      </c>
      <c r="G499" s="2">
        <f t="shared" si="22"/>
        <v>19</v>
      </c>
      <c r="M499" s="3"/>
    </row>
    <row r="500" spans="1:13" x14ac:dyDescent="0.2">
      <c r="B500" s="3"/>
      <c r="C500" s="3" t="s">
        <v>38</v>
      </c>
      <c r="D500" s="2">
        <v>1197</v>
      </c>
      <c r="E500" s="2">
        <v>106</v>
      </c>
      <c r="F500" s="2">
        <f t="shared" si="24"/>
        <v>50</v>
      </c>
      <c r="G500" s="2">
        <f t="shared" si="22"/>
        <v>7</v>
      </c>
      <c r="M500" s="3"/>
    </row>
    <row r="501" spans="1:13" x14ac:dyDescent="0.2">
      <c r="B501" s="3"/>
      <c r="C501" s="3" t="s">
        <v>39</v>
      </c>
      <c r="D501" s="2">
        <v>855</v>
      </c>
      <c r="E501" s="2">
        <v>25</v>
      </c>
      <c r="F501" s="2">
        <f t="shared" si="24"/>
        <v>29</v>
      </c>
      <c r="G501" s="2">
        <f t="shared" si="22"/>
        <v>0</v>
      </c>
      <c r="M501" s="3"/>
    </row>
    <row r="502" spans="1:13" x14ac:dyDescent="0.2">
      <c r="B502" s="3" t="s">
        <v>16</v>
      </c>
      <c r="C502" s="3" t="s">
        <v>17</v>
      </c>
      <c r="D502" s="2">
        <v>8563</v>
      </c>
      <c r="E502" s="2">
        <v>298</v>
      </c>
      <c r="F502" s="2">
        <f t="shared" si="24"/>
        <v>879</v>
      </c>
      <c r="G502" s="2">
        <f t="shared" si="22"/>
        <v>34</v>
      </c>
      <c r="H502" s="2">
        <f t="shared" si="23"/>
        <v>5903</v>
      </c>
      <c r="I502" s="2">
        <f>SUM(29441+117932)</f>
        <v>147373</v>
      </c>
      <c r="M502" s="3"/>
    </row>
    <row r="503" spans="1:13" x14ac:dyDescent="0.2">
      <c r="B503" s="3"/>
      <c r="C503" s="3" t="s">
        <v>18</v>
      </c>
      <c r="D503" s="2">
        <v>2684</v>
      </c>
      <c r="E503" s="2">
        <v>128</v>
      </c>
      <c r="F503" s="2">
        <f t="shared" si="24"/>
        <v>140</v>
      </c>
      <c r="G503" s="2">
        <f t="shared" si="22"/>
        <v>0</v>
      </c>
      <c r="M503" s="3"/>
    </row>
    <row r="504" spans="1:13" x14ac:dyDescent="0.2">
      <c r="B504" s="3"/>
      <c r="C504" s="3" t="s">
        <v>19</v>
      </c>
      <c r="D504" s="4">
        <v>2281</v>
      </c>
      <c r="E504" s="2">
        <v>74</v>
      </c>
      <c r="F504" s="2">
        <f t="shared" si="24"/>
        <v>282</v>
      </c>
      <c r="G504" s="2">
        <f t="shared" si="22"/>
        <v>3</v>
      </c>
      <c r="M504" s="3"/>
    </row>
    <row r="505" spans="1:13" x14ac:dyDescent="0.2">
      <c r="B505" s="3"/>
      <c r="C505" s="3" t="s">
        <v>40</v>
      </c>
      <c r="D505" s="4">
        <v>2092</v>
      </c>
      <c r="E505" s="2">
        <v>29</v>
      </c>
      <c r="F505" s="2">
        <f t="shared" si="24"/>
        <v>93</v>
      </c>
      <c r="G505" s="2">
        <f t="shared" si="22"/>
        <v>1</v>
      </c>
      <c r="M505" s="3"/>
    </row>
    <row r="506" spans="1:13" x14ac:dyDescent="0.2">
      <c r="B506" s="3"/>
      <c r="C506" s="3" t="s">
        <v>41</v>
      </c>
      <c r="D506" s="4">
        <v>1537</v>
      </c>
      <c r="E506" s="2">
        <v>34</v>
      </c>
      <c r="F506" s="2">
        <f t="shared" si="24"/>
        <v>118</v>
      </c>
      <c r="G506" s="2">
        <f t="shared" si="22"/>
        <v>3</v>
      </c>
      <c r="M506" s="3"/>
    </row>
    <row r="507" spans="1:13" x14ac:dyDescent="0.2">
      <c r="B507" s="3" t="s">
        <v>20</v>
      </c>
      <c r="C507" s="3" t="s">
        <v>22</v>
      </c>
      <c r="D507" s="4">
        <v>11354</v>
      </c>
      <c r="E507" s="2">
        <v>495</v>
      </c>
      <c r="F507" s="2">
        <f t="shared" si="24"/>
        <v>568</v>
      </c>
      <c r="G507" s="2">
        <f t="shared" si="22"/>
        <v>40</v>
      </c>
      <c r="H507" s="2">
        <f t="shared" si="23"/>
        <v>5214</v>
      </c>
      <c r="I507" s="2">
        <f>SUM(27528+224086)</f>
        <v>251614</v>
      </c>
      <c r="M507" s="3"/>
    </row>
    <row r="508" spans="1:13" x14ac:dyDescent="0.2">
      <c r="B508" s="3"/>
      <c r="C508" s="3" t="s">
        <v>26</v>
      </c>
      <c r="D508" s="4">
        <v>2160</v>
      </c>
      <c r="E508" s="2">
        <v>83</v>
      </c>
      <c r="F508" s="2">
        <f t="shared" si="24"/>
        <v>71</v>
      </c>
      <c r="G508" s="2">
        <f t="shared" si="22"/>
        <v>6</v>
      </c>
      <c r="M508" s="3"/>
    </row>
    <row r="509" spans="1:13" x14ac:dyDescent="0.2">
      <c r="B509" s="3"/>
      <c r="C509" s="3" t="s">
        <v>27</v>
      </c>
      <c r="D509" s="4">
        <v>2080</v>
      </c>
      <c r="E509" s="2">
        <v>73</v>
      </c>
      <c r="F509" s="2">
        <f t="shared" si="24"/>
        <v>167</v>
      </c>
      <c r="G509" s="2">
        <f t="shared" si="22"/>
        <v>8</v>
      </c>
      <c r="M509" s="3"/>
    </row>
    <row r="510" spans="1:13" x14ac:dyDescent="0.2">
      <c r="B510" s="3"/>
      <c r="C510" s="3" t="s">
        <v>42</v>
      </c>
      <c r="D510" s="4">
        <v>1870</v>
      </c>
      <c r="E510" s="2">
        <v>74</v>
      </c>
      <c r="F510" s="2">
        <f t="shared" si="24"/>
        <v>37</v>
      </c>
      <c r="G510" s="2">
        <f t="shared" si="22"/>
        <v>4</v>
      </c>
      <c r="M510" s="3"/>
    </row>
    <row r="511" spans="1:13" x14ac:dyDescent="0.2">
      <c r="B511" s="3"/>
      <c r="C511" s="3" t="s">
        <v>43</v>
      </c>
      <c r="D511" s="4">
        <v>1501</v>
      </c>
      <c r="E511" s="2">
        <v>28</v>
      </c>
      <c r="F511" s="2">
        <f t="shared" si="24"/>
        <v>76</v>
      </c>
      <c r="G511" s="2">
        <f t="shared" si="22"/>
        <v>3</v>
      </c>
    </row>
    <row r="512" spans="1:13" x14ac:dyDescent="0.2">
      <c r="A512" s="1">
        <v>43939</v>
      </c>
      <c r="B512" s="3" t="s">
        <v>5</v>
      </c>
      <c r="C512" s="3" t="s">
        <v>6</v>
      </c>
      <c r="D512" s="2">
        <v>40216</v>
      </c>
      <c r="E512" s="2">
        <v>2543</v>
      </c>
      <c r="F512" s="2">
        <f t="shared" si="24"/>
        <v>1125</v>
      </c>
      <c r="G512" s="2">
        <f t="shared" si="22"/>
        <v>141</v>
      </c>
      <c r="H512" s="2">
        <f t="shared" si="23"/>
        <v>23309</v>
      </c>
      <c r="I512" s="2">
        <f>SUM(236732+359800)</f>
        <v>596532</v>
      </c>
    </row>
    <row r="513" spans="2:9" x14ac:dyDescent="0.2">
      <c r="B513" s="3"/>
      <c r="C513" s="3" t="s">
        <v>7</v>
      </c>
      <c r="D513" s="2">
        <v>35763</v>
      </c>
      <c r="E513" s="2">
        <v>2490</v>
      </c>
      <c r="F513" s="2">
        <f t="shared" si="24"/>
        <v>1058</v>
      </c>
      <c r="G513" s="2">
        <f t="shared" si="22"/>
        <v>197</v>
      </c>
    </row>
    <row r="514" spans="2:9" x14ac:dyDescent="0.2">
      <c r="B514" s="3"/>
      <c r="C514" s="3" t="s">
        <v>8</v>
      </c>
      <c r="D514" s="2">
        <v>29180</v>
      </c>
      <c r="E514" s="2">
        <v>1356</v>
      </c>
      <c r="F514" s="2">
        <f t="shared" si="24"/>
        <v>641</v>
      </c>
      <c r="G514" s="2">
        <f t="shared" si="22"/>
        <v>0</v>
      </c>
    </row>
    <row r="515" spans="2:9" x14ac:dyDescent="0.2">
      <c r="B515" s="3"/>
      <c r="C515" s="3" t="s">
        <v>35</v>
      </c>
      <c r="D515" s="2">
        <v>28016</v>
      </c>
      <c r="E515" s="2">
        <v>1975</v>
      </c>
      <c r="F515" s="2">
        <f t="shared" si="24"/>
        <v>1002</v>
      </c>
      <c r="G515" s="2">
        <f t="shared" si="22"/>
        <v>58</v>
      </c>
    </row>
    <row r="516" spans="2:9" x14ac:dyDescent="0.2">
      <c r="B516" s="3"/>
      <c r="C516" s="3" t="s">
        <v>14</v>
      </c>
      <c r="D516" s="2">
        <v>26143</v>
      </c>
      <c r="E516" s="2">
        <v>706</v>
      </c>
      <c r="F516" s="2">
        <f t="shared" si="24"/>
        <v>1108</v>
      </c>
      <c r="G516" s="2">
        <f t="shared" si="22"/>
        <v>0</v>
      </c>
    </row>
    <row r="517" spans="2:9" x14ac:dyDescent="0.2">
      <c r="B517" s="3" t="s">
        <v>9</v>
      </c>
      <c r="C517" s="3" t="s">
        <v>10</v>
      </c>
      <c r="D517" s="2">
        <v>12163</v>
      </c>
      <c r="E517" s="2">
        <v>741</v>
      </c>
      <c r="F517" s="2">
        <f t="shared" si="24"/>
        <v>300</v>
      </c>
      <c r="G517" s="2">
        <f t="shared" si="22"/>
        <v>27</v>
      </c>
      <c r="H517" s="2">
        <f t="shared" si="23"/>
        <v>5087</v>
      </c>
      <c r="I517" s="2">
        <f>SUM(81420+81116)</f>
        <v>162536</v>
      </c>
    </row>
    <row r="518" spans="2:9" x14ac:dyDescent="0.2">
      <c r="B518" s="3"/>
      <c r="C518" s="3" t="s">
        <v>11</v>
      </c>
      <c r="D518" s="2">
        <v>9956</v>
      </c>
      <c r="E518" s="2">
        <v>434</v>
      </c>
      <c r="F518" s="2">
        <f t="shared" si="24"/>
        <v>320</v>
      </c>
      <c r="G518" s="2">
        <f t="shared" si="22"/>
        <v>14</v>
      </c>
    </row>
    <row r="519" spans="2:9" x14ac:dyDescent="0.2">
      <c r="B519" s="3"/>
      <c r="C519" s="3" t="s">
        <v>12</v>
      </c>
      <c r="D519" s="2">
        <v>9901</v>
      </c>
      <c r="E519" s="2">
        <v>732</v>
      </c>
      <c r="F519" s="2">
        <f t="shared" si="24"/>
        <v>229</v>
      </c>
      <c r="G519" s="2">
        <f t="shared" si="22"/>
        <v>48</v>
      </c>
    </row>
    <row r="520" spans="2:9" x14ac:dyDescent="0.2">
      <c r="B520" s="3"/>
      <c r="C520" s="3" t="s">
        <v>36</v>
      </c>
      <c r="D520" s="2">
        <v>8959</v>
      </c>
      <c r="E520" s="2">
        <v>356</v>
      </c>
      <c r="F520" s="2">
        <f t="shared" si="24"/>
        <v>530</v>
      </c>
      <c r="G520" s="2">
        <f t="shared" si="22"/>
        <v>26</v>
      </c>
    </row>
    <row r="521" spans="2:9" x14ac:dyDescent="0.2">
      <c r="B521" s="3"/>
      <c r="C521" s="3" t="s">
        <v>37</v>
      </c>
      <c r="D521" s="2">
        <v>7936</v>
      </c>
      <c r="E521" s="2">
        <v>243</v>
      </c>
      <c r="F521" s="2">
        <f t="shared" si="24"/>
        <v>332</v>
      </c>
      <c r="G521" s="2">
        <f t="shared" si="22"/>
        <v>22</v>
      </c>
    </row>
    <row r="522" spans="2:9" x14ac:dyDescent="0.2">
      <c r="B522" s="3" t="s">
        <v>13</v>
      </c>
      <c r="C522" s="3" t="s">
        <v>14</v>
      </c>
      <c r="D522" s="2">
        <v>7696</v>
      </c>
      <c r="F522" s="2">
        <f t="shared" si="24"/>
        <v>424</v>
      </c>
      <c r="H522" s="2">
        <f t="shared" si="23"/>
        <v>8062</v>
      </c>
      <c r="I522" s="2">
        <v>156806</v>
      </c>
    </row>
    <row r="523" spans="2:9" x14ac:dyDescent="0.2">
      <c r="B523" s="3"/>
      <c r="C523" s="3" t="s">
        <v>15</v>
      </c>
      <c r="D523" s="4">
        <v>8297</v>
      </c>
      <c r="E523" s="2">
        <v>334</v>
      </c>
      <c r="F523" s="2">
        <f t="shared" si="24"/>
        <v>553</v>
      </c>
      <c r="G523" s="2">
        <f t="shared" si="22"/>
        <v>40</v>
      </c>
    </row>
    <row r="524" spans="2:9" x14ac:dyDescent="0.2">
      <c r="B524" s="3"/>
      <c r="C524" s="3" t="s">
        <v>12</v>
      </c>
      <c r="D524" s="4">
        <v>4914</v>
      </c>
      <c r="E524" s="2">
        <v>193</v>
      </c>
      <c r="F524" s="2">
        <f t="shared" si="24"/>
        <v>330</v>
      </c>
      <c r="G524" s="2">
        <f t="shared" si="22"/>
        <v>15</v>
      </c>
    </row>
    <row r="525" spans="2:9" x14ac:dyDescent="0.2">
      <c r="B525" s="3"/>
      <c r="C525" s="3" t="s">
        <v>33</v>
      </c>
      <c r="D525" s="4">
        <v>3659</v>
      </c>
      <c r="E525" s="2">
        <v>215</v>
      </c>
      <c r="F525" s="2">
        <f t="shared" si="24"/>
        <v>160</v>
      </c>
      <c r="G525" s="2">
        <f t="shared" si="22"/>
        <v>20</v>
      </c>
    </row>
    <row r="526" spans="2:9" x14ac:dyDescent="0.2">
      <c r="B526" s="3"/>
      <c r="C526" s="3" t="s">
        <v>34</v>
      </c>
      <c r="D526" s="4">
        <v>2952</v>
      </c>
      <c r="E526" s="2">
        <v>129</v>
      </c>
      <c r="F526" s="2">
        <f t="shared" si="24"/>
        <v>187</v>
      </c>
      <c r="G526" s="2">
        <f t="shared" si="22"/>
        <v>11</v>
      </c>
    </row>
    <row r="527" spans="2:9" x14ac:dyDescent="0.2">
      <c r="B527" s="3" t="s">
        <v>23</v>
      </c>
      <c r="C527" s="3" t="s">
        <v>24</v>
      </c>
      <c r="D527" s="2">
        <v>13471</v>
      </c>
      <c r="E527" s="2">
        <v>1070</v>
      </c>
      <c r="F527" s="2">
        <f t="shared" si="24"/>
        <v>238</v>
      </c>
      <c r="G527" s="2">
        <f t="shared" si="22"/>
        <v>26</v>
      </c>
      <c r="H527" s="2">
        <f t="shared" si="23"/>
        <v>768</v>
      </c>
      <c r="I527" s="2">
        <f>SUM(30791+68936)</f>
        <v>99727</v>
      </c>
    </row>
    <row r="528" spans="2:9" x14ac:dyDescent="0.2">
      <c r="B528" s="3"/>
      <c r="C528" s="3" t="s">
        <v>25</v>
      </c>
      <c r="D528" s="2">
        <v>6021</v>
      </c>
      <c r="E528" s="2">
        <v>458</v>
      </c>
      <c r="F528" s="2">
        <f t="shared" si="24"/>
        <v>120</v>
      </c>
      <c r="G528" s="2">
        <f t="shared" si="22"/>
        <v>16</v>
      </c>
    </row>
    <row r="529" spans="1:9" x14ac:dyDescent="0.2">
      <c r="B529" s="3"/>
      <c r="C529" s="3" t="s">
        <v>28</v>
      </c>
      <c r="D529" s="2">
        <v>4251</v>
      </c>
      <c r="E529" s="2">
        <v>384</v>
      </c>
      <c r="F529" s="2">
        <f t="shared" si="24"/>
        <v>106</v>
      </c>
      <c r="G529" s="2">
        <f t="shared" si="22"/>
        <v>11</v>
      </c>
    </row>
    <row r="530" spans="1:9" x14ac:dyDescent="0.2">
      <c r="B530" s="3"/>
      <c r="C530" s="3" t="s">
        <v>38</v>
      </c>
      <c r="D530" s="2">
        <v>1228</v>
      </c>
      <c r="E530" s="2">
        <v>112</v>
      </c>
      <c r="F530" s="2">
        <f t="shared" si="24"/>
        <v>31</v>
      </c>
      <c r="G530" s="2">
        <f t="shared" si="22"/>
        <v>6</v>
      </c>
    </row>
    <row r="531" spans="1:9" x14ac:dyDescent="0.2">
      <c r="B531" s="3"/>
      <c r="C531" s="3" t="s">
        <v>39</v>
      </c>
      <c r="D531" s="2">
        <v>870</v>
      </c>
      <c r="E531" s="2">
        <v>29</v>
      </c>
      <c r="F531" s="2">
        <f t="shared" si="24"/>
        <v>15</v>
      </c>
      <c r="G531" s="2">
        <f t="shared" si="22"/>
        <v>4</v>
      </c>
    </row>
    <row r="532" spans="1:9" x14ac:dyDescent="0.2">
      <c r="B532" s="3" t="s">
        <v>16</v>
      </c>
      <c r="C532" s="3" t="s">
        <v>17</v>
      </c>
      <c r="D532" s="2">
        <v>8563</v>
      </c>
      <c r="E532" s="2">
        <v>298</v>
      </c>
      <c r="G532" s="2">
        <f t="shared" si="22"/>
        <v>0</v>
      </c>
      <c r="H532" s="2">
        <f t="shared" si="23"/>
        <v>6592</v>
      </c>
      <c r="I532" s="2">
        <f>SUM(31069+122896)</f>
        <v>153965</v>
      </c>
    </row>
    <row r="533" spans="1:9" x14ac:dyDescent="0.2">
      <c r="B533" s="3"/>
      <c r="C533" s="3" t="s">
        <v>18</v>
      </c>
      <c r="D533" s="2">
        <v>2781</v>
      </c>
      <c r="E533" s="2">
        <v>147</v>
      </c>
      <c r="F533" s="2">
        <f t="shared" si="24"/>
        <v>97</v>
      </c>
      <c r="G533" s="2">
        <f t="shared" si="22"/>
        <v>19</v>
      </c>
    </row>
    <row r="534" spans="1:9" x14ac:dyDescent="0.2">
      <c r="B534" s="3"/>
      <c r="C534" s="3" t="s">
        <v>19</v>
      </c>
      <c r="D534" s="4">
        <v>2372</v>
      </c>
      <c r="E534" s="2">
        <v>78</v>
      </c>
      <c r="F534" s="2">
        <f t="shared" si="24"/>
        <v>91</v>
      </c>
      <c r="G534" s="2">
        <f t="shared" si="22"/>
        <v>4</v>
      </c>
    </row>
    <row r="535" spans="1:9" x14ac:dyDescent="0.2">
      <c r="B535" s="3"/>
      <c r="C535" s="3" t="s">
        <v>40</v>
      </c>
      <c r="D535" s="4">
        <v>2141</v>
      </c>
      <c r="E535" s="2">
        <v>29</v>
      </c>
      <c r="F535" s="2">
        <f t="shared" si="24"/>
        <v>49</v>
      </c>
      <c r="G535" s="2">
        <f t="shared" si="22"/>
        <v>0</v>
      </c>
    </row>
    <row r="536" spans="1:9" x14ac:dyDescent="0.2">
      <c r="B536" s="3"/>
      <c r="C536" s="3" t="s">
        <v>41</v>
      </c>
      <c r="D536" s="4">
        <v>1748</v>
      </c>
      <c r="E536" s="2">
        <v>40</v>
      </c>
      <c r="F536" s="2">
        <f t="shared" si="24"/>
        <v>211</v>
      </c>
      <c r="G536" s="2">
        <f t="shared" si="22"/>
        <v>6</v>
      </c>
    </row>
    <row r="537" spans="1:9" x14ac:dyDescent="0.2">
      <c r="B537" s="3" t="s">
        <v>20</v>
      </c>
      <c r="C537" s="3" t="s">
        <v>22</v>
      </c>
      <c r="D537" s="4">
        <v>11984</v>
      </c>
      <c r="E537" s="2">
        <v>576</v>
      </c>
      <c r="F537" s="2">
        <f t="shared" si="24"/>
        <v>630</v>
      </c>
      <c r="G537" s="2">
        <f t="shared" si="22"/>
        <v>81</v>
      </c>
      <c r="H537" s="2">
        <f t="shared" si="23"/>
        <v>8052</v>
      </c>
      <c r="I537" s="2">
        <f>SUM(28963+230703)</f>
        <v>259666</v>
      </c>
    </row>
    <row r="538" spans="1:9" x14ac:dyDescent="0.2">
      <c r="B538" s="3"/>
      <c r="C538" s="3" t="s">
        <v>26</v>
      </c>
      <c r="D538" s="4">
        <v>2215</v>
      </c>
      <c r="E538" s="2">
        <v>83</v>
      </c>
      <c r="F538" s="2">
        <f t="shared" si="24"/>
        <v>55</v>
      </c>
      <c r="G538" s="2">
        <f t="shared" si="22"/>
        <v>0</v>
      </c>
    </row>
    <row r="539" spans="1:9" x14ac:dyDescent="0.2">
      <c r="B539" s="3"/>
      <c r="C539" s="3" t="s">
        <v>27</v>
      </c>
      <c r="D539" s="4">
        <v>2257</v>
      </c>
      <c r="E539" s="2">
        <v>78</v>
      </c>
      <c r="F539" s="2">
        <f t="shared" si="24"/>
        <v>177</v>
      </c>
      <c r="G539" s="2">
        <f t="shared" si="22"/>
        <v>5</v>
      </c>
    </row>
    <row r="540" spans="1:9" x14ac:dyDescent="0.2">
      <c r="B540" s="3"/>
      <c r="C540" s="3" t="s">
        <v>42</v>
      </c>
      <c r="D540" s="4"/>
    </row>
    <row r="541" spans="1:9" x14ac:dyDescent="0.2">
      <c r="B541" s="3"/>
      <c r="C541" s="3" t="s">
        <v>43</v>
      </c>
      <c r="D541" s="4">
        <v>1556</v>
      </c>
      <c r="E541" s="2">
        <v>32</v>
      </c>
      <c r="F541" s="2">
        <f t="shared" si="24"/>
        <v>55</v>
      </c>
      <c r="G541" s="2">
        <f t="shared" si="22"/>
        <v>4</v>
      </c>
    </row>
    <row r="542" spans="1:9" x14ac:dyDescent="0.2">
      <c r="A542" s="1">
        <v>43940</v>
      </c>
      <c r="B542" s="3" t="s">
        <v>5</v>
      </c>
      <c r="C542" s="3" t="s">
        <v>6</v>
      </c>
      <c r="E542" s="2">
        <v>2646</v>
      </c>
      <c r="G542" s="2">
        <f t="shared" si="22"/>
        <v>103</v>
      </c>
      <c r="H542" s="2">
        <f t="shared" si="23"/>
        <v>21023</v>
      </c>
      <c r="I542" s="2">
        <f>SUM(242786+374769)</f>
        <v>617555</v>
      </c>
    </row>
    <row r="543" spans="1:9" x14ac:dyDescent="0.2">
      <c r="B543" s="3"/>
      <c r="C543" s="3" t="s">
        <v>7</v>
      </c>
      <c r="E543" s="2">
        <v>2606</v>
      </c>
      <c r="G543" s="2">
        <f t="shared" si="22"/>
        <v>116</v>
      </c>
    </row>
    <row r="544" spans="1:9" x14ac:dyDescent="0.2">
      <c r="B544" s="3"/>
      <c r="C544" s="3" t="s">
        <v>8</v>
      </c>
      <c r="D544" s="2">
        <v>30013</v>
      </c>
      <c r="E544" s="2">
        <v>1577</v>
      </c>
      <c r="F544" s="2">
        <f t="shared" si="24"/>
        <v>833</v>
      </c>
      <c r="G544" s="2">
        <f t="shared" si="22"/>
        <v>221</v>
      </c>
    </row>
    <row r="545" spans="2:9" x14ac:dyDescent="0.2">
      <c r="B545" s="3"/>
      <c r="C545" s="3" t="s">
        <v>35</v>
      </c>
      <c r="D545" s="2">
        <v>28875</v>
      </c>
      <c r="E545" s="2">
        <v>2036</v>
      </c>
      <c r="F545" s="2">
        <f t="shared" si="24"/>
        <v>859</v>
      </c>
      <c r="G545" s="2">
        <f t="shared" ref="G545:G608" si="25">SUM(E545-E515)</f>
        <v>61</v>
      </c>
    </row>
    <row r="546" spans="2:9" x14ac:dyDescent="0.2">
      <c r="B546" s="3"/>
      <c r="C546" s="3" t="s">
        <v>14</v>
      </c>
      <c r="D546" s="2">
        <v>26888</v>
      </c>
      <c r="E546" s="2">
        <v>845</v>
      </c>
      <c r="F546" s="2">
        <f t="shared" si="24"/>
        <v>745</v>
      </c>
      <c r="G546" s="2">
        <f t="shared" si="25"/>
        <v>139</v>
      </c>
    </row>
    <row r="547" spans="2:9" x14ac:dyDescent="0.2">
      <c r="B547" s="3" t="s">
        <v>9</v>
      </c>
      <c r="C547" s="3" t="s">
        <v>10</v>
      </c>
      <c r="D547" s="2">
        <v>12639</v>
      </c>
      <c r="E547" s="2">
        <v>767</v>
      </c>
      <c r="F547" s="2">
        <f t="shared" si="24"/>
        <v>476</v>
      </c>
      <c r="G547" s="2">
        <f t="shared" si="25"/>
        <v>26</v>
      </c>
      <c r="H547" s="2">
        <f t="shared" ref="H547:H607" si="26">SUM(I547-I517)</f>
        <v>7882</v>
      </c>
      <c r="I547" s="2">
        <f>SUM(85031+85387)</f>
        <v>170418</v>
      </c>
    </row>
    <row r="548" spans="2:9" x14ac:dyDescent="0.2">
      <c r="B548" s="3"/>
      <c r="C548" s="3" t="s">
        <v>11</v>
      </c>
      <c r="D548" s="2">
        <v>10486</v>
      </c>
      <c r="E548" s="2">
        <v>452</v>
      </c>
      <c r="F548" s="2">
        <f t="shared" si="24"/>
        <v>530</v>
      </c>
      <c r="G548" s="2">
        <f t="shared" si="25"/>
        <v>18</v>
      </c>
    </row>
    <row r="549" spans="2:9" x14ac:dyDescent="0.2">
      <c r="B549" s="3"/>
      <c r="C549" s="3" t="s">
        <v>12</v>
      </c>
      <c r="D549" s="2">
        <v>10304</v>
      </c>
      <c r="E549" s="2">
        <v>740</v>
      </c>
      <c r="F549" s="2">
        <f t="shared" si="24"/>
        <v>403</v>
      </c>
      <c r="G549" s="2">
        <f t="shared" si="25"/>
        <v>8</v>
      </c>
    </row>
    <row r="550" spans="2:9" x14ac:dyDescent="0.2">
      <c r="B550" s="3"/>
      <c r="C550" s="3" t="s">
        <v>36</v>
      </c>
      <c r="D550" s="2">
        <v>9609</v>
      </c>
      <c r="E550" s="2">
        <v>372</v>
      </c>
      <c r="F550" s="2">
        <f t="shared" si="24"/>
        <v>650</v>
      </c>
      <c r="G550" s="2">
        <f t="shared" si="25"/>
        <v>16</v>
      </c>
    </row>
    <row r="551" spans="2:9" x14ac:dyDescent="0.2">
      <c r="B551" s="3"/>
      <c r="C551" s="3" t="s">
        <v>37</v>
      </c>
      <c r="D551" s="2">
        <v>8288</v>
      </c>
      <c r="E551" s="2">
        <v>250</v>
      </c>
      <c r="F551" s="2">
        <f t="shared" si="24"/>
        <v>352</v>
      </c>
      <c r="G551" s="2">
        <f t="shared" si="25"/>
        <v>7</v>
      </c>
    </row>
    <row r="552" spans="2:9" x14ac:dyDescent="0.2">
      <c r="B552" s="3" t="s">
        <v>13</v>
      </c>
      <c r="C552" s="3" t="s">
        <v>14</v>
      </c>
      <c r="D552" s="2">
        <v>8074</v>
      </c>
      <c r="F552" s="2">
        <f t="shared" si="24"/>
        <v>378</v>
      </c>
      <c r="G552" s="2">
        <f t="shared" si="25"/>
        <v>0</v>
      </c>
      <c r="H552" s="2">
        <f t="shared" si="26"/>
        <v>5435</v>
      </c>
      <c r="I552" s="2">
        <v>162241</v>
      </c>
    </row>
    <row r="553" spans="2:9" x14ac:dyDescent="0.2">
      <c r="B553" s="3"/>
      <c r="C553" s="3" t="s">
        <v>15</v>
      </c>
      <c r="D553" s="4">
        <v>8737</v>
      </c>
      <c r="E553" s="2">
        <v>334</v>
      </c>
      <c r="F553" s="2">
        <f t="shared" si="24"/>
        <v>440</v>
      </c>
      <c r="G553" s="2">
        <f t="shared" si="25"/>
        <v>0</v>
      </c>
    </row>
    <row r="554" spans="2:9" x14ac:dyDescent="0.2">
      <c r="B554" s="3"/>
      <c r="C554" s="3" t="s">
        <v>12</v>
      </c>
      <c r="D554" s="4">
        <v>5153</v>
      </c>
      <c r="E554" s="2">
        <v>193</v>
      </c>
      <c r="F554" s="2">
        <f t="shared" si="24"/>
        <v>239</v>
      </c>
      <c r="G554" s="2">
        <f t="shared" si="25"/>
        <v>0</v>
      </c>
    </row>
    <row r="555" spans="2:9" x14ac:dyDescent="0.2">
      <c r="B555" s="3"/>
      <c r="C555" s="3" t="s">
        <v>33</v>
      </c>
      <c r="D555" s="4">
        <v>3789</v>
      </c>
      <c r="E555" s="2">
        <v>215</v>
      </c>
      <c r="F555" s="2">
        <f t="shared" si="24"/>
        <v>130</v>
      </c>
      <c r="G555" s="2">
        <f t="shared" si="25"/>
        <v>0</v>
      </c>
    </row>
    <row r="556" spans="2:9" x14ac:dyDescent="0.2">
      <c r="B556" s="3"/>
      <c r="C556" s="3" t="s">
        <v>34</v>
      </c>
      <c r="D556" s="4">
        <v>3069</v>
      </c>
      <c r="E556" s="2">
        <v>129</v>
      </c>
      <c r="F556" s="2">
        <f t="shared" si="24"/>
        <v>117</v>
      </c>
      <c r="G556" s="2">
        <f t="shared" si="25"/>
        <v>0</v>
      </c>
    </row>
    <row r="557" spans="2:9" x14ac:dyDescent="0.2">
      <c r="B557" s="3" t="s">
        <v>23</v>
      </c>
      <c r="C557" s="3" t="s">
        <v>24</v>
      </c>
      <c r="D557" s="2">
        <v>13692</v>
      </c>
      <c r="E557" s="2">
        <v>1119</v>
      </c>
      <c r="F557" s="2">
        <f t="shared" si="24"/>
        <v>221</v>
      </c>
      <c r="G557" s="2">
        <f t="shared" si="25"/>
        <v>49</v>
      </c>
      <c r="H557" s="2">
        <f t="shared" si="26"/>
        <v>9934</v>
      </c>
      <c r="I557" s="2">
        <f>SUM(31424+78237)</f>
        <v>109661</v>
      </c>
    </row>
    <row r="558" spans="2:9" x14ac:dyDescent="0.2">
      <c r="B558" s="3"/>
      <c r="C558" s="3" t="s">
        <v>25</v>
      </c>
      <c r="D558" s="2">
        <v>6109</v>
      </c>
      <c r="E558" s="2">
        <v>471</v>
      </c>
      <c r="F558" s="2">
        <f t="shared" si="24"/>
        <v>88</v>
      </c>
      <c r="G558" s="2">
        <f t="shared" si="25"/>
        <v>13</v>
      </c>
    </row>
    <row r="559" spans="2:9" x14ac:dyDescent="0.2">
      <c r="B559" s="3"/>
      <c r="C559" s="3" t="s">
        <v>28</v>
      </c>
      <c r="D559" s="2">
        <v>4360</v>
      </c>
      <c r="E559" s="2">
        <v>391</v>
      </c>
      <c r="F559" s="2">
        <f t="shared" ref="F559:F621" si="27">SUM(D559-D529)</f>
        <v>109</v>
      </c>
      <c r="G559" s="2">
        <f t="shared" si="25"/>
        <v>7</v>
      </c>
    </row>
    <row r="560" spans="2:9" x14ac:dyDescent="0.2">
      <c r="B560" s="3"/>
      <c r="C560" s="3" t="s">
        <v>38</v>
      </c>
      <c r="D560" s="2">
        <v>1240</v>
      </c>
      <c r="E560" s="2">
        <v>115</v>
      </c>
      <c r="F560" s="2">
        <f t="shared" si="27"/>
        <v>12</v>
      </c>
      <c r="G560" s="2">
        <f t="shared" si="25"/>
        <v>3</v>
      </c>
    </row>
    <row r="561" spans="1:9" x14ac:dyDescent="0.2">
      <c r="B561" s="3"/>
      <c r="C561" s="3" t="s">
        <v>39</v>
      </c>
      <c r="D561" s="2">
        <v>870</v>
      </c>
      <c r="E561" s="2">
        <v>30</v>
      </c>
      <c r="F561" s="2">
        <f t="shared" si="27"/>
        <v>0</v>
      </c>
      <c r="G561" s="2">
        <f t="shared" si="25"/>
        <v>1</v>
      </c>
    </row>
    <row r="562" spans="1:9" x14ac:dyDescent="0.2">
      <c r="B562" s="3" t="s">
        <v>16</v>
      </c>
      <c r="C562" s="3" t="s">
        <v>17</v>
      </c>
      <c r="D562" s="4">
        <v>9214</v>
      </c>
      <c r="E562" s="2">
        <v>365</v>
      </c>
      <c r="F562" s="2">
        <f>SUM(D562-D532)</f>
        <v>651</v>
      </c>
      <c r="G562" s="2">
        <f t="shared" si="25"/>
        <v>67</v>
      </c>
      <c r="H562" s="2">
        <f t="shared" si="26"/>
        <v>4889</v>
      </c>
      <c r="I562" s="2">
        <f>SUM(32284+126570)</f>
        <v>158854</v>
      </c>
    </row>
    <row r="563" spans="1:9" x14ac:dyDescent="0.2">
      <c r="B563" s="3"/>
      <c r="C563" s="3" t="s">
        <v>18</v>
      </c>
      <c r="D563" s="4">
        <v>2913</v>
      </c>
      <c r="E563" s="2">
        <v>164</v>
      </c>
      <c r="F563" s="2">
        <f t="shared" si="27"/>
        <v>132</v>
      </c>
      <c r="G563" s="2">
        <f t="shared" si="25"/>
        <v>17</v>
      </c>
    </row>
    <row r="564" spans="1:9" x14ac:dyDescent="0.2">
      <c r="B564" s="3"/>
      <c r="C564" s="3" t="s">
        <v>19</v>
      </c>
      <c r="D564" s="4">
        <v>2460</v>
      </c>
      <c r="E564" s="2">
        <v>91</v>
      </c>
      <c r="F564" s="2">
        <f t="shared" si="27"/>
        <v>88</v>
      </c>
      <c r="G564" s="2">
        <f t="shared" si="25"/>
        <v>13</v>
      </c>
    </row>
    <row r="565" spans="1:9" x14ac:dyDescent="0.2">
      <c r="B565" s="3"/>
      <c r="C565" s="3" t="s">
        <v>40</v>
      </c>
      <c r="D565" s="4">
        <v>2203</v>
      </c>
      <c r="E565" s="2">
        <v>32</v>
      </c>
      <c r="F565" s="2">
        <f t="shared" si="27"/>
        <v>62</v>
      </c>
      <c r="G565" s="2">
        <f t="shared" si="25"/>
        <v>3</v>
      </c>
    </row>
    <row r="566" spans="1:9" x14ac:dyDescent="0.2">
      <c r="B566" s="3"/>
      <c r="C566" s="3" t="s">
        <v>41</v>
      </c>
      <c r="D566" s="4">
        <v>1898</v>
      </c>
      <c r="E566" s="2">
        <v>65</v>
      </c>
      <c r="F566" s="2">
        <f t="shared" si="27"/>
        <v>150</v>
      </c>
      <c r="G566" s="2">
        <f t="shared" si="25"/>
        <v>25</v>
      </c>
    </row>
    <row r="567" spans="1:9" x14ac:dyDescent="0.2">
      <c r="B567" s="3" t="s">
        <v>20</v>
      </c>
      <c r="C567" s="3" t="s">
        <v>22</v>
      </c>
      <c r="D567" s="4">
        <v>12299</v>
      </c>
      <c r="E567" s="2">
        <v>600</v>
      </c>
      <c r="F567" s="2">
        <f t="shared" si="27"/>
        <v>315</v>
      </c>
      <c r="G567" s="2">
        <f t="shared" si="25"/>
        <v>24</v>
      </c>
      <c r="H567" s="2">
        <f t="shared" si="26"/>
        <v>21234</v>
      </c>
      <c r="I567" s="2">
        <f>SUM(30333+250567)</f>
        <v>280900</v>
      </c>
    </row>
    <row r="568" spans="1:9" x14ac:dyDescent="0.2">
      <c r="B568" s="3"/>
      <c r="C568" s="3" t="s">
        <v>26</v>
      </c>
      <c r="D568" s="4">
        <v>2270</v>
      </c>
      <c r="E568" s="2">
        <v>83</v>
      </c>
      <c r="F568" s="2">
        <f t="shared" si="27"/>
        <v>55</v>
      </c>
      <c r="G568" s="2">
        <f t="shared" si="25"/>
        <v>0</v>
      </c>
    </row>
    <row r="569" spans="1:9" x14ac:dyDescent="0.2">
      <c r="B569" s="3"/>
      <c r="C569" s="3" t="s">
        <v>27</v>
      </c>
      <c r="D569" s="4">
        <v>2316</v>
      </c>
      <c r="E569" s="2">
        <v>83</v>
      </c>
      <c r="F569" s="2">
        <f t="shared" si="27"/>
        <v>59</v>
      </c>
      <c r="G569" s="2">
        <f t="shared" si="25"/>
        <v>5</v>
      </c>
    </row>
    <row r="570" spans="1:9" x14ac:dyDescent="0.2">
      <c r="B570" s="3"/>
      <c r="C570" s="3" t="s">
        <v>42</v>
      </c>
      <c r="D570" s="2">
        <v>1878</v>
      </c>
      <c r="E570" s="2">
        <v>79</v>
      </c>
      <c r="G570" s="2">
        <f t="shared" si="25"/>
        <v>79</v>
      </c>
    </row>
    <row r="571" spans="1:9" x14ac:dyDescent="0.2">
      <c r="B571" s="3"/>
      <c r="C571" s="3" t="s">
        <v>43</v>
      </c>
      <c r="D571" s="2">
        <v>1591</v>
      </c>
      <c r="E571" s="2">
        <v>32</v>
      </c>
      <c r="F571" s="2">
        <f t="shared" si="27"/>
        <v>35</v>
      </c>
      <c r="G571" s="2">
        <f t="shared" si="25"/>
        <v>0</v>
      </c>
    </row>
    <row r="572" spans="1:9" x14ac:dyDescent="0.2">
      <c r="A572" s="1">
        <v>43941</v>
      </c>
      <c r="B572" s="3" t="s">
        <v>5</v>
      </c>
      <c r="C572" s="3" t="s">
        <v>6</v>
      </c>
      <c r="D572" s="2">
        <v>42023</v>
      </c>
      <c r="E572" s="2">
        <v>2665</v>
      </c>
      <c r="G572" s="2">
        <f t="shared" si="25"/>
        <v>19</v>
      </c>
      <c r="H572" s="2">
        <f t="shared" si="26"/>
        <v>16306</v>
      </c>
      <c r="I572" s="2">
        <v>633861</v>
      </c>
    </row>
    <row r="573" spans="1:9" x14ac:dyDescent="0.2">
      <c r="B573" s="3"/>
      <c r="C573" s="3" t="s">
        <v>7</v>
      </c>
      <c r="D573" s="2">
        <v>37030</v>
      </c>
      <c r="E573" s="2">
        <v>2974</v>
      </c>
      <c r="G573" s="2">
        <f t="shared" si="25"/>
        <v>368</v>
      </c>
    </row>
    <row r="574" spans="1:9" x14ac:dyDescent="0.2">
      <c r="B574" s="3"/>
      <c r="C574" s="3" t="s">
        <v>8</v>
      </c>
      <c r="D574" s="2">
        <v>30677</v>
      </c>
      <c r="E574" s="2">
        <v>1638</v>
      </c>
      <c r="F574" s="2">
        <f t="shared" si="27"/>
        <v>664</v>
      </c>
      <c r="G574" s="2">
        <f t="shared" si="25"/>
        <v>61</v>
      </c>
    </row>
    <row r="575" spans="1:9" x14ac:dyDescent="0.2">
      <c r="B575" s="3"/>
      <c r="C575" s="3" t="s">
        <v>35</v>
      </c>
      <c r="D575" s="2">
        <v>29372</v>
      </c>
      <c r="F575" s="2">
        <f t="shared" si="27"/>
        <v>497</v>
      </c>
    </row>
    <row r="576" spans="1:9" x14ac:dyDescent="0.2">
      <c r="B576" s="3"/>
      <c r="C576" s="3" t="s">
        <v>14</v>
      </c>
      <c r="D576" s="2">
        <v>27662</v>
      </c>
      <c r="E576" s="2">
        <v>887</v>
      </c>
      <c r="F576" s="2">
        <f t="shared" si="27"/>
        <v>774</v>
      </c>
      <c r="G576" s="2">
        <f t="shared" si="25"/>
        <v>42</v>
      </c>
    </row>
    <row r="577" spans="2:9" x14ac:dyDescent="0.2">
      <c r="B577" s="3" t="s">
        <v>9</v>
      </c>
      <c r="C577" s="3" t="s">
        <v>10</v>
      </c>
      <c r="D577" s="2">
        <v>13011</v>
      </c>
      <c r="E577" s="2">
        <v>787</v>
      </c>
      <c r="F577" s="2">
        <f t="shared" si="27"/>
        <v>372</v>
      </c>
      <c r="G577" s="2">
        <f t="shared" si="25"/>
        <v>20</v>
      </c>
      <c r="H577" s="2">
        <f t="shared" si="26"/>
        <v>7639</v>
      </c>
      <c r="I577" s="2">
        <f>SUM(88806+89251)</f>
        <v>178057</v>
      </c>
    </row>
    <row r="578" spans="2:9" x14ac:dyDescent="0.2">
      <c r="B578" s="3"/>
      <c r="C578" s="3" t="s">
        <v>11</v>
      </c>
      <c r="D578" s="2">
        <v>11150</v>
      </c>
      <c r="E578" s="4">
        <v>492</v>
      </c>
      <c r="F578" s="2">
        <f t="shared" si="27"/>
        <v>664</v>
      </c>
      <c r="G578" s="2">
        <f t="shared" si="25"/>
        <v>40</v>
      </c>
    </row>
    <row r="579" spans="2:9" x14ac:dyDescent="0.2">
      <c r="B579" s="3"/>
      <c r="C579" s="3" t="s">
        <v>12</v>
      </c>
      <c r="D579" s="2">
        <v>10729</v>
      </c>
      <c r="E579" s="4">
        <v>751</v>
      </c>
      <c r="F579" s="2">
        <f t="shared" si="27"/>
        <v>425</v>
      </c>
      <c r="G579" s="2">
        <f t="shared" si="25"/>
        <v>11</v>
      </c>
    </row>
    <row r="580" spans="2:9" x14ac:dyDescent="0.2">
      <c r="B580" s="3"/>
      <c r="C580" s="3" t="s">
        <v>36</v>
      </c>
      <c r="D580" s="2">
        <v>9972</v>
      </c>
      <c r="E580" s="4">
        <v>387</v>
      </c>
      <c r="F580" s="2">
        <f t="shared" si="27"/>
        <v>363</v>
      </c>
      <c r="G580" s="2">
        <f t="shared" si="25"/>
        <v>15</v>
      </c>
    </row>
    <row r="581" spans="2:9" x14ac:dyDescent="0.2">
      <c r="B581" s="3"/>
      <c r="C581" s="3" t="s">
        <v>37</v>
      </c>
      <c r="D581" s="2">
        <v>8479</v>
      </c>
      <c r="E581" s="4">
        <v>263</v>
      </c>
      <c r="F581" s="2">
        <f t="shared" si="27"/>
        <v>191</v>
      </c>
      <c r="G581" s="2">
        <f t="shared" si="25"/>
        <v>13</v>
      </c>
    </row>
    <row r="582" spans="2:9" x14ac:dyDescent="0.2">
      <c r="B582" s="3" t="s">
        <v>13</v>
      </c>
      <c r="C582" s="3" t="s">
        <v>14</v>
      </c>
      <c r="D582" s="2">
        <v>8314</v>
      </c>
      <c r="E582" s="4">
        <v>263</v>
      </c>
      <c r="F582" s="2">
        <f t="shared" si="27"/>
        <v>240</v>
      </c>
      <c r="H582" s="2">
        <f t="shared" si="26"/>
        <v>7157</v>
      </c>
      <c r="I582" s="2">
        <v>169398</v>
      </c>
    </row>
    <row r="583" spans="2:9" x14ac:dyDescent="0.2">
      <c r="B583" s="3"/>
      <c r="C583" s="3" t="s">
        <v>15</v>
      </c>
      <c r="D583" s="2">
        <v>9253</v>
      </c>
      <c r="E583" s="4">
        <v>402</v>
      </c>
      <c r="F583" s="2">
        <f t="shared" si="27"/>
        <v>516</v>
      </c>
      <c r="G583" s="2">
        <f t="shared" si="25"/>
        <v>68</v>
      </c>
    </row>
    <row r="584" spans="2:9" x14ac:dyDescent="0.2">
      <c r="B584" s="3"/>
      <c r="C584" s="3" t="s">
        <v>12</v>
      </c>
      <c r="D584" s="2">
        <v>5296</v>
      </c>
      <c r="E584" s="4">
        <v>225</v>
      </c>
      <c r="F584" s="2">
        <f t="shared" si="27"/>
        <v>143</v>
      </c>
      <c r="G584" s="2">
        <f t="shared" si="25"/>
        <v>32</v>
      </c>
    </row>
    <row r="585" spans="2:9" x14ac:dyDescent="0.2">
      <c r="B585" s="3"/>
      <c r="C585" s="3" t="s">
        <v>33</v>
      </c>
      <c r="D585" s="2">
        <v>3960</v>
      </c>
      <c r="E585" s="4">
        <v>263</v>
      </c>
      <c r="F585" s="2">
        <f t="shared" si="27"/>
        <v>171</v>
      </c>
      <c r="G585" s="2">
        <f t="shared" si="25"/>
        <v>48</v>
      </c>
    </row>
    <row r="586" spans="2:9" x14ac:dyDescent="0.2">
      <c r="B586" s="3"/>
      <c r="C586" s="3" t="s">
        <v>34</v>
      </c>
      <c r="D586" s="2">
        <v>3179</v>
      </c>
      <c r="E586" s="4"/>
      <c r="F586" s="2">
        <f t="shared" si="27"/>
        <v>110</v>
      </c>
    </row>
    <row r="587" spans="2:9" x14ac:dyDescent="0.2">
      <c r="B587" s="3" t="s">
        <v>23</v>
      </c>
      <c r="C587" s="3" t="s">
        <v>24</v>
      </c>
      <c r="D587" s="2">
        <v>13912</v>
      </c>
      <c r="E587" s="4">
        <v>1148</v>
      </c>
      <c r="F587" s="2">
        <f t="shared" si="27"/>
        <v>220</v>
      </c>
      <c r="G587" s="2">
        <f t="shared" si="25"/>
        <v>29</v>
      </c>
      <c r="H587" s="2">
        <f t="shared" si="26"/>
        <v>4137</v>
      </c>
      <c r="I587" s="2">
        <f>SUM(32000+81798)</f>
        <v>113798</v>
      </c>
    </row>
    <row r="588" spans="2:9" x14ac:dyDescent="0.2">
      <c r="B588" s="3"/>
      <c r="C588" s="3" t="s">
        <v>25</v>
      </c>
      <c r="D588" s="2">
        <v>6178</v>
      </c>
      <c r="E588" s="4">
        <v>479</v>
      </c>
      <c r="F588" s="2">
        <f t="shared" si="27"/>
        <v>69</v>
      </c>
      <c r="G588" s="2">
        <f t="shared" si="25"/>
        <v>8</v>
      </c>
    </row>
    <row r="589" spans="2:9" x14ac:dyDescent="0.2">
      <c r="B589" s="3"/>
      <c r="C589" s="3" t="s">
        <v>28</v>
      </c>
      <c r="D589" s="2">
        <v>4425</v>
      </c>
      <c r="E589" s="4">
        <v>403</v>
      </c>
      <c r="F589" s="2">
        <f t="shared" si="27"/>
        <v>65</v>
      </c>
      <c r="G589" s="2">
        <f t="shared" si="25"/>
        <v>12</v>
      </c>
    </row>
    <row r="590" spans="2:9" x14ac:dyDescent="0.2">
      <c r="B590" s="3"/>
      <c r="C590" s="3" t="s">
        <v>38</v>
      </c>
      <c r="D590" s="2">
        <v>1256</v>
      </c>
      <c r="E590" s="4">
        <v>123</v>
      </c>
      <c r="F590" s="2">
        <f t="shared" si="27"/>
        <v>16</v>
      </c>
      <c r="G590" s="2">
        <f t="shared" si="25"/>
        <v>8</v>
      </c>
    </row>
    <row r="591" spans="2:9" x14ac:dyDescent="0.2">
      <c r="B591" s="3"/>
      <c r="C591" s="3" t="s">
        <v>39</v>
      </c>
      <c r="D591" s="2">
        <v>878</v>
      </c>
      <c r="E591" s="4">
        <v>31</v>
      </c>
      <c r="F591" s="2">
        <f t="shared" si="27"/>
        <v>8</v>
      </c>
      <c r="G591" s="2">
        <f t="shared" si="25"/>
        <v>1</v>
      </c>
    </row>
    <row r="592" spans="2:9" x14ac:dyDescent="0.2">
      <c r="B592" s="3" t="s">
        <v>16</v>
      </c>
      <c r="C592" s="3" t="s">
        <v>17</v>
      </c>
      <c r="E592" s="4"/>
      <c r="H592" s="2">
        <f t="shared" si="26"/>
        <v>4098</v>
      </c>
      <c r="I592" s="2">
        <f>SUM(33232+129720)</f>
        <v>162952</v>
      </c>
    </row>
    <row r="593" spans="1:9" x14ac:dyDescent="0.2">
      <c r="B593" s="3"/>
      <c r="C593" s="3" t="s">
        <v>18</v>
      </c>
      <c r="D593" s="2">
        <v>3040</v>
      </c>
      <c r="E593" s="4">
        <v>184</v>
      </c>
      <c r="F593" s="2">
        <f t="shared" si="27"/>
        <v>127</v>
      </c>
      <c r="G593" s="2">
        <f t="shared" si="25"/>
        <v>20</v>
      </c>
    </row>
    <row r="594" spans="1:9" x14ac:dyDescent="0.2">
      <c r="B594" s="3"/>
      <c r="C594" s="3" t="s">
        <v>19</v>
      </c>
      <c r="D594" s="2">
        <v>2484</v>
      </c>
      <c r="E594" s="4">
        <v>99</v>
      </c>
      <c r="F594" s="2">
        <f t="shared" si="27"/>
        <v>24</v>
      </c>
      <c r="G594" s="2">
        <f t="shared" si="25"/>
        <v>8</v>
      </c>
    </row>
    <row r="595" spans="1:9" x14ac:dyDescent="0.2">
      <c r="B595" s="3"/>
      <c r="C595" s="3" t="s">
        <v>40</v>
      </c>
      <c r="D595" s="2">
        <v>2245</v>
      </c>
      <c r="E595" s="4">
        <v>33</v>
      </c>
      <c r="F595" s="2">
        <f t="shared" si="27"/>
        <v>42</v>
      </c>
      <c r="G595" s="2">
        <f t="shared" si="25"/>
        <v>1</v>
      </c>
    </row>
    <row r="596" spans="1:9" x14ac:dyDescent="0.2">
      <c r="B596" s="3"/>
      <c r="C596" s="3" t="s">
        <v>41</v>
      </c>
      <c r="D596" s="2">
        <v>1945</v>
      </c>
      <c r="E596" s="4">
        <v>74</v>
      </c>
      <c r="F596" s="2">
        <f t="shared" si="27"/>
        <v>47</v>
      </c>
      <c r="G596" s="2">
        <f t="shared" si="25"/>
        <v>9</v>
      </c>
    </row>
    <row r="597" spans="1:9" x14ac:dyDescent="0.2">
      <c r="B597" s="3" t="s">
        <v>20</v>
      </c>
      <c r="C597" s="3" t="s">
        <v>22</v>
      </c>
      <c r="D597" s="2">
        <v>13787</v>
      </c>
      <c r="E597" s="4">
        <v>617</v>
      </c>
      <c r="F597" s="2">
        <f t="shared" si="27"/>
        <v>1488</v>
      </c>
      <c r="G597" s="2">
        <f t="shared" si="25"/>
        <v>17</v>
      </c>
      <c r="H597" s="2">
        <f t="shared" si="26"/>
        <v>9600</v>
      </c>
      <c r="I597" s="2">
        <f>SUM(30978+259522)</f>
        <v>290500</v>
      </c>
    </row>
    <row r="598" spans="1:9" x14ac:dyDescent="0.2">
      <c r="B598" s="3"/>
      <c r="C598" s="3" t="s">
        <v>26</v>
      </c>
      <c r="D598" s="2">
        <v>2327</v>
      </c>
      <c r="E598" s="4">
        <v>102</v>
      </c>
      <c r="F598" s="2">
        <f t="shared" si="27"/>
        <v>57</v>
      </c>
      <c r="G598" s="2">
        <f t="shared" si="25"/>
        <v>19</v>
      </c>
    </row>
    <row r="599" spans="1:9" x14ac:dyDescent="0.2">
      <c r="B599" s="3"/>
      <c r="C599" s="3" t="s">
        <v>27</v>
      </c>
      <c r="D599" s="2">
        <v>2477</v>
      </c>
      <c r="E599" s="4">
        <v>89</v>
      </c>
      <c r="F599" s="2">
        <f t="shared" si="27"/>
        <v>161</v>
      </c>
      <c r="G599" s="2">
        <f t="shared" si="25"/>
        <v>6</v>
      </c>
    </row>
    <row r="600" spans="1:9" x14ac:dyDescent="0.2">
      <c r="B600" s="3"/>
      <c r="C600" s="3" t="s">
        <v>42</v>
      </c>
      <c r="D600" s="2">
        <v>1920</v>
      </c>
      <c r="E600" s="4">
        <v>83</v>
      </c>
      <c r="F600" s="2">
        <f t="shared" si="27"/>
        <v>42</v>
      </c>
      <c r="G600" s="2">
        <f t="shared" si="25"/>
        <v>4</v>
      </c>
    </row>
    <row r="601" spans="1:9" x14ac:dyDescent="0.2">
      <c r="B601" s="3"/>
      <c r="C601" s="3" t="s">
        <v>43</v>
      </c>
      <c r="D601" s="2">
        <v>1679</v>
      </c>
      <c r="E601" s="4">
        <v>33</v>
      </c>
      <c r="F601" s="2">
        <f t="shared" si="27"/>
        <v>88</v>
      </c>
      <c r="G601" s="2">
        <f t="shared" si="25"/>
        <v>1</v>
      </c>
    </row>
    <row r="602" spans="1:9" x14ac:dyDescent="0.2">
      <c r="A602" s="1">
        <v>43942</v>
      </c>
      <c r="B602" s="3" t="s">
        <v>5</v>
      </c>
      <c r="C602" s="3" t="s">
        <v>6</v>
      </c>
      <c r="D602" s="2">
        <v>42822</v>
      </c>
      <c r="E602" s="4">
        <v>2741</v>
      </c>
      <c r="F602" s="2">
        <f t="shared" si="27"/>
        <v>799</v>
      </c>
      <c r="G602" s="2">
        <f t="shared" si="25"/>
        <v>76</v>
      </c>
      <c r="H602" s="2">
        <f t="shared" si="26"/>
        <v>15464</v>
      </c>
      <c r="I602" s="2">
        <v>649325</v>
      </c>
    </row>
    <row r="603" spans="1:9" x14ac:dyDescent="0.2">
      <c r="B603" s="3"/>
      <c r="C603" s="3" t="s">
        <v>7</v>
      </c>
      <c r="D603" s="2">
        <v>37694</v>
      </c>
      <c r="E603" s="4">
        <v>3057</v>
      </c>
      <c r="F603" s="2">
        <f t="shared" si="27"/>
        <v>664</v>
      </c>
      <c r="G603" s="2">
        <f t="shared" si="25"/>
        <v>83</v>
      </c>
    </row>
    <row r="604" spans="1:9" x14ac:dyDescent="0.2">
      <c r="B604" s="3"/>
      <c r="C604" s="3" t="s">
        <v>8</v>
      </c>
      <c r="D604" s="2">
        <v>31079</v>
      </c>
      <c r="E604" s="4">
        <v>1717</v>
      </c>
      <c r="F604" s="2">
        <f t="shared" si="27"/>
        <v>402</v>
      </c>
      <c r="G604" s="2">
        <f t="shared" si="25"/>
        <v>79</v>
      </c>
    </row>
    <row r="605" spans="1:9" x14ac:dyDescent="0.2">
      <c r="B605" s="3"/>
      <c r="C605" s="3" t="s">
        <v>35</v>
      </c>
      <c r="D605" s="2">
        <v>29989</v>
      </c>
      <c r="E605" s="4">
        <v>2028</v>
      </c>
      <c r="F605" s="2">
        <f t="shared" si="27"/>
        <v>617</v>
      </c>
    </row>
    <row r="606" spans="1:9" x14ac:dyDescent="0.2">
      <c r="B606" s="3"/>
      <c r="C606" s="3" t="s">
        <v>14</v>
      </c>
      <c r="D606" s="2">
        <v>28154</v>
      </c>
      <c r="E606" s="4">
        <v>918</v>
      </c>
      <c r="F606" s="2">
        <f t="shared" si="27"/>
        <v>492</v>
      </c>
      <c r="G606" s="2">
        <f t="shared" si="25"/>
        <v>31</v>
      </c>
    </row>
    <row r="607" spans="1:9" x14ac:dyDescent="0.2">
      <c r="B607" s="3" t="s">
        <v>9</v>
      </c>
      <c r="C607" s="3" t="s">
        <v>10</v>
      </c>
      <c r="D607" s="2">
        <v>13356</v>
      </c>
      <c r="E607" s="4">
        <v>835</v>
      </c>
      <c r="F607" s="2">
        <f t="shared" si="27"/>
        <v>345</v>
      </c>
      <c r="G607" s="2">
        <f t="shared" si="25"/>
        <v>48</v>
      </c>
      <c r="H607" s="2">
        <f t="shared" si="26"/>
        <v>6769</v>
      </c>
      <c r="I607" s="4">
        <f>SUM(92387+92439)</f>
        <v>184826</v>
      </c>
    </row>
    <row r="608" spans="1:9" x14ac:dyDescent="0.2">
      <c r="B608" s="3"/>
      <c r="C608" s="3" t="s">
        <v>11</v>
      </c>
      <c r="D608" s="2">
        <v>11636</v>
      </c>
      <c r="E608" s="4">
        <v>525</v>
      </c>
      <c r="F608" s="2">
        <f t="shared" si="27"/>
        <v>486</v>
      </c>
      <c r="G608" s="2">
        <f t="shared" si="25"/>
        <v>33</v>
      </c>
    </row>
    <row r="609" spans="2:9" x14ac:dyDescent="0.2">
      <c r="B609" s="3"/>
      <c r="C609" s="3" t="s">
        <v>12</v>
      </c>
      <c r="D609" s="2">
        <v>11128</v>
      </c>
      <c r="E609" s="4">
        <v>849</v>
      </c>
      <c r="F609" s="2">
        <f t="shared" si="27"/>
        <v>399</v>
      </c>
      <c r="G609" s="2">
        <f t="shared" ref="G609:G672" si="28">SUM(E609-E579)</f>
        <v>98</v>
      </c>
    </row>
    <row r="610" spans="2:9" x14ac:dyDescent="0.2">
      <c r="B610" s="3"/>
      <c r="C610" s="3" t="s">
        <v>36</v>
      </c>
      <c r="D610" s="2">
        <v>10289</v>
      </c>
      <c r="E610" s="4">
        <v>427</v>
      </c>
      <c r="F610" s="2">
        <f t="shared" si="27"/>
        <v>317</v>
      </c>
      <c r="G610" s="2">
        <f t="shared" si="28"/>
        <v>40</v>
      </c>
    </row>
    <row r="611" spans="2:9" x14ac:dyDescent="0.2">
      <c r="B611" s="3"/>
      <c r="C611" s="3" t="s">
        <v>37</v>
      </c>
      <c r="D611" s="2">
        <v>8941</v>
      </c>
      <c r="E611" s="4">
        <v>294</v>
      </c>
      <c r="F611" s="2">
        <f t="shared" si="27"/>
        <v>462</v>
      </c>
      <c r="G611" s="2">
        <f t="shared" si="28"/>
        <v>31</v>
      </c>
    </row>
    <row r="612" spans="2:9" x14ac:dyDescent="0.2">
      <c r="B612" s="3" t="s">
        <v>13</v>
      </c>
      <c r="C612" s="3" t="s">
        <v>14</v>
      </c>
      <c r="D612" s="2">
        <v>8669</v>
      </c>
      <c r="E612" s="2">
        <v>285</v>
      </c>
      <c r="F612" s="2">
        <f t="shared" si="27"/>
        <v>355</v>
      </c>
      <c r="G612" s="2">
        <f t="shared" si="28"/>
        <v>22</v>
      </c>
      <c r="H612" s="2">
        <f t="shared" ref="H612:H672" si="29">SUM(I612-I582)</f>
        <v>5974</v>
      </c>
      <c r="I612" s="2">
        <v>175372</v>
      </c>
    </row>
    <row r="613" spans="2:9" x14ac:dyDescent="0.2">
      <c r="B613" s="3"/>
      <c r="C613" s="3" t="s">
        <v>15</v>
      </c>
      <c r="D613" s="2">
        <v>9621</v>
      </c>
      <c r="E613" s="2">
        <v>428</v>
      </c>
      <c r="F613" s="2">
        <f t="shared" si="27"/>
        <v>368</v>
      </c>
      <c r="G613" s="2">
        <f t="shared" si="28"/>
        <v>26</v>
      </c>
    </row>
    <row r="614" spans="2:9" x14ac:dyDescent="0.2">
      <c r="B614" s="3"/>
      <c r="C614" s="3" t="s">
        <v>12</v>
      </c>
      <c r="D614" s="2">
        <v>5521</v>
      </c>
      <c r="E614" s="2">
        <v>245</v>
      </c>
      <c r="F614" s="2">
        <f t="shared" si="27"/>
        <v>225</v>
      </c>
      <c r="G614" s="2">
        <f t="shared" si="28"/>
        <v>20</v>
      </c>
    </row>
    <row r="615" spans="2:9" x14ac:dyDescent="0.2">
      <c r="B615" s="3"/>
      <c r="C615" s="3" t="s">
        <v>33</v>
      </c>
      <c r="D615" s="2">
        <v>4062</v>
      </c>
      <c r="E615" s="2">
        <v>290</v>
      </c>
      <c r="F615" s="2">
        <f t="shared" si="27"/>
        <v>102</v>
      </c>
      <c r="G615" s="2">
        <f t="shared" si="28"/>
        <v>27</v>
      </c>
    </row>
    <row r="616" spans="2:9" x14ac:dyDescent="0.2">
      <c r="B616" s="3"/>
      <c r="C616" s="3" t="s">
        <v>34</v>
      </c>
      <c r="D616" s="2">
        <v>3341</v>
      </c>
      <c r="E616" s="2">
        <v>133</v>
      </c>
      <c r="F616" s="2">
        <f t="shared" si="27"/>
        <v>162</v>
      </c>
    </row>
    <row r="617" spans="2:9" x14ac:dyDescent="0.2">
      <c r="B617" s="3" t="s">
        <v>23</v>
      </c>
      <c r="C617" s="3" t="s">
        <v>24</v>
      </c>
      <c r="D617" s="2">
        <v>14255</v>
      </c>
      <c r="E617" s="2">
        <v>1278</v>
      </c>
      <c r="F617" s="2">
        <f t="shared" si="27"/>
        <v>343</v>
      </c>
      <c r="G617" s="2">
        <f t="shared" si="28"/>
        <v>130</v>
      </c>
      <c r="H617" s="2">
        <f>SUM(I617-I587)</f>
        <v>3428</v>
      </c>
      <c r="I617" s="2">
        <f>SUM(32967+84259)</f>
        <v>117226</v>
      </c>
    </row>
    <row r="618" spans="2:9" x14ac:dyDescent="0.2">
      <c r="B618" s="3"/>
      <c r="C618" s="3" t="s">
        <v>25</v>
      </c>
      <c r="D618" s="2">
        <v>6306</v>
      </c>
      <c r="E618" s="2">
        <v>506</v>
      </c>
      <c r="F618" s="2">
        <f t="shared" si="27"/>
        <v>128</v>
      </c>
      <c r="G618" s="2">
        <f t="shared" si="28"/>
        <v>27</v>
      </c>
    </row>
    <row r="619" spans="2:9" x14ac:dyDescent="0.2">
      <c r="B619" s="3"/>
      <c r="C619" s="3" t="s">
        <v>28</v>
      </c>
      <c r="D619" s="2">
        <v>4544</v>
      </c>
      <c r="E619" s="2">
        <v>445</v>
      </c>
      <c r="F619" s="2">
        <f t="shared" si="27"/>
        <v>119</v>
      </c>
      <c r="G619" s="2">
        <f t="shared" si="28"/>
        <v>42</v>
      </c>
    </row>
    <row r="620" spans="2:9" x14ac:dyDescent="0.2">
      <c r="B620" s="3"/>
      <c r="C620" s="3" t="s">
        <v>38</v>
      </c>
      <c r="D620" s="2">
        <v>1298</v>
      </c>
      <c r="E620" s="2">
        <v>131</v>
      </c>
      <c r="F620" s="2">
        <f t="shared" si="27"/>
        <v>42</v>
      </c>
      <c r="G620" s="2">
        <f t="shared" si="28"/>
        <v>8</v>
      </c>
    </row>
    <row r="621" spans="2:9" x14ac:dyDescent="0.2">
      <c r="B621" s="3"/>
      <c r="C621" s="3" t="s">
        <v>39</v>
      </c>
      <c r="D621" s="2">
        <v>900</v>
      </c>
      <c r="E621" s="2">
        <v>38</v>
      </c>
      <c r="F621" s="2">
        <f t="shared" si="27"/>
        <v>22</v>
      </c>
      <c r="G621" s="2">
        <f t="shared" si="28"/>
        <v>7</v>
      </c>
    </row>
    <row r="622" spans="2:9" x14ac:dyDescent="0.2">
      <c r="B622" s="3" t="s">
        <v>16</v>
      </c>
      <c r="C622" s="3" t="s">
        <v>17</v>
      </c>
      <c r="D622" s="2">
        <v>9391</v>
      </c>
      <c r="E622" s="2">
        <v>363</v>
      </c>
      <c r="H622" s="2">
        <f t="shared" si="29"/>
        <v>3899</v>
      </c>
      <c r="I622" s="2">
        <v>166851</v>
      </c>
    </row>
    <row r="623" spans="2:9" x14ac:dyDescent="0.2">
      <c r="B623" s="3"/>
      <c r="C623" s="3" t="s">
        <v>18</v>
      </c>
      <c r="D623" s="2">
        <v>3154</v>
      </c>
      <c r="E623" s="2">
        <v>223</v>
      </c>
      <c r="F623" s="2">
        <f t="shared" ref="F623:F686" si="30">SUM(D623-D593)</f>
        <v>114</v>
      </c>
      <c r="G623" s="2">
        <f t="shared" si="28"/>
        <v>39</v>
      </c>
    </row>
    <row r="624" spans="2:9" x14ac:dyDescent="0.2">
      <c r="B624" s="3"/>
      <c r="C624" s="3" t="s">
        <v>19</v>
      </c>
      <c r="D624" s="2">
        <v>2654</v>
      </c>
      <c r="E624" s="2">
        <v>118</v>
      </c>
      <c r="F624" s="2">
        <f t="shared" si="30"/>
        <v>170</v>
      </c>
      <c r="G624" s="2">
        <f t="shared" si="28"/>
        <v>19</v>
      </c>
    </row>
    <row r="625" spans="1:9" x14ac:dyDescent="0.2">
      <c r="B625" s="3"/>
      <c r="C625" s="3" t="s">
        <v>40</v>
      </c>
      <c r="D625" s="2">
        <v>2295</v>
      </c>
      <c r="E625" s="2">
        <v>49</v>
      </c>
      <c r="F625" s="2">
        <f t="shared" si="30"/>
        <v>50</v>
      </c>
      <c r="G625" s="2">
        <f t="shared" si="28"/>
        <v>16</v>
      </c>
    </row>
    <row r="626" spans="1:9" x14ac:dyDescent="0.2">
      <c r="B626" s="3"/>
      <c r="C626" s="3" t="s">
        <v>41</v>
      </c>
      <c r="D626" s="2">
        <v>1988</v>
      </c>
      <c r="E626" s="2">
        <v>82</v>
      </c>
      <c r="F626" s="2">
        <f t="shared" si="30"/>
        <v>43</v>
      </c>
      <c r="G626" s="2">
        <f t="shared" si="28"/>
        <v>8</v>
      </c>
    </row>
    <row r="627" spans="1:9" x14ac:dyDescent="0.2">
      <c r="B627" s="3" t="s">
        <v>20</v>
      </c>
      <c r="C627" s="3" t="s">
        <v>22</v>
      </c>
      <c r="D627" s="3">
        <v>15096</v>
      </c>
      <c r="E627" s="2">
        <v>663</v>
      </c>
      <c r="F627" s="2">
        <f t="shared" si="30"/>
        <v>1309</v>
      </c>
      <c r="G627" s="2">
        <f t="shared" si="28"/>
        <v>46</v>
      </c>
      <c r="H627" s="2">
        <f t="shared" si="29"/>
        <v>18200</v>
      </c>
      <c r="I627" s="2">
        <v>308700</v>
      </c>
    </row>
    <row r="628" spans="1:9" x14ac:dyDescent="0.2">
      <c r="B628" s="3"/>
      <c r="C628" s="3" t="s">
        <v>26</v>
      </c>
      <c r="D628" s="3">
        <v>2436</v>
      </c>
      <c r="E628" s="2">
        <v>109</v>
      </c>
      <c r="F628" s="2">
        <f t="shared" si="30"/>
        <v>109</v>
      </c>
      <c r="G628" s="2">
        <f t="shared" si="28"/>
        <v>7</v>
      </c>
    </row>
    <row r="629" spans="1:9" x14ac:dyDescent="0.2">
      <c r="B629" s="3"/>
      <c r="C629" s="3" t="s">
        <v>27</v>
      </c>
      <c r="D629" s="3">
        <v>2631</v>
      </c>
      <c r="E629" s="2">
        <v>96</v>
      </c>
      <c r="F629" s="2">
        <f t="shared" si="30"/>
        <v>154</v>
      </c>
      <c r="G629" s="2">
        <f t="shared" si="28"/>
        <v>7</v>
      </c>
    </row>
    <row r="630" spans="1:9" x14ac:dyDescent="0.2">
      <c r="C630" s="3" t="s">
        <v>42</v>
      </c>
      <c r="D630" s="3">
        <v>1943</v>
      </c>
      <c r="E630" s="2">
        <v>88</v>
      </c>
      <c r="F630" s="2">
        <f t="shared" si="30"/>
        <v>23</v>
      </c>
      <c r="G630" s="2">
        <f t="shared" si="28"/>
        <v>5</v>
      </c>
    </row>
    <row r="631" spans="1:9" x14ac:dyDescent="0.2">
      <c r="C631" s="3" t="s">
        <v>43</v>
      </c>
      <c r="D631" s="3">
        <v>1717</v>
      </c>
      <c r="E631" s="2">
        <v>33</v>
      </c>
      <c r="F631" s="2">
        <f t="shared" si="30"/>
        <v>38</v>
      </c>
      <c r="G631" s="2">
        <f t="shared" si="28"/>
        <v>0</v>
      </c>
    </row>
    <row r="632" spans="1:9" x14ac:dyDescent="0.2">
      <c r="A632" s="1">
        <v>43943</v>
      </c>
      <c r="B632" s="3" t="s">
        <v>5</v>
      </c>
      <c r="C632" s="3" t="s">
        <v>6</v>
      </c>
      <c r="D632" s="2">
        <v>43713</v>
      </c>
      <c r="E632" s="2">
        <v>2832</v>
      </c>
      <c r="F632" s="2">
        <f t="shared" si="30"/>
        <v>891</v>
      </c>
      <c r="G632" s="2">
        <f t="shared" si="28"/>
        <v>91</v>
      </c>
      <c r="H632" s="2">
        <f t="shared" si="29"/>
        <v>20657</v>
      </c>
      <c r="I632" s="2">
        <v>669982</v>
      </c>
    </row>
    <row r="633" spans="1:9" x14ac:dyDescent="0.2">
      <c r="B633" s="3"/>
      <c r="C633" s="3" t="s">
        <v>7</v>
      </c>
      <c r="D633" s="2">
        <v>38481</v>
      </c>
      <c r="E633" s="2">
        <v>3149</v>
      </c>
      <c r="F633" s="2">
        <f t="shared" si="30"/>
        <v>787</v>
      </c>
      <c r="G633" s="2">
        <f t="shared" si="28"/>
        <v>92</v>
      </c>
    </row>
    <row r="634" spans="1:9" x14ac:dyDescent="0.2">
      <c r="B634" s="3"/>
      <c r="C634" s="3" t="s">
        <v>8</v>
      </c>
      <c r="D634" s="2">
        <v>31555</v>
      </c>
      <c r="E634" s="2">
        <v>1764</v>
      </c>
      <c r="F634" s="2">
        <f t="shared" si="30"/>
        <v>476</v>
      </c>
      <c r="G634" s="2">
        <f t="shared" si="28"/>
        <v>47</v>
      </c>
    </row>
    <row r="635" spans="1:9" x14ac:dyDescent="0.2">
      <c r="B635" s="3"/>
      <c r="C635" s="3" t="s">
        <v>35</v>
      </c>
      <c r="D635" s="2">
        <v>30868</v>
      </c>
      <c r="E635" s="2">
        <v>2083</v>
      </c>
      <c r="F635" s="2">
        <f t="shared" si="30"/>
        <v>879</v>
      </c>
      <c r="G635" s="2">
        <f t="shared" si="28"/>
        <v>55</v>
      </c>
    </row>
    <row r="636" spans="1:9" x14ac:dyDescent="0.2">
      <c r="B636" s="3"/>
      <c r="C636" s="3" t="s">
        <v>14</v>
      </c>
      <c r="D636" s="2">
        <v>28854</v>
      </c>
      <c r="E636" s="2">
        <v>959</v>
      </c>
      <c r="F636" s="2">
        <f t="shared" si="30"/>
        <v>700</v>
      </c>
      <c r="G636" s="2">
        <f t="shared" si="28"/>
        <v>41</v>
      </c>
    </row>
    <row r="637" spans="1:9" x14ac:dyDescent="0.2">
      <c r="B637" s="3" t="s">
        <v>9</v>
      </c>
      <c r="C637" s="3" t="s">
        <v>10</v>
      </c>
      <c r="D637" s="2">
        <v>13686</v>
      </c>
      <c r="E637" s="2">
        <v>876</v>
      </c>
      <c r="F637" s="2">
        <f t="shared" si="30"/>
        <v>330</v>
      </c>
      <c r="G637" s="2">
        <f t="shared" si="28"/>
        <v>41</v>
      </c>
      <c r="H637" s="2">
        <f t="shared" si="29"/>
        <v>6833</v>
      </c>
      <c r="I637" s="4">
        <f>SUM(95865+95794)</f>
        <v>191659</v>
      </c>
    </row>
    <row r="638" spans="1:9" x14ac:dyDescent="0.2">
      <c r="B638" s="3"/>
      <c r="C638" s="3" t="s">
        <v>11</v>
      </c>
      <c r="D638" s="2">
        <v>12039</v>
      </c>
      <c r="E638" s="2">
        <v>568</v>
      </c>
      <c r="F638" s="2">
        <f t="shared" si="30"/>
        <v>403</v>
      </c>
      <c r="G638" s="2">
        <f t="shared" si="28"/>
        <v>43</v>
      </c>
    </row>
    <row r="639" spans="1:9" x14ac:dyDescent="0.2">
      <c r="B639" s="3"/>
      <c r="C639" s="3" t="s">
        <v>12</v>
      </c>
      <c r="D639" s="2">
        <v>11387</v>
      </c>
      <c r="E639" s="2">
        <v>888</v>
      </c>
      <c r="F639" s="2">
        <f t="shared" si="30"/>
        <v>259</v>
      </c>
      <c r="G639" s="2">
        <f t="shared" si="28"/>
        <v>39</v>
      </c>
    </row>
    <row r="640" spans="1:9" x14ac:dyDescent="0.2">
      <c r="B640" s="3"/>
      <c r="C640" s="3" t="s">
        <v>36</v>
      </c>
      <c r="D640" s="2">
        <v>10484</v>
      </c>
      <c r="E640" s="2">
        <v>481</v>
      </c>
      <c r="F640" s="2">
        <f t="shared" si="30"/>
        <v>195</v>
      </c>
      <c r="G640" s="2">
        <f t="shared" si="28"/>
        <v>54</v>
      </c>
    </row>
    <row r="641" spans="2:9" x14ac:dyDescent="0.2">
      <c r="B641" s="3"/>
      <c r="C641" s="3" t="s">
        <v>37</v>
      </c>
      <c r="D641" s="2">
        <v>9392</v>
      </c>
      <c r="E641" s="2">
        <v>327</v>
      </c>
      <c r="F641" s="2">
        <f t="shared" si="30"/>
        <v>451</v>
      </c>
      <c r="G641" s="2">
        <f t="shared" si="28"/>
        <v>33</v>
      </c>
    </row>
    <row r="642" spans="2:9" x14ac:dyDescent="0.2">
      <c r="B642" s="3" t="s">
        <v>13</v>
      </c>
      <c r="C642" s="3" t="s">
        <v>14</v>
      </c>
      <c r="D642">
        <v>9060</v>
      </c>
      <c r="E642" s="2">
        <v>318</v>
      </c>
      <c r="F642" s="2">
        <f t="shared" si="30"/>
        <v>391</v>
      </c>
      <c r="G642" s="2">
        <f t="shared" si="28"/>
        <v>33</v>
      </c>
      <c r="H642" s="2">
        <f t="shared" si="29"/>
        <v>5090</v>
      </c>
      <c r="I642" s="2">
        <v>180462</v>
      </c>
    </row>
    <row r="643" spans="2:9" x14ac:dyDescent="0.2">
      <c r="B643" s="3"/>
      <c r="C643" s="3" t="s">
        <v>15</v>
      </c>
      <c r="D643" s="3">
        <v>10094</v>
      </c>
      <c r="E643" s="2">
        <v>494</v>
      </c>
      <c r="F643" s="2">
        <f t="shared" si="30"/>
        <v>473</v>
      </c>
      <c r="G643" s="2">
        <f t="shared" si="28"/>
        <v>66</v>
      </c>
    </row>
    <row r="644" spans="2:9" x14ac:dyDescent="0.2">
      <c r="B644" s="3"/>
      <c r="C644" s="3" t="s">
        <v>12</v>
      </c>
      <c r="D644" s="3">
        <v>5783</v>
      </c>
      <c r="E644" s="2">
        <v>271</v>
      </c>
      <c r="F644" s="2">
        <f t="shared" si="30"/>
        <v>262</v>
      </c>
      <c r="G644" s="2">
        <f t="shared" si="28"/>
        <v>26</v>
      </c>
    </row>
    <row r="645" spans="2:9" x14ac:dyDescent="0.2">
      <c r="B645" s="3"/>
      <c r="C645" s="3" t="s">
        <v>33</v>
      </c>
      <c r="D645">
        <v>4212</v>
      </c>
      <c r="E645" s="2">
        <v>312</v>
      </c>
      <c r="F645" s="2">
        <f t="shared" si="30"/>
        <v>150</v>
      </c>
      <c r="G645" s="2">
        <f t="shared" si="28"/>
        <v>22</v>
      </c>
    </row>
    <row r="646" spans="2:9" x14ac:dyDescent="0.2">
      <c r="B646" s="3"/>
      <c r="C646" s="3" t="s">
        <v>34</v>
      </c>
      <c r="D646">
        <v>3456</v>
      </c>
      <c r="E646" s="2">
        <v>143</v>
      </c>
      <c r="F646" s="2">
        <f t="shared" si="30"/>
        <v>115</v>
      </c>
      <c r="G646" s="2">
        <f t="shared" si="28"/>
        <v>10</v>
      </c>
    </row>
    <row r="647" spans="2:9" x14ac:dyDescent="0.2">
      <c r="B647" s="3" t="s">
        <v>23</v>
      </c>
      <c r="C647" s="3" t="s">
        <v>24</v>
      </c>
      <c r="D647">
        <v>14561</v>
      </c>
      <c r="E647" s="2">
        <v>1319</v>
      </c>
      <c r="F647" s="2">
        <f>SUM(D647-D617)</f>
        <v>306</v>
      </c>
      <c r="G647" s="2">
        <f t="shared" si="28"/>
        <v>41</v>
      </c>
      <c r="H647" s="2">
        <f>SUM(I647-I617)</f>
        <v>999</v>
      </c>
      <c r="I647" s="2">
        <f>SUM(33966+84259)</f>
        <v>118225</v>
      </c>
    </row>
    <row r="648" spans="2:9" x14ac:dyDescent="0.2">
      <c r="B648" s="3"/>
      <c r="C648" s="3" t="s">
        <v>25</v>
      </c>
      <c r="D648">
        <v>6463</v>
      </c>
      <c r="E648" s="2">
        <v>529</v>
      </c>
      <c r="F648" s="2">
        <f t="shared" si="30"/>
        <v>157</v>
      </c>
      <c r="G648" s="2">
        <f t="shared" si="28"/>
        <v>23</v>
      </c>
    </row>
    <row r="649" spans="2:9" x14ac:dyDescent="0.2">
      <c r="B649" s="3"/>
      <c r="C649" s="3" t="s">
        <v>28</v>
      </c>
      <c r="D649">
        <v>4628</v>
      </c>
      <c r="E649" s="2">
        <v>473</v>
      </c>
      <c r="F649" s="2">
        <f t="shared" si="30"/>
        <v>84</v>
      </c>
      <c r="G649" s="2">
        <f t="shared" si="28"/>
        <v>28</v>
      </c>
    </row>
    <row r="650" spans="2:9" x14ac:dyDescent="0.2">
      <c r="B650" s="3"/>
      <c r="C650" s="3" t="s">
        <v>38</v>
      </c>
      <c r="D650" s="4">
        <v>1362</v>
      </c>
      <c r="E650" s="2">
        <v>138</v>
      </c>
      <c r="F650" s="2">
        <f t="shared" si="30"/>
        <v>64</v>
      </c>
      <c r="G650" s="2">
        <f t="shared" si="28"/>
        <v>7</v>
      </c>
    </row>
    <row r="651" spans="2:9" x14ac:dyDescent="0.2">
      <c r="B651" s="3"/>
      <c r="C651" s="3" t="s">
        <v>39</v>
      </c>
      <c r="D651">
        <v>912</v>
      </c>
      <c r="E651" s="2">
        <v>40</v>
      </c>
      <c r="F651" s="2">
        <f t="shared" si="30"/>
        <v>12</v>
      </c>
      <c r="G651" s="2">
        <f t="shared" si="28"/>
        <v>2</v>
      </c>
    </row>
    <row r="652" spans="2:9" x14ac:dyDescent="0.2">
      <c r="B652" s="3" t="s">
        <v>16</v>
      </c>
      <c r="C652" s="3" t="s">
        <v>17</v>
      </c>
      <c r="D652">
        <v>9696</v>
      </c>
      <c r="E652" s="2">
        <v>365</v>
      </c>
      <c r="F652" s="2">
        <f t="shared" si="30"/>
        <v>305</v>
      </c>
      <c r="G652" s="2">
        <f t="shared" si="28"/>
        <v>2</v>
      </c>
      <c r="H652" s="2">
        <f t="shared" si="29"/>
        <v>5105</v>
      </c>
      <c r="I652" s="2">
        <f>SUM(35684+136272)</f>
        <v>171956</v>
      </c>
    </row>
    <row r="653" spans="2:9" x14ac:dyDescent="0.2">
      <c r="B653" s="3"/>
      <c r="C653" s="3" t="s">
        <v>18</v>
      </c>
      <c r="D653">
        <v>3294</v>
      </c>
      <c r="E653" s="2">
        <v>230</v>
      </c>
      <c r="F653" s="2">
        <f t="shared" si="30"/>
        <v>140</v>
      </c>
      <c r="G653" s="2">
        <f t="shared" si="28"/>
        <v>7</v>
      </c>
    </row>
    <row r="654" spans="2:9" x14ac:dyDescent="0.2">
      <c r="B654" s="3"/>
      <c r="C654" s="3" t="s">
        <v>19</v>
      </c>
      <c r="D654" s="3">
        <v>2757</v>
      </c>
      <c r="E654" s="2">
        <v>123</v>
      </c>
      <c r="F654" s="2">
        <f t="shared" si="30"/>
        <v>103</v>
      </c>
      <c r="G654" s="2">
        <f t="shared" si="28"/>
        <v>5</v>
      </c>
    </row>
    <row r="655" spans="2:9" x14ac:dyDescent="0.2">
      <c r="B655" s="3"/>
      <c r="C655" s="3" t="s">
        <v>40</v>
      </c>
      <c r="D655">
        <v>2374</v>
      </c>
      <c r="E655" s="2">
        <v>49</v>
      </c>
      <c r="F655" s="2">
        <f t="shared" si="30"/>
        <v>79</v>
      </c>
      <c r="G655" s="2">
        <f t="shared" si="28"/>
        <v>0</v>
      </c>
    </row>
    <row r="656" spans="2:9" x14ac:dyDescent="0.2">
      <c r="B656" s="3"/>
      <c r="C656" s="3" t="s">
        <v>41</v>
      </c>
      <c r="D656">
        <v>2069</v>
      </c>
      <c r="E656" s="2">
        <v>85</v>
      </c>
      <c r="F656" s="2">
        <f t="shared" si="30"/>
        <v>81</v>
      </c>
      <c r="G656" s="2">
        <f t="shared" si="28"/>
        <v>3</v>
      </c>
    </row>
    <row r="657" spans="1:9" x14ac:dyDescent="0.2">
      <c r="B657" s="3" t="s">
        <v>20</v>
      </c>
      <c r="C657" s="3" t="s">
        <v>22</v>
      </c>
      <c r="D657" s="2">
        <v>16400</v>
      </c>
      <c r="E657" s="2">
        <v>729</v>
      </c>
      <c r="F657" s="2">
        <f t="shared" si="30"/>
        <v>1304</v>
      </c>
      <c r="G657" s="2">
        <f t="shared" si="28"/>
        <v>66</v>
      </c>
      <c r="H657" s="2">
        <f t="shared" si="29"/>
        <v>173397</v>
      </c>
      <c r="I657" s="2">
        <v>482097</v>
      </c>
    </row>
    <row r="658" spans="1:9" x14ac:dyDescent="0.2">
      <c r="B658" s="3"/>
      <c r="C658" s="3" t="s">
        <v>26</v>
      </c>
      <c r="D658" s="2">
        <v>2493</v>
      </c>
      <c r="E658" s="2">
        <v>112</v>
      </c>
      <c r="F658" s="2">
        <f t="shared" si="30"/>
        <v>57</v>
      </c>
      <c r="G658" s="2">
        <f t="shared" si="28"/>
        <v>3</v>
      </c>
    </row>
    <row r="659" spans="1:9" x14ac:dyDescent="0.2">
      <c r="B659" s="3"/>
      <c r="C659" s="3" t="s">
        <v>27</v>
      </c>
      <c r="D659" s="2">
        <v>2822</v>
      </c>
      <c r="E659" s="2">
        <v>109</v>
      </c>
      <c r="F659" s="2">
        <f t="shared" si="30"/>
        <v>191</v>
      </c>
      <c r="G659" s="2">
        <f t="shared" si="28"/>
        <v>13</v>
      </c>
    </row>
    <row r="660" spans="1:9" x14ac:dyDescent="0.2">
      <c r="C660" s="3" t="s">
        <v>42</v>
      </c>
      <c r="D660" s="2">
        <v>1969</v>
      </c>
      <c r="E660" s="2">
        <v>94</v>
      </c>
      <c r="F660" s="2">
        <f t="shared" si="30"/>
        <v>26</v>
      </c>
      <c r="G660" s="2">
        <f t="shared" si="28"/>
        <v>6</v>
      </c>
    </row>
    <row r="661" spans="1:9" x14ac:dyDescent="0.2">
      <c r="C661" s="3" t="s">
        <v>43</v>
      </c>
      <c r="D661" s="2">
        <v>1785</v>
      </c>
      <c r="E661" s="2">
        <v>34</v>
      </c>
      <c r="F661" s="2">
        <f t="shared" si="30"/>
        <v>68</v>
      </c>
      <c r="G661" s="2">
        <f t="shared" si="28"/>
        <v>1</v>
      </c>
    </row>
    <row r="662" spans="1:9" x14ac:dyDescent="0.2">
      <c r="A662" s="1">
        <v>43944</v>
      </c>
      <c r="B662" s="3" t="s">
        <v>5</v>
      </c>
      <c r="C662" s="3" t="s">
        <v>6</v>
      </c>
      <c r="D662" s="2">
        <v>44904</v>
      </c>
      <c r="E662" s="2">
        <v>2893</v>
      </c>
      <c r="F662" s="2">
        <f t="shared" si="30"/>
        <v>1191</v>
      </c>
      <c r="G662" s="2">
        <f t="shared" si="28"/>
        <v>61</v>
      </c>
      <c r="H662" s="2">
        <f t="shared" si="29"/>
        <v>25938</v>
      </c>
      <c r="I662" s="2">
        <v>695920</v>
      </c>
    </row>
    <row r="663" spans="1:9" x14ac:dyDescent="0.2">
      <c r="B663" s="3"/>
      <c r="C663" s="3" t="s">
        <v>7</v>
      </c>
      <c r="D663" s="2">
        <v>39354</v>
      </c>
      <c r="E663" s="2">
        <v>3227</v>
      </c>
      <c r="F663" s="2">
        <f t="shared" si="30"/>
        <v>873</v>
      </c>
      <c r="G663" s="2">
        <f t="shared" si="28"/>
        <v>78</v>
      </c>
    </row>
    <row r="664" spans="1:9" x14ac:dyDescent="0.2">
      <c r="B664" s="3"/>
      <c r="C664" s="3" t="s">
        <v>8</v>
      </c>
      <c r="D664" s="2">
        <v>32124</v>
      </c>
      <c r="E664" s="2">
        <v>1813</v>
      </c>
      <c r="F664" s="2">
        <f t="shared" si="30"/>
        <v>569</v>
      </c>
      <c r="G664" s="2">
        <f t="shared" si="28"/>
        <v>49</v>
      </c>
    </row>
    <row r="665" spans="1:9" x14ac:dyDescent="0.2">
      <c r="B665" s="3"/>
      <c r="C665" s="3" t="s">
        <v>35</v>
      </c>
      <c r="D665" s="2">
        <v>31659</v>
      </c>
      <c r="E665" s="2">
        <v>2145</v>
      </c>
      <c r="F665" s="2">
        <f t="shared" si="30"/>
        <v>791</v>
      </c>
      <c r="G665" s="2">
        <f t="shared" si="28"/>
        <v>62</v>
      </c>
    </row>
    <row r="666" spans="1:9" x14ac:dyDescent="0.2">
      <c r="B666" s="3"/>
      <c r="C666" s="3" t="s">
        <v>14</v>
      </c>
      <c r="D666" s="2">
        <v>29567</v>
      </c>
      <c r="E666" s="2">
        <v>994</v>
      </c>
      <c r="F666" s="2">
        <f t="shared" si="30"/>
        <v>713</v>
      </c>
      <c r="G666" s="2">
        <f t="shared" si="28"/>
        <v>35</v>
      </c>
    </row>
    <row r="667" spans="1:9" x14ac:dyDescent="0.2">
      <c r="B667" s="3" t="s">
        <v>9</v>
      </c>
      <c r="C667" s="3" t="s">
        <v>10</v>
      </c>
      <c r="D667" s="2">
        <v>14049</v>
      </c>
      <c r="E667" s="2">
        <v>907</v>
      </c>
      <c r="F667" s="2">
        <f t="shared" si="30"/>
        <v>363</v>
      </c>
      <c r="G667" s="2">
        <f t="shared" si="28"/>
        <v>31</v>
      </c>
      <c r="H667" s="2">
        <f t="shared" si="29"/>
        <v>8489</v>
      </c>
      <c r="I667" s="3">
        <f>SUM(99989+100159)</f>
        <v>200148</v>
      </c>
    </row>
    <row r="668" spans="1:9" x14ac:dyDescent="0.2">
      <c r="B668" s="3"/>
      <c r="C668" s="3" t="s">
        <v>11</v>
      </c>
      <c r="D668" s="2">
        <v>12645</v>
      </c>
      <c r="E668" s="2">
        <v>606</v>
      </c>
      <c r="F668" s="2">
        <f t="shared" si="30"/>
        <v>606</v>
      </c>
      <c r="G668" s="2">
        <f t="shared" si="28"/>
        <v>38</v>
      </c>
    </row>
    <row r="669" spans="1:9" x14ac:dyDescent="0.2">
      <c r="B669" s="3"/>
      <c r="C669" s="3" t="s">
        <v>12</v>
      </c>
      <c r="D669" s="2">
        <v>11811</v>
      </c>
      <c r="E669" s="2">
        <v>932</v>
      </c>
      <c r="F669" s="2">
        <f t="shared" si="30"/>
        <v>424</v>
      </c>
      <c r="G669" s="2">
        <f t="shared" si="28"/>
        <v>44</v>
      </c>
    </row>
    <row r="670" spans="1:9" x14ac:dyDescent="0.2">
      <c r="B670" s="3"/>
      <c r="C670" s="3" t="s">
        <v>36</v>
      </c>
      <c r="D670" s="2">
        <v>10935</v>
      </c>
      <c r="E670" s="2">
        <v>515</v>
      </c>
      <c r="F670" s="2">
        <f t="shared" si="30"/>
        <v>451</v>
      </c>
      <c r="G670" s="2">
        <f t="shared" si="28"/>
        <v>34</v>
      </c>
    </row>
    <row r="671" spans="1:9" x14ac:dyDescent="0.2">
      <c r="B671" s="3"/>
      <c r="C671" s="3" t="s">
        <v>37</v>
      </c>
      <c r="D671" s="2">
        <v>9874</v>
      </c>
      <c r="E671" s="2">
        <v>350</v>
      </c>
      <c r="F671" s="2">
        <f t="shared" si="30"/>
        <v>482</v>
      </c>
      <c r="G671" s="2">
        <f t="shared" si="28"/>
        <v>23</v>
      </c>
    </row>
    <row r="672" spans="1:9" x14ac:dyDescent="0.2">
      <c r="B672" s="3" t="s">
        <v>13</v>
      </c>
      <c r="C672" s="3" t="s">
        <v>14</v>
      </c>
      <c r="D672" s="2">
        <v>9739</v>
      </c>
      <c r="E672" s="2">
        <v>346</v>
      </c>
      <c r="F672" s="2">
        <f t="shared" si="30"/>
        <v>679</v>
      </c>
      <c r="G672" s="2">
        <f t="shared" si="28"/>
        <v>28</v>
      </c>
      <c r="H672" s="2">
        <f t="shared" si="29"/>
        <v>14614</v>
      </c>
      <c r="I672" s="3">
        <v>195076</v>
      </c>
    </row>
    <row r="673" spans="2:9" x14ac:dyDescent="0.2">
      <c r="B673" s="3"/>
      <c r="C673" s="3" t="s">
        <v>15</v>
      </c>
      <c r="D673" s="2">
        <v>10724</v>
      </c>
      <c r="E673" s="2">
        <v>545</v>
      </c>
      <c r="F673" s="2">
        <f t="shared" si="30"/>
        <v>630</v>
      </c>
      <c r="G673" s="2">
        <f t="shared" ref="G673:G736" si="31">SUM(E673-E643)</f>
        <v>51</v>
      </c>
    </row>
    <row r="674" spans="2:9" x14ac:dyDescent="0.2">
      <c r="B674" s="3"/>
      <c r="C674" s="3" t="s">
        <v>12</v>
      </c>
      <c r="D674" s="2">
        <v>6219</v>
      </c>
      <c r="E674" s="2">
        <v>292</v>
      </c>
      <c r="F674" s="2">
        <f t="shared" si="30"/>
        <v>436</v>
      </c>
      <c r="G674" s="2">
        <f t="shared" si="31"/>
        <v>21</v>
      </c>
    </row>
    <row r="675" spans="2:9" x14ac:dyDescent="0.2">
      <c r="B675" s="3"/>
      <c r="C675" s="3" t="s">
        <v>33</v>
      </c>
      <c r="D675" s="2">
        <v>4541</v>
      </c>
      <c r="E675" s="2">
        <v>335</v>
      </c>
      <c r="F675" s="2">
        <f t="shared" si="30"/>
        <v>329</v>
      </c>
      <c r="G675" s="2">
        <f t="shared" si="31"/>
        <v>23</v>
      </c>
    </row>
    <row r="676" spans="2:9" x14ac:dyDescent="0.2">
      <c r="B676" s="3"/>
      <c r="C676" s="3" t="s">
        <v>34</v>
      </c>
      <c r="D676" s="2">
        <v>3798</v>
      </c>
      <c r="E676" s="2">
        <v>155</v>
      </c>
      <c r="F676" s="2">
        <f t="shared" si="30"/>
        <v>342</v>
      </c>
      <c r="G676" s="2">
        <f t="shared" si="31"/>
        <v>12</v>
      </c>
    </row>
    <row r="677" spans="2:9" x14ac:dyDescent="0.2">
      <c r="B677" s="3" t="s">
        <v>23</v>
      </c>
      <c r="C677" s="3" t="s">
        <v>24</v>
      </c>
      <c r="D677">
        <f>SUM(8317+6677)</f>
        <v>14994</v>
      </c>
      <c r="E677" s="2">
        <v>1396</v>
      </c>
      <c r="F677" s="2">
        <f>SUM(D677-D647)</f>
        <v>433</v>
      </c>
      <c r="G677" s="2">
        <f t="shared" si="31"/>
        <v>77</v>
      </c>
      <c r="H677" s="2">
        <f t="shared" ref="H677:H732" si="32">SUM(I677-I647)</f>
        <v>10096</v>
      </c>
      <c r="I677" s="3">
        <f>SUM(35291+93030)</f>
        <v>128321</v>
      </c>
    </row>
    <row r="678" spans="2:9" x14ac:dyDescent="0.2">
      <c r="B678" s="3"/>
      <c r="C678" s="3" t="s">
        <v>25</v>
      </c>
      <c r="D678">
        <v>6634</v>
      </c>
      <c r="E678" s="2">
        <v>567</v>
      </c>
      <c r="F678" s="2">
        <f t="shared" si="30"/>
        <v>171</v>
      </c>
      <c r="G678" s="2">
        <f t="shared" si="31"/>
        <v>38</v>
      </c>
    </row>
    <row r="679" spans="2:9" x14ac:dyDescent="0.2">
      <c r="B679" s="3"/>
      <c r="C679" s="3" t="s">
        <v>28</v>
      </c>
      <c r="D679">
        <v>4862</v>
      </c>
      <c r="E679" s="2">
        <v>493</v>
      </c>
      <c r="F679" s="2">
        <f t="shared" si="30"/>
        <v>234</v>
      </c>
      <c r="G679" s="2">
        <f t="shared" si="31"/>
        <v>20</v>
      </c>
    </row>
    <row r="680" spans="2:9" x14ac:dyDescent="0.2">
      <c r="B680" s="3"/>
      <c r="C680" s="3" t="s">
        <v>38</v>
      </c>
      <c r="D680" s="2">
        <v>1387</v>
      </c>
      <c r="E680" s="2">
        <v>144</v>
      </c>
      <c r="F680" s="2">
        <f t="shared" si="30"/>
        <v>25</v>
      </c>
      <c r="G680" s="2">
        <f t="shared" si="31"/>
        <v>6</v>
      </c>
    </row>
    <row r="681" spans="2:9" x14ac:dyDescent="0.2">
      <c r="B681" s="3"/>
      <c r="C681" s="3" t="s">
        <v>39</v>
      </c>
      <c r="D681">
        <v>960</v>
      </c>
      <c r="E681" s="2">
        <v>42</v>
      </c>
      <c r="F681" s="2">
        <f t="shared" si="30"/>
        <v>48</v>
      </c>
      <c r="G681" s="2">
        <f t="shared" si="31"/>
        <v>2</v>
      </c>
    </row>
    <row r="682" spans="2:9" x14ac:dyDescent="0.2">
      <c r="B682" s="3" t="s">
        <v>16</v>
      </c>
      <c r="C682" s="3" t="s">
        <v>17</v>
      </c>
      <c r="D682" s="2">
        <v>10090</v>
      </c>
      <c r="F682" s="2">
        <f t="shared" si="30"/>
        <v>394</v>
      </c>
      <c r="H682" s="2">
        <f t="shared" si="32"/>
        <v>7158</v>
      </c>
      <c r="I682" s="3">
        <f>SUM(37053+142061)</f>
        <v>179114</v>
      </c>
    </row>
    <row r="683" spans="2:9" x14ac:dyDescent="0.2">
      <c r="B683" s="3"/>
      <c r="C683" s="3" t="s">
        <v>18</v>
      </c>
      <c r="D683" s="2">
        <v>3395</v>
      </c>
      <c r="F683" s="2">
        <f t="shared" si="30"/>
        <v>101</v>
      </c>
    </row>
    <row r="684" spans="2:9" x14ac:dyDescent="0.2">
      <c r="B684" s="3"/>
      <c r="C684" s="3" t="s">
        <v>19</v>
      </c>
      <c r="D684" s="2">
        <v>2902</v>
      </c>
      <c r="E684" s="2">
        <v>124</v>
      </c>
      <c r="F684" s="2">
        <f t="shared" si="30"/>
        <v>145</v>
      </c>
      <c r="G684" s="2">
        <f t="shared" si="31"/>
        <v>1</v>
      </c>
    </row>
    <row r="685" spans="2:9" x14ac:dyDescent="0.2">
      <c r="B685" s="3"/>
      <c r="C685" s="3" t="s">
        <v>40</v>
      </c>
      <c r="D685" s="2">
        <v>2418</v>
      </c>
      <c r="E685" s="2">
        <v>49</v>
      </c>
      <c r="F685" s="2">
        <f t="shared" si="30"/>
        <v>44</v>
      </c>
      <c r="G685" s="2">
        <f t="shared" si="31"/>
        <v>0</v>
      </c>
    </row>
    <row r="686" spans="2:9" x14ac:dyDescent="0.2">
      <c r="B686" s="3"/>
      <c r="C686" s="3" t="s">
        <v>41</v>
      </c>
      <c r="D686" s="2">
        <v>2212</v>
      </c>
      <c r="E686" s="2">
        <v>86</v>
      </c>
      <c r="F686" s="2">
        <f t="shared" si="30"/>
        <v>143</v>
      </c>
      <c r="G686" s="2">
        <f t="shared" si="31"/>
        <v>1</v>
      </c>
    </row>
    <row r="687" spans="2:9" x14ac:dyDescent="0.2">
      <c r="B687" s="3" t="s">
        <v>20</v>
      </c>
      <c r="C687" s="3" t="s">
        <v>22</v>
      </c>
      <c r="D687" s="2">
        <v>17548</v>
      </c>
      <c r="E687" s="2">
        <v>797</v>
      </c>
      <c r="F687" s="2">
        <f t="shared" ref="F687:F750" si="33">SUM(D687-D657)</f>
        <v>1148</v>
      </c>
      <c r="G687" s="2">
        <f t="shared" si="31"/>
        <v>68</v>
      </c>
      <c r="H687" s="2">
        <f t="shared" si="32"/>
        <v>12076</v>
      </c>
      <c r="I687" s="3">
        <v>494173</v>
      </c>
    </row>
    <row r="688" spans="2:9" x14ac:dyDescent="0.2">
      <c r="B688" s="3"/>
      <c r="C688" s="3" t="s">
        <v>26</v>
      </c>
      <c r="D688" s="2">
        <v>2645</v>
      </c>
      <c r="E688" s="2">
        <v>112</v>
      </c>
      <c r="F688" s="2">
        <f t="shared" si="33"/>
        <v>152</v>
      </c>
      <c r="G688" s="2">
        <f t="shared" si="31"/>
        <v>0</v>
      </c>
    </row>
    <row r="689" spans="1:9" x14ac:dyDescent="0.2">
      <c r="B689" s="3"/>
      <c r="C689" s="3" t="s">
        <v>27</v>
      </c>
      <c r="D689" s="2">
        <v>2935</v>
      </c>
      <c r="E689" s="2">
        <v>110</v>
      </c>
      <c r="F689" s="2">
        <f t="shared" si="33"/>
        <v>113</v>
      </c>
      <c r="G689" s="2">
        <f t="shared" si="31"/>
        <v>1</v>
      </c>
    </row>
    <row r="690" spans="1:9" x14ac:dyDescent="0.2">
      <c r="C690" s="3" t="s">
        <v>42</v>
      </c>
      <c r="D690" s="2">
        <v>1996</v>
      </c>
      <c r="E690" s="2">
        <v>95</v>
      </c>
      <c r="F690" s="2">
        <f t="shared" si="33"/>
        <v>27</v>
      </c>
      <c r="G690" s="2">
        <f t="shared" si="31"/>
        <v>1</v>
      </c>
    </row>
    <row r="691" spans="1:9" x14ac:dyDescent="0.2">
      <c r="C691" s="3" t="s">
        <v>43</v>
      </c>
      <c r="D691" s="2">
        <v>1841</v>
      </c>
      <c r="E691" s="2">
        <v>36</v>
      </c>
      <c r="F691" s="2">
        <f t="shared" si="33"/>
        <v>56</v>
      </c>
      <c r="G691" s="2">
        <f t="shared" si="31"/>
        <v>2</v>
      </c>
    </row>
    <row r="692" spans="1:9" x14ac:dyDescent="0.2">
      <c r="A692" s="1">
        <v>43945</v>
      </c>
      <c r="B692" s="3" t="s">
        <v>5</v>
      </c>
      <c r="C692" s="3" t="s">
        <v>6</v>
      </c>
      <c r="D692" s="2">
        <v>46387</v>
      </c>
      <c r="E692" s="2">
        <v>2955</v>
      </c>
      <c r="F692" s="2">
        <f t="shared" si="33"/>
        <v>1483</v>
      </c>
      <c r="G692" s="2">
        <f t="shared" si="31"/>
        <v>62</v>
      </c>
      <c r="H692" s="2">
        <f t="shared" si="32"/>
        <v>34736</v>
      </c>
      <c r="I692" s="3">
        <v>730656</v>
      </c>
    </row>
    <row r="693" spans="1:9" x14ac:dyDescent="0.2">
      <c r="B693" s="3"/>
      <c r="C693" s="3" t="s">
        <v>7</v>
      </c>
      <c r="D693" s="2">
        <v>40648</v>
      </c>
      <c r="E693" s="2">
        <v>3315</v>
      </c>
      <c r="F693" s="2">
        <f t="shared" si="33"/>
        <v>1294</v>
      </c>
      <c r="G693" s="2">
        <f t="shared" si="31"/>
        <v>88</v>
      </c>
    </row>
    <row r="694" spans="1:9" x14ac:dyDescent="0.2">
      <c r="B694" s="3"/>
      <c r="C694" s="3" t="s">
        <v>8</v>
      </c>
      <c r="D694" s="2">
        <v>32765</v>
      </c>
      <c r="E694" s="2">
        <v>1867</v>
      </c>
      <c r="F694" s="2">
        <f t="shared" si="33"/>
        <v>641</v>
      </c>
      <c r="G694" s="2">
        <f t="shared" si="31"/>
        <v>54</v>
      </c>
    </row>
    <row r="695" spans="1:9" x14ac:dyDescent="0.2">
      <c r="B695" s="3"/>
      <c r="C695" s="3" t="s">
        <v>35</v>
      </c>
      <c r="D695" s="2">
        <v>32701</v>
      </c>
      <c r="E695" s="2">
        <v>2194</v>
      </c>
      <c r="F695" s="2">
        <f t="shared" si="33"/>
        <v>1042</v>
      </c>
      <c r="G695" s="2">
        <f t="shared" si="31"/>
        <v>49</v>
      </c>
    </row>
    <row r="696" spans="1:9" x14ac:dyDescent="0.2">
      <c r="B696" s="3"/>
      <c r="C696" s="3" t="s">
        <v>14</v>
      </c>
      <c r="D696" s="2">
        <v>30606</v>
      </c>
      <c r="E696" s="2">
        <v>1035</v>
      </c>
      <c r="F696" s="2">
        <f t="shared" si="33"/>
        <v>1039</v>
      </c>
      <c r="G696" s="2">
        <f t="shared" si="31"/>
        <v>41</v>
      </c>
    </row>
    <row r="697" spans="1:9" x14ac:dyDescent="0.2">
      <c r="B697" s="3" t="s">
        <v>9</v>
      </c>
      <c r="C697" s="3" t="s">
        <v>10</v>
      </c>
      <c r="D697">
        <v>14363</v>
      </c>
      <c r="E697" s="2">
        <v>934</v>
      </c>
      <c r="F697" s="2">
        <f t="shared" si="33"/>
        <v>314</v>
      </c>
      <c r="G697" s="2">
        <f t="shared" si="31"/>
        <v>27</v>
      </c>
      <c r="H697" s="2">
        <f t="shared" si="32"/>
        <v>5814</v>
      </c>
      <c r="I697" s="2">
        <f>SUM(102196+103766)</f>
        <v>205962</v>
      </c>
    </row>
    <row r="698" spans="1:9" x14ac:dyDescent="0.2">
      <c r="B698" s="3"/>
      <c r="C698" s="3" t="s">
        <v>11</v>
      </c>
      <c r="D698">
        <v>13011</v>
      </c>
      <c r="E698" s="2">
        <v>640</v>
      </c>
      <c r="F698" s="2">
        <f t="shared" si="33"/>
        <v>366</v>
      </c>
      <c r="G698" s="2">
        <f t="shared" si="31"/>
        <v>34</v>
      </c>
    </row>
    <row r="699" spans="1:9" x14ac:dyDescent="0.2">
      <c r="B699" s="3"/>
      <c r="C699" s="3" t="s">
        <v>12</v>
      </c>
      <c r="D699">
        <v>12110</v>
      </c>
      <c r="E699" s="2">
        <v>975</v>
      </c>
      <c r="F699" s="2">
        <f t="shared" si="33"/>
        <v>299</v>
      </c>
      <c r="G699" s="2">
        <f t="shared" si="31"/>
        <v>43</v>
      </c>
    </row>
    <row r="700" spans="1:9" x14ac:dyDescent="0.2">
      <c r="B700" s="3"/>
      <c r="C700" s="3" t="s">
        <v>36</v>
      </c>
      <c r="D700">
        <v>11208</v>
      </c>
      <c r="E700" s="2">
        <v>542</v>
      </c>
      <c r="F700" s="2">
        <f t="shared" si="33"/>
        <v>273</v>
      </c>
      <c r="G700" s="2">
        <f t="shared" si="31"/>
        <v>27</v>
      </c>
    </row>
    <row r="701" spans="1:9" x14ac:dyDescent="0.2">
      <c r="B701" s="3"/>
      <c r="C701" s="3" t="s">
        <v>37</v>
      </c>
      <c r="D701">
        <v>10291</v>
      </c>
      <c r="E701" s="2">
        <v>383</v>
      </c>
      <c r="F701" s="2">
        <f t="shared" si="33"/>
        <v>417</v>
      </c>
      <c r="G701" s="2">
        <f t="shared" si="31"/>
        <v>33</v>
      </c>
    </row>
    <row r="702" spans="1:9" x14ac:dyDescent="0.2">
      <c r="B702" s="3" t="s">
        <v>13</v>
      </c>
      <c r="C702" s="3" t="s">
        <v>14</v>
      </c>
      <c r="D702" s="2">
        <v>10724</v>
      </c>
      <c r="E702" s="2">
        <v>372</v>
      </c>
      <c r="F702" s="2">
        <f t="shared" si="33"/>
        <v>985</v>
      </c>
      <c r="G702" s="2">
        <f t="shared" si="31"/>
        <v>26</v>
      </c>
      <c r="H702" s="2">
        <f t="shared" si="32"/>
        <v>20137</v>
      </c>
      <c r="I702" s="2">
        <v>215213</v>
      </c>
    </row>
    <row r="703" spans="1:9" x14ac:dyDescent="0.2">
      <c r="B703" s="3"/>
      <c r="C703" s="3" t="s">
        <v>15</v>
      </c>
      <c r="D703" s="2">
        <v>11681</v>
      </c>
      <c r="E703" s="2">
        <v>585</v>
      </c>
      <c r="F703" s="2">
        <f t="shared" si="33"/>
        <v>957</v>
      </c>
      <c r="G703" s="2">
        <f t="shared" si="31"/>
        <v>40</v>
      </c>
    </row>
    <row r="704" spans="1:9" x14ac:dyDescent="0.2">
      <c r="B704" s="3"/>
      <c r="C704" s="3" t="s">
        <v>12</v>
      </c>
      <c r="D704" s="2">
        <v>6841</v>
      </c>
      <c r="E704" s="2">
        <v>319</v>
      </c>
      <c r="F704" s="2">
        <f t="shared" si="33"/>
        <v>622</v>
      </c>
      <c r="G704" s="2">
        <f t="shared" si="31"/>
        <v>27</v>
      </c>
    </row>
    <row r="705" spans="2:9" x14ac:dyDescent="0.2">
      <c r="B705" s="3"/>
      <c r="C705" s="3" t="s">
        <v>33</v>
      </c>
      <c r="D705" s="2">
        <v>4979</v>
      </c>
      <c r="E705" s="2">
        <v>368</v>
      </c>
      <c r="F705" s="2">
        <f t="shared" si="33"/>
        <v>438</v>
      </c>
      <c r="G705" s="2">
        <f t="shared" si="31"/>
        <v>33</v>
      </c>
    </row>
    <row r="706" spans="2:9" x14ac:dyDescent="0.2">
      <c r="B706" s="3"/>
      <c r="C706" s="3" t="s">
        <v>34</v>
      </c>
      <c r="D706" s="2">
        <v>4227</v>
      </c>
      <c r="E706" s="2">
        <v>166</v>
      </c>
      <c r="F706" s="2">
        <f t="shared" si="33"/>
        <v>429</v>
      </c>
      <c r="G706" s="2">
        <f t="shared" si="31"/>
        <v>11</v>
      </c>
    </row>
    <row r="707" spans="2:9" x14ac:dyDescent="0.2">
      <c r="B707" s="3" t="s">
        <v>23</v>
      </c>
      <c r="C707" s="3" t="s">
        <v>24</v>
      </c>
      <c r="D707" s="2">
        <v>15407</v>
      </c>
      <c r="E707" s="2">
        <v>1443</v>
      </c>
      <c r="F707" s="2">
        <f>SUM(D707-D677)</f>
        <v>413</v>
      </c>
      <c r="G707" s="2">
        <f t="shared" si="31"/>
        <v>47</v>
      </c>
      <c r="H707" s="2">
        <f t="shared" si="32"/>
        <v>7975</v>
      </c>
      <c r="I707" s="2">
        <f>SUM(36641+99655)</f>
        <v>136296</v>
      </c>
    </row>
    <row r="708" spans="2:9" x14ac:dyDescent="0.2">
      <c r="B708" s="3"/>
      <c r="C708" s="3" t="s">
        <v>25</v>
      </c>
      <c r="D708" s="2">
        <v>6804</v>
      </c>
      <c r="E708" s="2">
        <v>585</v>
      </c>
      <c r="F708" s="2">
        <f t="shared" si="33"/>
        <v>170</v>
      </c>
      <c r="G708" s="2">
        <f t="shared" si="31"/>
        <v>18</v>
      </c>
    </row>
    <row r="709" spans="2:9" x14ac:dyDescent="0.2">
      <c r="B709" s="3"/>
      <c r="C709" s="3" t="s">
        <v>28</v>
      </c>
      <c r="D709" s="2">
        <v>5022</v>
      </c>
      <c r="E709" s="2">
        <v>504</v>
      </c>
      <c r="F709" s="2">
        <f t="shared" si="33"/>
        <v>160</v>
      </c>
      <c r="G709" s="2">
        <f t="shared" si="31"/>
        <v>11</v>
      </c>
    </row>
    <row r="710" spans="2:9" x14ac:dyDescent="0.2">
      <c r="B710" s="3"/>
      <c r="C710" s="3" t="s">
        <v>38</v>
      </c>
      <c r="D710" s="2">
        <v>1434</v>
      </c>
      <c r="E710" s="2">
        <v>151</v>
      </c>
      <c r="F710" s="2">
        <f t="shared" si="33"/>
        <v>47</v>
      </c>
      <c r="G710" s="2">
        <f t="shared" si="31"/>
        <v>7</v>
      </c>
    </row>
    <row r="711" spans="2:9" x14ac:dyDescent="0.2">
      <c r="B711" s="3"/>
      <c r="C711" s="3" t="s">
        <v>39</v>
      </c>
      <c r="D711" s="2">
        <v>974</v>
      </c>
      <c r="E711" s="2">
        <v>47</v>
      </c>
      <c r="F711" s="2">
        <f t="shared" si="33"/>
        <v>14</v>
      </c>
      <c r="G711" s="2">
        <f t="shared" si="31"/>
        <v>5</v>
      </c>
    </row>
    <row r="712" spans="2:9" x14ac:dyDescent="0.2">
      <c r="B712" s="3" t="s">
        <v>16</v>
      </c>
      <c r="C712" s="3" t="s">
        <v>17</v>
      </c>
      <c r="D712" s="2">
        <v>10507</v>
      </c>
      <c r="F712" s="2">
        <f t="shared" si="33"/>
        <v>417</v>
      </c>
      <c r="H712" s="2">
        <f t="shared" si="32"/>
        <v>7029</v>
      </c>
      <c r="I712" s="2">
        <f>SUM(38652+147491)</f>
        <v>186143</v>
      </c>
    </row>
    <row r="713" spans="2:9" x14ac:dyDescent="0.2">
      <c r="B713" s="3"/>
      <c r="C713" s="3" t="s">
        <v>18</v>
      </c>
      <c r="D713" s="2">
        <v>3525</v>
      </c>
      <c r="F713" s="2">
        <f t="shared" si="33"/>
        <v>130</v>
      </c>
    </row>
    <row r="714" spans="2:9" x14ac:dyDescent="0.2">
      <c r="B714" s="3"/>
      <c r="C714" s="3" t="s">
        <v>19</v>
      </c>
      <c r="D714" s="2">
        <v>3055</v>
      </c>
      <c r="F714" s="2">
        <f t="shared" si="33"/>
        <v>153</v>
      </c>
    </row>
    <row r="715" spans="2:9" x14ac:dyDescent="0.2">
      <c r="B715" s="3"/>
      <c r="C715" s="3" t="s">
        <v>40</v>
      </c>
      <c r="D715" s="2">
        <v>2478</v>
      </c>
      <c r="F715" s="2">
        <f t="shared" si="33"/>
        <v>60</v>
      </c>
    </row>
    <row r="716" spans="2:9" x14ac:dyDescent="0.2">
      <c r="B716" s="3"/>
      <c r="C716" s="3" t="s">
        <v>41</v>
      </c>
      <c r="D716" s="2">
        <v>2339</v>
      </c>
      <c r="F716" s="2">
        <f t="shared" si="33"/>
        <v>127</v>
      </c>
    </row>
    <row r="717" spans="2:9" x14ac:dyDescent="0.2">
      <c r="B717" s="3" t="s">
        <v>20</v>
      </c>
      <c r="C717" s="3" t="s">
        <v>22</v>
      </c>
      <c r="D717" s="2">
        <v>18553</v>
      </c>
      <c r="E717" s="2">
        <v>848</v>
      </c>
      <c r="F717" s="2">
        <f t="shared" si="33"/>
        <v>1005</v>
      </c>
      <c r="G717" s="2">
        <f t="shared" si="31"/>
        <v>51</v>
      </c>
      <c r="H717" s="2">
        <f t="shared" si="32"/>
        <v>11862</v>
      </c>
      <c r="I717" s="2">
        <v>506035</v>
      </c>
    </row>
    <row r="718" spans="2:9" x14ac:dyDescent="0.2">
      <c r="B718" s="3"/>
      <c r="C718" s="3" t="s">
        <v>26</v>
      </c>
      <c r="D718" s="2">
        <v>2828</v>
      </c>
      <c r="E718" s="2">
        <v>119</v>
      </c>
      <c r="F718" s="2">
        <f t="shared" si="33"/>
        <v>183</v>
      </c>
      <c r="G718" s="2">
        <f t="shared" si="31"/>
        <v>7</v>
      </c>
    </row>
    <row r="719" spans="2:9" x14ac:dyDescent="0.2">
      <c r="B719" s="3"/>
      <c r="C719" s="3" t="s">
        <v>27</v>
      </c>
      <c r="D719" s="2">
        <v>3218</v>
      </c>
      <c r="E719" s="2">
        <v>118</v>
      </c>
      <c r="F719" s="2">
        <f t="shared" si="33"/>
        <v>283</v>
      </c>
      <c r="G719" s="2">
        <f t="shared" si="31"/>
        <v>8</v>
      </c>
    </row>
    <row r="720" spans="2:9" x14ac:dyDescent="0.2">
      <c r="C720" s="3" t="s">
        <v>42</v>
      </c>
      <c r="D720" s="2">
        <v>2026</v>
      </c>
      <c r="E720" s="2">
        <v>98</v>
      </c>
      <c r="F720" s="2">
        <f t="shared" si="33"/>
        <v>30</v>
      </c>
      <c r="G720" s="2">
        <f t="shared" si="31"/>
        <v>3</v>
      </c>
    </row>
    <row r="721" spans="1:9" x14ac:dyDescent="0.2">
      <c r="C721" s="3" t="s">
        <v>43</v>
      </c>
      <c r="D721" s="2">
        <v>1945</v>
      </c>
      <c r="E721" s="2">
        <v>39</v>
      </c>
      <c r="F721" s="2">
        <f t="shared" si="33"/>
        <v>104</v>
      </c>
      <c r="G721" s="2">
        <f t="shared" si="31"/>
        <v>3</v>
      </c>
    </row>
    <row r="722" spans="1:9" x14ac:dyDescent="0.2">
      <c r="A722" s="1">
        <v>43946</v>
      </c>
      <c r="B722" s="3" t="s">
        <v>5</v>
      </c>
      <c r="C722" s="3" t="s">
        <v>6</v>
      </c>
      <c r="D722" s="2">
        <v>47861</v>
      </c>
      <c r="E722" s="2">
        <v>3003</v>
      </c>
      <c r="F722" s="2">
        <f t="shared" si="33"/>
        <v>1474</v>
      </c>
      <c r="G722" s="2">
        <f t="shared" si="31"/>
        <v>48</v>
      </c>
      <c r="H722" s="2">
        <f t="shared" si="32"/>
        <v>46912</v>
      </c>
      <c r="I722" s="2">
        <v>777568</v>
      </c>
    </row>
    <row r="723" spans="1:9" x14ac:dyDescent="0.2">
      <c r="B723" s="3"/>
      <c r="C723" s="3" t="s">
        <v>7</v>
      </c>
      <c r="D723" s="2">
        <v>41660</v>
      </c>
      <c r="E723" s="2">
        <v>3400</v>
      </c>
      <c r="F723" s="2">
        <f t="shared" si="33"/>
        <v>1012</v>
      </c>
      <c r="G723" s="2">
        <f t="shared" si="31"/>
        <v>85</v>
      </c>
    </row>
    <row r="724" spans="1:9" x14ac:dyDescent="0.2">
      <c r="B724" s="3"/>
      <c r="C724" s="3" t="s">
        <v>8</v>
      </c>
      <c r="D724" s="2">
        <v>33798</v>
      </c>
      <c r="E724" s="2">
        <v>1917</v>
      </c>
      <c r="F724" s="2">
        <f t="shared" si="33"/>
        <v>1033</v>
      </c>
      <c r="G724" s="2">
        <f t="shared" si="31"/>
        <v>50</v>
      </c>
    </row>
    <row r="725" spans="1:9" x14ac:dyDescent="0.2">
      <c r="B725" s="3"/>
      <c r="C725" s="3" t="s">
        <v>35</v>
      </c>
      <c r="D725" s="2">
        <v>34183</v>
      </c>
      <c r="E725" s="2">
        <v>2242</v>
      </c>
      <c r="F725" s="2">
        <f t="shared" si="33"/>
        <v>1482</v>
      </c>
      <c r="G725" s="2">
        <f t="shared" si="31"/>
        <v>48</v>
      </c>
    </row>
    <row r="726" spans="1:9" x14ac:dyDescent="0.2">
      <c r="B726" s="3"/>
      <c r="C726" s="3" t="s">
        <v>14</v>
      </c>
      <c r="D726" s="2">
        <v>31368</v>
      </c>
      <c r="E726" s="2">
        <v>1085</v>
      </c>
      <c r="F726" s="2">
        <f t="shared" si="33"/>
        <v>762</v>
      </c>
      <c r="G726" s="2">
        <f t="shared" si="31"/>
        <v>50</v>
      </c>
    </row>
    <row r="727" spans="1:9" x14ac:dyDescent="0.2">
      <c r="B727" s="3" t="s">
        <v>9</v>
      </c>
      <c r="C727" s="3" t="s">
        <v>10</v>
      </c>
      <c r="D727" s="2">
        <v>14738</v>
      </c>
      <c r="E727" s="2">
        <v>954</v>
      </c>
      <c r="F727" s="2">
        <f t="shared" si="33"/>
        <v>375</v>
      </c>
      <c r="G727" s="2">
        <f t="shared" si="31"/>
        <v>20</v>
      </c>
      <c r="H727" s="2">
        <f t="shared" si="32"/>
        <v>7724</v>
      </c>
      <c r="I727" s="2">
        <f>SUM(105523+108163)</f>
        <v>213686</v>
      </c>
    </row>
    <row r="728" spans="1:9" x14ac:dyDescent="0.2">
      <c r="B728" s="3"/>
      <c r="C728" s="3" t="s">
        <v>11</v>
      </c>
      <c r="D728" s="2">
        <v>13367</v>
      </c>
      <c r="E728" s="2">
        <v>655</v>
      </c>
      <c r="F728" s="2">
        <f t="shared" si="33"/>
        <v>356</v>
      </c>
      <c r="G728" s="2">
        <f t="shared" si="31"/>
        <v>15</v>
      </c>
    </row>
    <row r="729" spans="1:9" x14ac:dyDescent="0.2">
      <c r="B729" s="3"/>
      <c r="C729" s="3" t="s">
        <v>12</v>
      </c>
      <c r="D729" s="2">
        <v>12520</v>
      </c>
      <c r="E729" s="2">
        <v>1019</v>
      </c>
      <c r="F729" s="2">
        <f t="shared" si="33"/>
        <v>410</v>
      </c>
      <c r="G729" s="2">
        <f t="shared" si="31"/>
        <v>44</v>
      </c>
    </row>
    <row r="730" spans="1:9" x14ac:dyDescent="0.2">
      <c r="B730" s="3"/>
      <c r="C730" s="3" t="s">
        <v>36</v>
      </c>
      <c r="D730" s="2">
        <v>11523</v>
      </c>
      <c r="E730" s="2">
        <v>563</v>
      </c>
      <c r="F730" s="2">
        <f t="shared" si="33"/>
        <v>315</v>
      </c>
      <c r="G730" s="2">
        <f t="shared" si="31"/>
        <v>21</v>
      </c>
    </row>
    <row r="731" spans="1:9" x14ac:dyDescent="0.2">
      <c r="B731" s="3"/>
      <c r="C731" s="3" t="s">
        <v>37</v>
      </c>
      <c r="D731" s="2">
        <v>10738</v>
      </c>
      <c r="E731" s="2">
        <v>416</v>
      </c>
      <c r="F731" s="2">
        <f t="shared" si="33"/>
        <v>447</v>
      </c>
      <c r="G731" s="2">
        <f t="shared" si="31"/>
        <v>33</v>
      </c>
    </row>
    <row r="732" spans="1:9" x14ac:dyDescent="0.2">
      <c r="B732" s="3" t="s">
        <v>13</v>
      </c>
      <c r="C732" s="3" t="s">
        <v>14</v>
      </c>
      <c r="D732" s="2">
        <v>11218</v>
      </c>
      <c r="E732" s="2">
        <v>391</v>
      </c>
      <c r="F732" s="2">
        <f t="shared" si="33"/>
        <v>494</v>
      </c>
      <c r="G732" s="2">
        <f t="shared" si="31"/>
        <v>19</v>
      </c>
      <c r="H732" s="2">
        <f t="shared" si="32"/>
        <v>11632</v>
      </c>
      <c r="I732" s="2">
        <v>226845</v>
      </c>
    </row>
    <row r="733" spans="1:9" x14ac:dyDescent="0.2">
      <c r="B733" s="3"/>
      <c r="C733" s="3" t="s">
        <v>15</v>
      </c>
      <c r="D733" s="2">
        <v>12253</v>
      </c>
      <c r="E733" s="2">
        <v>629</v>
      </c>
      <c r="F733" s="2">
        <f t="shared" si="33"/>
        <v>572</v>
      </c>
      <c r="G733" s="2">
        <f t="shared" si="31"/>
        <v>44</v>
      </c>
    </row>
    <row r="734" spans="1:9" x14ac:dyDescent="0.2">
      <c r="B734" s="3"/>
      <c r="C734" s="3" t="s">
        <v>12</v>
      </c>
      <c r="D734" s="2">
        <v>7212</v>
      </c>
      <c r="E734" s="2">
        <v>336</v>
      </c>
      <c r="F734" s="2">
        <f t="shared" si="33"/>
        <v>371</v>
      </c>
      <c r="G734" s="2">
        <f t="shared" si="31"/>
        <v>17</v>
      </c>
    </row>
    <row r="735" spans="1:9" x14ac:dyDescent="0.2">
      <c r="B735" s="3"/>
      <c r="C735" s="3" t="s">
        <v>33</v>
      </c>
      <c r="D735" s="2">
        <v>5172</v>
      </c>
      <c r="E735" s="2">
        <v>400</v>
      </c>
      <c r="F735" s="2">
        <f t="shared" si="33"/>
        <v>193</v>
      </c>
      <c r="G735" s="2">
        <f t="shared" si="31"/>
        <v>32</v>
      </c>
    </row>
    <row r="736" spans="1:9" x14ac:dyDescent="0.2">
      <c r="B736" s="3"/>
      <c r="C736" s="3" t="s">
        <v>34</v>
      </c>
      <c r="D736" s="2">
        <v>4460</v>
      </c>
      <c r="E736" s="2">
        <v>183</v>
      </c>
      <c r="F736" s="2">
        <f t="shared" si="33"/>
        <v>233</v>
      </c>
      <c r="G736" s="2">
        <f t="shared" si="31"/>
        <v>17</v>
      </c>
    </row>
    <row r="737" spans="1:9" x14ac:dyDescent="0.2">
      <c r="B737" s="3" t="s">
        <v>23</v>
      </c>
      <c r="C737" s="3" t="s">
        <v>24</v>
      </c>
      <c r="D737" s="2">
        <v>15548</v>
      </c>
      <c r="E737" s="2">
        <v>1560</v>
      </c>
      <c r="F737" s="2">
        <f t="shared" si="33"/>
        <v>141</v>
      </c>
      <c r="G737" s="2">
        <f t="shared" ref="G737:G800" si="34">SUM(E737-E707)</f>
        <v>117</v>
      </c>
      <c r="H737" s="2">
        <f t="shared" ref="H737:H797" si="35">SUM(I737-I707)</f>
        <v>7748</v>
      </c>
      <c r="I737" s="2">
        <f>SUM(37203+106841)</f>
        <v>144044</v>
      </c>
    </row>
    <row r="738" spans="1:9" x14ac:dyDescent="0.2">
      <c r="B738" s="3"/>
      <c r="C738" s="3" t="s">
        <v>25</v>
      </c>
      <c r="D738" s="2">
        <v>6881</v>
      </c>
      <c r="E738" s="2">
        <v>612</v>
      </c>
      <c r="F738" s="2">
        <f t="shared" si="33"/>
        <v>77</v>
      </c>
      <c r="G738" s="2">
        <f t="shared" si="34"/>
        <v>27</v>
      </c>
    </row>
    <row r="739" spans="1:9" x14ac:dyDescent="0.2">
      <c r="B739" s="3"/>
      <c r="C739" s="3" t="s">
        <v>28</v>
      </c>
      <c r="D739" s="2">
        <v>5139</v>
      </c>
      <c r="E739" s="2">
        <v>517</v>
      </c>
      <c r="F739" s="2">
        <f t="shared" si="33"/>
        <v>117</v>
      </c>
      <c r="G739" s="2">
        <f t="shared" si="34"/>
        <v>13</v>
      </c>
    </row>
    <row r="740" spans="1:9" x14ac:dyDescent="0.2">
      <c r="B740" s="3"/>
      <c r="C740" s="3" t="s">
        <v>38</v>
      </c>
      <c r="D740" s="2">
        <v>1452</v>
      </c>
      <c r="E740" s="2">
        <v>157</v>
      </c>
      <c r="F740" s="2">
        <f t="shared" si="33"/>
        <v>18</v>
      </c>
      <c r="G740" s="2">
        <f t="shared" si="34"/>
        <v>6</v>
      </c>
    </row>
    <row r="741" spans="1:9" x14ac:dyDescent="0.2">
      <c r="B741" s="3"/>
      <c r="C741" s="3" t="s">
        <v>39</v>
      </c>
      <c r="D741" s="2">
        <v>1002</v>
      </c>
      <c r="E741" s="2">
        <v>50</v>
      </c>
      <c r="F741" s="2">
        <f t="shared" si="33"/>
        <v>28</v>
      </c>
      <c r="G741" s="2">
        <f t="shared" si="34"/>
        <v>3</v>
      </c>
    </row>
    <row r="742" spans="1:9" x14ac:dyDescent="0.2">
      <c r="B742" s="3" t="s">
        <v>16</v>
      </c>
      <c r="C742" s="3" t="s">
        <v>17</v>
      </c>
      <c r="D742" s="2">
        <v>10893</v>
      </c>
      <c r="E742" s="2">
        <v>466</v>
      </c>
      <c r="F742" s="2">
        <f t="shared" si="33"/>
        <v>386</v>
      </c>
      <c r="G742" s="2">
        <f t="shared" si="34"/>
        <v>466</v>
      </c>
      <c r="H742" s="2">
        <f t="shared" si="35"/>
        <v>6792</v>
      </c>
      <c r="I742" s="2">
        <f>SUM(40049+152886)</f>
        <v>192935</v>
      </c>
    </row>
    <row r="743" spans="1:9" x14ac:dyDescent="0.2">
      <c r="B743" s="3"/>
      <c r="C743" s="3" t="s">
        <v>18</v>
      </c>
      <c r="D743" s="2">
        <v>3627</v>
      </c>
      <c r="E743" s="2">
        <v>214</v>
      </c>
      <c r="F743" s="2">
        <f t="shared" si="33"/>
        <v>102</v>
      </c>
      <c r="G743" s="2">
        <f t="shared" si="34"/>
        <v>214</v>
      </c>
    </row>
    <row r="744" spans="1:9" x14ac:dyDescent="0.2">
      <c r="B744" s="3"/>
      <c r="C744" s="3" t="s">
        <v>19</v>
      </c>
      <c r="D744" s="2">
        <v>3161</v>
      </c>
      <c r="E744" s="2">
        <v>142</v>
      </c>
      <c r="F744" s="2">
        <f t="shared" si="33"/>
        <v>106</v>
      </c>
      <c r="G744" s="2">
        <f t="shared" si="34"/>
        <v>142</v>
      </c>
    </row>
    <row r="745" spans="1:9" x14ac:dyDescent="0.2">
      <c r="B745" s="3"/>
      <c r="C745" s="3" t="s">
        <v>40</v>
      </c>
      <c r="D745" s="2">
        <v>2551</v>
      </c>
      <c r="E745" s="2">
        <v>50</v>
      </c>
      <c r="F745" s="2">
        <f t="shared" si="33"/>
        <v>73</v>
      </c>
      <c r="G745" s="2">
        <f t="shared" si="34"/>
        <v>50</v>
      </c>
    </row>
    <row r="746" spans="1:9" x14ac:dyDescent="0.2">
      <c r="B746" s="3"/>
      <c r="C746" s="3" t="s">
        <v>41</v>
      </c>
      <c r="D746" s="2">
        <v>2406</v>
      </c>
      <c r="E746" s="2">
        <v>21</v>
      </c>
      <c r="F746" s="2">
        <f t="shared" si="33"/>
        <v>67</v>
      </c>
      <c r="G746" s="2">
        <f t="shared" si="34"/>
        <v>21</v>
      </c>
    </row>
    <row r="747" spans="1:9" x14ac:dyDescent="0.2">
      <c r="B747" s="3" t="s">
        <v>20</v>
      </c>
      <c r="C747" s="3" t="s">
        <v>22</v>
      </c>
      <c r="D747" s="2">
        <v>19144</v>
      </c>
      <c r="E747" s="2">
        <v>895</v>
      </c>
      <c r="F747" s="2">
        <f t="shared" si="33"/>
        <v>591</v>
      </c>
      <c r="G747" s="2">
        <f t="shared" si="34"/>
        <v>47</v>
      </c>
      <c r="H747" s="2">
        <f t="shared" si="35"/>
        <v>20049</v>
      </c>
      <c r="I747" s="2">
        <v>526084</v>
      </c>
    </row>
    <row r="748" spans="1:9" x14ac:dyDescent="0.2">
      <c r="B748" s="3"/>
      <c r="C748" s="3" t="s">
        <v>26</v>
      </c>
      <c r="D748" s="2">
        <v>2945</v>
      </c>
      <c r="E748" s="2">
        <v>119</v>
      </c>
      <c r="F748" s="2">
        <f t="shared" si="33"/>
        <v>117</v>
      </c>
      <c r="G748" s="2">
        <f t="shared" si="34"/>
        <v>0</v>
      </c>
    </row>
    <row r="749" spans="1:9" x14ac:dyDescent="0.2">
      <c r="B749" s="3"/>
      <c r="C749" s="3" t="s">
        <v>27</v>
      </c>
      <c r="D749" s="2">
        <v>3315</v>
      </c>
      <c r="E749" s="2">
        <v>118</v>
      </c>
      <c r="F749" s="2">
        <f>SUM(D749-D719)</f>
        <v>97</v>
      </c>
      <c r="G749" s="2">
        <f t="shared" si="34"/>
        <v>0</v>
      </c>
    </row>
    <row r="750" spans="1:9" x14ac:dyDescent="0.2">
      <c r="C750" s="3" t="s">
        <v>42</v>
      </c>
      <c r="D750" s="2">
        <v>2045</v>
      </c>
      <c r="E750" s="2">
        <v>99</v>
      </c>
      <c r="F750" s="2">
        <f t="shared" si="33"/>
        <v>19</v>
      </c>
      <c r="G750" s="2">
        <f t="shared" si="34"/>
        <v>1</v>
      </c>
    </row>
    <row r="751" spans="1:9" x14ac:dyDescent="0.2">
      <c r="C751" s="3" t="s">
        <v>43</v>
      </c>
      <c r="D751" s="2">
        <v>2047</v>
      </c>
      <c r="E751" s="2">
        <v>39</v>
      </c>
      <c r="F751" s="2">
        <f t="shared" ref="F751:F814" si="36">SUM(D751-D721)</f>
        <v>102</v>
      </c>
      <c r="G751" s="2">
        <f t="shared" si="34"/>
        <v>0</v>
      </c>
    </row>
    <row r="752" spans="1:9" x14ac:dyDescent="0.2">
      <c r="A752" s="1">
        <v>43947</v>
      </c>
      <c r="B752" s="3" t="s">
        <v>5</v>
      </c>
      <c r="C752" s="3" t="s">
        <v>6</v>
      </c>
      <c r="D752" s="2">
        <v>48745</v>
      </c>
      <c r="E752" s="2">
        <v>3056</v>
      </c>
      <c r="F752" s="2">
        <f t="shared" si="36"/>
        <v>884</v>
      </c>
      <c r="G752" s="2">
        <f t="shared" si="34"/>
        <v>53</v>
      </c>
      <c r="H752" s="2">
        <f t="shared" si="35"/>
        <v>27782</v>
      </c>
      <c r="I752" s="2">
        <v>805350</v>
      </c>
    </row>
    <row r="753" spans="2:9" x14ac:dyDescent="0.2">
      <c r="B753" s="3"/>
      <c r="C753" s="3" t="s">
        <v>7</v>
      </c>
      <c r="D753" s="2">
        <v>42487</v>
      </c>
      <c r="E753" s="2">
        <v>3473</v>
      </c>
      <c r="F753" s="2">
        <f t="shared" si="36"/>
        <v>827</v>
      </c>
      <c r="G753" s="2">
        <f t="shared" si="34"/>
        <v>73</v>
      </c>
    </row>
    <row r="754" spans="2:9" x14ac:dyDescent="0.2">
      <c r="B754" s="3"/>
      <c r="C754" s="3" t="s">
        <v>8</v>
      </c>
      <c r="D754" s="2">
        <v>34522</v>
      </c>
      <c r="E754" s="2">
        <v>1962</v>
      </c>
      <c r="F754" s="2">
        <f t="shared" si="36"/>
        <v>724</v>
      </c>
      <c r="G754" s="2">
        <f t="shared" si="34"/>
        <v>45</v>
      </c>
    </row>
    <row r="755" spans="2:9" x14ac:dyDescent="0.2">
      <c r="B755" s="3"/>
      <c r="C755" s="3" t="s">
        <v>35</v>
      </c>
      <c r="D755" s="2">
        <v>34970</v>
      </c>
      <c r="E755" s="2">
        <v>2278</v>
      </c>
      <c r="F755" s="2">
        <f t="shared" si="36"/>
        <v>787</v>
      </c>
      <c r="G755" s="2">
        <f t="shared" si="34"/>
        <v>36</v>
      </c>
    </row>
    <row r="756" spans="2:9" x14ac:dyDescent="0.2">
      <c r="B756" s="3"/>
      <c r="C756" s="3" t="s">
        <v>14</v>
      </c>
      <c r="D756" s="2">
        <v>32059</v>
      </c>
      <c r="E756" s="2">
        <v>1115</v>
      </c>
      <c r="F756" s="2">
        <f t="shared" si="36"/>
        <v>691</v>
      </c>
      <c r="G756" s="2">
        <f t="shared" si="34"/>
        <v>30</v>
      </c>
    </row>
    <row r="757" spans="2:9" x14ac:dyDescent="0.2">
      <c r="B757" s="3" t="s">
        <v>9</v>
      </c>
      <c r="C757" s="3" t="s">
        <v>10</v>
      </c>
      <c r="D757" s="2">
        <v>14965</v>
      </c>
      <c r="E757" s="2">
        <v>955</v>
      </c>
      <c r="F757" s="2">
        <f t="shared" si="36"/>
        <v>227</v>
      </c>
      <c r="G757" s="2">
        <f t="shared" si="34"/>
        <v>1</v>
      </c>
      <c r="H757" s="2">
        <f t="shared" si="35"/>
        <v>9458</v>
      </c>
      <c r="I757" s="2">
        <f>SUM(109038+114106)</f>
        <v>223144</v>
      </c>
    </row>
    <row r="758" spans="2:9" x14ac:dyDescent="0.2">
      <c r="B758" s="3"/>
      <c r="C758" s="3" t="s">
        <v>11</v>
      </c>
      <c r="D758" s="2">
        <v>13708</v>
      </c>
      <c r="E758" s="2">
        <v>661</v>
      </c>
      <c r="F758" s="2">
        <f t="shared" si="36"/>
        <v>341</v>
      </c>
      <c r="G758" s="2">
        <f t="shared" si="34"/>
        <v>6</v>
      </c>
    </row>
    <row r="759" spans="2:9" x14ac:dyDescent="0.2">
      <c r="B759" s="3"/>
      <c r="C759" s="3" t="s">
        <v>12</v>
      </c>
      <c r="D759" s="2">
        <v>12863</v>
      </c>
      <c r="E759" s="2">
        <v>1023</v>
      </c>
      <c r="F759" s="2">
        <f t="shared" si="36"/>
        <v>343</v>
      </c>
      <c r="G759" s="2">
        <f t="shared" si="34"/>
        <v>4</v>
      </c>
    </row>
    <row r="760" spans="2:9" x14ac:dyDescent="0.2">
      <c r="B760" s="3"/>
      <c r="C760" s="3" t="s">
        <v>36</v>
      </c>
      <c r="D760" s="2">
        <v>11853</v>
      </c>
      <c r="E760" s="2">
        <v>571</v>
      </c>
      <c r="F760" s="2">
        <f t="shared" si="36"/>
        <v>330</v>
      </c>
      <c r="G760" s="2">
        <f t="shared" si="34"/>
        <v>8</v>
      </c>
    </row>
    <row r="761" spans="2:9" x14ac:dyDescent="0.2">
      <c r="B761" s="3"/>
      <c r="C761" s="3" t="s">
        <v>37</v>
      </c>
      <c r="D761" s="2">
        <v>11137</v>
      </c>
      <c r="E761" s="2">
        <v>426</v>
      </c>
      <c r="F761" s="2">
        <f t="shared" si="36"/>
        <v>399</v>
      </c>
      <c r="G761" s="2">
        <f t="shared" si="34"/>
        <v>10</v>
      </c>
    </row>
    <row r="762" spans="2:9" x14ac:dyDescent="0.2">
      <c r="B762" s="3" t="s">
        <v>13</v>
      </c>
      <c r="C762" s="3" t="s">
        <v>14</v>
      </c>
      <c r="D762" s="2">
        <v>11543</v>
      </c>
      <c r="E762" s="2">
        <v>424</v>
      </c>
      <c r="F762" s="2">
        <f t="shared" si="36"/>
        <v>325</v>
      </c>
      <c r="G762" s="2">
        <f t="shared" si="34"/>
        <v>33</v>
      </c>
      <c r="H762" s="2">
        <f t="shared" si="35"/>
        <v>9255</v>
      </c>
      <c r="I762" s="2">
        <v>236100</v>
      </c>
    </row>
    <row r="763" spans="2:9" x14ac:dyDescent="0.2">
      <c r="B763" s="3"/>
      <c r="C763" s="3" t="s">
        <v>15</v>
      </c>
      <c r="D763" s="2">
        <v>12648</v>
      </c>
      <c r="E763" s="2">
        <v>670</v>
      </c>
      <c r="F763" s="2">
        <f t="shared" si="36"/>
        <v>395</v>
      </c>
      <c r="G763" s="2">
        <f t="shared" si="34"/>
        <v>41</v>
      </c>
    </row>
    <row r="764" spans="2:9" x14ac:dyDescent="0.2">
      <c r="B764" s="3"/>
      <c r="C764" s="3" t="s">
        <v>12</v>
      </c>
      <c r="D764" s="2">
        <v>7489</v>
      </c>
      <c r="E764" s="2">
        <v>350</v>
      </c>
      <c r="F764" s="2">
        <f t="shared" si="36"/>
        <v>277</v>
      </c>
      <c r="G764" s="2">
        <f t="shared" si="34"/>
        <v>14</v>
      </c>
    </row>
    <row r="765" spans="2:9" x14ac:dyDescent="0.2">
      <c r="B765" s="3"/>
      <c r="C765" s="3" t="s">
        <v>33</v>
      </c>
      <c r="D765" s="2">
        <v>5288</v>
      </c>
      <c r="E765" s="2">
        <v>418</v>
      </c>
      <c r="F765" s="2">
        <f t="shared" si="36"/>
        <v>116</v>
      </c>
      <c r="G765" s="2">
        <f t="shared" si="34"/>
        <v>18</v>
      </c>
    </row>
    <row r="766" spans="2:9" x14ac:dyDescent="0.2">
      <c r="B766" s="3"/>
      <c r="C766" s="3" t="s">
        <v>34</v>
      </c>
      <c r="D766" s="2">
        <v>4572</v>
      </c>
      <c r="E766" s="2">
        <v>206</v>
      </c>
      <c r="F766" s="2">
        <f t="shared" si="36"/>
        <v>112</v>
      </c>
      <c r="G766" s="2">
        <f t="shared" si="34"/>
        <v>23</v>
      </c>
    </row>
    <row r="767" spans="2:9" x14ac:dyDescent="0.2">
      <c r="B767" s="3" t="s">
        <v>23</v>
      </c>
      <c r="C767" s="3" t="s">
        <v>24</v>
      </c>
      <c r="D767" s="2">
        <v>15748</v>
      </c>
      <c r="E767" s="2">
        <v>1580</v>
      </c>
      <c r="F767" s="2">
        <f t="shared" si="36"/>
        <v>200</v>
      </c>
      <c r="G767" s="2">
        <f t="shared" si="34"/>
        <v>20</v>
      </c>
      <c r="H767" s="2">
        <f t="shared" si="35"/>
        <v>6962</v>
      </c>
      <c r="I767" s="2">
        <f>SUM(37778+113228)</f>
        <v>151006</v>
      </c>
    </row>
    <row r="768" spans="2:9" x14ac:dyDescent="0.2">
      <c r="B768" s="3"/>
      <c r="C768" s="3" t="s">
        <v>25</v>
      </c>
      <c r="D768" s="2">
        <v>6928</v>
      </c>
      <c r="E768" s="2">
        <v>620</v>
      </c>
      <c r="F768" s="2">
        <f t="shared" si="36"/>
        <v>47</v>
      </c>
      <c r="G768" s="2">
        <f t="shared" si="34"/>
        <v>8</v>
      </c>
    </row>
    <row r="769" spans="1:9" x14ac:dyDescent="0.2">
      <c r="B769" s="3"/>
      <c r="C769" s="3" t="s">
        <v>28</v>
      </c>
      <c r="D769" s="2">
        <v>5203</v>
      </c>
      <c r="E769" s="2">
        <v>520</v>
      </c>
      <c r="F769" s="2">
        <f t="shared" si="36"/>
        <v>64</v>
      </c>
      <c r="G769" s="2">
        <f t="shared" si="34"/>
        <v>3</v>
      </c>
    </row>
    <row r="770" spans="1:9" x14ac:dyDescent="0.2">
      <c r="B770" s="3"/>
      <c r="C770" s="3" t="s">
        <v>38</v>
      </c>
      <c r="D770" s="2">
        <v>1467</v>
      </c>
      <c r="E770" s="2">
        <v>161</v>
      </c>
      <c r="F770" s="2">
        <f t="shared" si="36"/>
        <v>15</v>
      </c>
      <c r="G770" s="2">
        <f t="shared" si="34"/>
        <v>4</v>
      </c>
    </row>
    <row r="771" spans="1:9" x14ac:dyDescent="0.2">
      <c r="B771" s="3"/>
      <c r="C771" s="3" t="s">
        <v>39</v>
      </c>
      <c r="E771" s="2">
        <v>50</v>
      </c>
      <c r="G771" s="2">
        <f t="shared" si="34"/>
        <v>0</v>
      </c>
    </row>
    <row r="772" spans="1:9" x14ac:dyDescent="0.2">
      <c r="B772" s="3" t="s">
        <v>16</v>
      </c>
      <c r="C772" s="3" t="s">
        <v>17</v>
      </c>
      <c r="D772" s="2">
        <v>11152</v>
      </c>
      <c r="E772" s="2">
        <v>472</v>
      </c>
      <c r="F772" s="2">
        <f t="shared" si="36"/>
        <v>259</v>
      </c>
      <c r="G772" s="2">
        <f t="shared" si="34"/>
        <v>6</v>
      </c>
      <c r="H772" s="2">
        <f t="shared" si="35"/>
        <v>5658</v>
      </c>
      <c r="I772" s="2">
        <f>SUM(41165+157428)</f>
        <v>198593</v>
      </c>
    </row>
    <row r="773" spans="1:9" x14ac:dyDescent="0.2">
      <c r="B773" s="3"/>
      <c r="C773" s="3" t="s">
        <v>18</v>
      </c>
      <c r="D773" s="2">
        <v>3733</v>
      </c>
      <c r="E773" s="2">
        <v>217</v>
      </c>
      <c r="F773" s="2">
        <f t="shared" si="36"/>
        <v>106</v>
      </c>
      <c r="G773" s="2">
        <f t="shared" si="34"/>
        <v>3</v>
      </c>
    </row>
    <row r="774" spans="1:9" x14ac:dyDescent="0.2">
      <c r="B774" s="3"/>
      <c r="C774" s="3" t="s">
        <v>19</v>
      </c>
      <c r="D774" s="2">
        <v>3281</v>
      </c>
      <c r="E774" s="2">
        <v>143</v>
      </c>
      <c r="F774" s="2">
        <f t="shared" si="36"/>
        <v>120</v>
      </c>
      <c r="G774" s="2">
        <f t="shared" si="34"/>
        <v>1</v>
      </c>
    </row>
    <row r="775" spans="1:9" x14ac:dyDescent="0.2">
      <c r="B775" s="3"/>
      <c r="C775" s="3" t="s">
        <v>40</v>
      </c>
      <c r="D775" s="2">
        <v>2601</v>
      </c>
      <c r="E775" s="2">
        <v>51</v>
      </c>
      <c r="F775" s="2">
        <f t="shared" si="36"/>
        <v>50</v>
      </c>
      <c r="G775" s="2">
        <f t="shared" si="34"/>
        <v>1</v>
      </c>
    </row>
    <row r="776" spans="1:9" x14ac:dyDescent="0.2">
      <c r="B776" s="3"/>
      <c r="C776" s="3" t="s">
        <v>41</v>
      </c>
      <c r="D776" s="2">
        <v>2491</v>
      </c>
      <c r="E776" s="2">
        <v>88</v>
      </c>
      <c r="F776" s="2">
        <f t="shared" si="36"/>
        <v>85</v>
      </c>
      <c r="G776" s="2">
        <f t="shared" si="34"/>
        <v>67</v>
      </c>
    </row>
    <row r="777" spans="1:9" x14ac:dyDescent="0.2">
      <c r="B777" s="3" t="s">
        <v>20</v>
      </c>
      <c r="C777" s="3" t="s">
        <v>22</v>
      </c>
      <c r="D777" s="2">
        <v>19570</v>
      </c>
      <c r="E777" s="2">
        <v>913</v>
      </c>
      <c r="F777" s="2">
        <f t="shared" si="36"/>
        <v>426</v>
      </c>
      <c r="G777" s="2">
        <f t="shared" si="34"/>
        <v>18</v>
      </c>
      <c r="H777" s="2">
        <f t="shared" si="35"/>
        <v>27425</v>
      </c>
      <c r="I777" s="2">
        <v>553509</v>
      </c>
    </row>
    <row r="778" spans="1:9" x14ac:dyDescent="0.2">
      <c r="B778" s="3"/>
      <c r="C778" s="3" t="s">
        <v>26</v>
      </c>
      <c r="D778" s="2">
        <v>3045</v>
      </c>
      <c r="E778" s="2">
        <v>123</v>
      </c>
      <c r="F778" s="2">
        <f t="shared" si="36"/>
        <v>100</v>
      </c>
      <c r="G778" s="2">
        <f t="shared" si="34"/>
        <v>4</v>
      </c>
    </row>
    <row r="779" spans="1:9" x14ac:dyDescent="0.2">
      <c r="B779" s="3"/>
      <c r="C779" s="3" t="s">
        <v>27</v>
      </c>
      <c r="D779" s="2">
        <v>3563</v>
      </c>
      <c r="E779" s="2">
        <v>131</v>
      </c>
      <c r="F779" s="2">
        <f t="shared" si="36"/>
        <v>248</v>
      </c>
      <c r="G779" s="2">
        <f t="shared" si="34"/>
        <v>13</v>
      </c>
    </row>
    <row r="780" spans="1:9" x14ac:dyDescent="0.2">
      <c r="C780" s="3" t="s">
        <v>42</v>
      </c>
      <c r="D780" s="2">
        <v>2097</v>
      </c>
      <c r="E780" s="2">
        <v>102</v>
      </c>
      <c r="F780" s="2">
        <f t="shared" si="36"/>
        <v>52</v>
      </c>
      <c r="G780" s="2">
        <f t="shared" si="34"/>
        <v>3</v>
      </c>
    </row>
    <row r="781" spans="1:9" x14ac:dyDescent="0.2">
      <c r="C781" s="3" t="s">
        <v>43</v>
      </c>
      <c r="D781" s="2">
        <v>2124</v>
      </c>
      <c r="E781" s="2">
        <v>40</v>
      </c>
      <c r="F781" s="2">
        <f t="shared" si="36"/>
        <v>77</v>
      </c>
      <c r="G781" s="2">
        <f t="shared" si="34"/>
        <v>1</v>
      </c>
    </row>
    <row r="782" spans="1:9" x14ac:dyDescent="0.2">
      <c r="A782" s="1">
        <v>43948</v>
      </c>
      <c r="B782" s="3" t="s">
        <v>5</v>
      </c>
      <c r="C782" s="3" t="s">
        <v>6</v>
      </c>
      <c r="D782" s="2">
        <v>49399</v>
      </c>
      <c r="E782" s="2">
        <v>3105</v>
      </c>
      <c r="F782" s="2">
        <f t="shared" si="36"/>
        <v>654</v>
      </c>
      <c r="G782" s="2">
        <f t="shared" si="34"/>
        <v>49</v>
      </c>
      <c r="H782" s="2">
        <f t="shared" si="35"/>
        <v>20745</v>
      </c>
      <c r="I782" s="2">
        <v>826095</v>
      </c>
    </row>
    <row r="783" spans="1:9" x14ac:dyDescent="0.2">
      <c r="B783" s="3"/>
      <c r="C783" s="3" t="s">
        <v>7</v>
      </c>
      <c r="D783" s="2">
        <v>43014</v>
      </c>
      <c r="E783" s="2">
        <v>3538</v>
      </c>
      <c r="F783" s="2">
        <f t="shared" si="36"/>
        <v>527</v>
      </c>
      <c r="G783" s="2">
        <f t="shared" si="34"/>
        <v>65</v>
      </c>
    </row>
    <row r="784" spans="1:9" x14ac:dyDescent="0.2">
      <c r="B784" s="3"/>
      <c r="C784" s="3" t="s">
        <v>8</v>
      </c>
      <c r="D784" s="2">
        <v>34865</v>
      </c>
      <c r="E784" s="2">
        <v>2003</v>
      </c>
      <c r="F784" s="2">
        <f t="shared" si="36"/>
        <v>343</v>
      </c>
      <c r="G784" s="2">
        <f t="shared" si="34"/>
        <v>41</v>
      </c>
    </row>
    <row r="785" spans="2:9" x14ac:dyDescent="0.2">
      <c r="B785" s="3"/>
      <c r="C785" s="3" t="s">
        <v>35</v>
      </c>
      <c r="D785" s="2">
        <v>35556</v>
      </c>
      <c r="E785" s="2">
        <v>2325</v>
      </c>
      <c r="F785" s="2">
        <f t="shared" si="36"/>
        <v>586</v>
      </c>
      <c r="G785" s="2">
        <f t="shared" si="34"/>
        <v>47</v>
      </c>
    </row>
    <row r="786" spans="2:9" x14ac:dyDescent="0.2">
      <c r="B786" s="3"/>
      <c r="C786" s="3" t="s">
        <v>14</v>
      </c>
      <c r="D786" s="2">
        <v>32470</v>
      </c>
      <c r="E786" s="2">
        <v>1147</v>
      </c>
      <c r="F786" s="2">
        <f t="shared" si="36"/>
        <v>411</v>
      </c>
      <c r="G786" s="2">
        <f t="shared" si="34"/>
        <v>32</v>
      </c>
    </row>
    <row r="787" spans="2:9" x14ac:dyDescent="0.2">
      <c r="B787" s="3" t="s">
        <v>9</v>
      </c>
      <c r="C787" s="3" t="s">
        <v>10</v>
      </c>
      <c r="D787" s="2">
        <v>15104</v>
      </c>
      <c r="E787" s="2">
        <v>960</v>
      </c>
      <c r="F787" s="2">
        <f t="shared" si="36"/>
        <v>139</v>
      </c>
      <c r="G787" s="2">
        <f t="shared" si="34"/>
        <v>5</v>
      </c>
      <c r="H787" s="2">
        <f t="shared" si="35"/>
        <v>4631</v>
      </c>
      <c r="I787" s="2">
        <f>SUM(111188+116587)</f>
        <v>227775</v>
      </c>
    </row>
    <row r="788" spans="2:9" x14ac:dyDescent="0.2">
      <c r="B788" s="3"/>
      <c r="C788" s="3" t="s">
        <v>11</v>
      </c>
      <c r="D788" s="2">
        <v>13925</v>
      </c>
      <c r="E788" s="2">
        <v>673</v>
      </c>
      <c r="F788" s="2">
        <f t="shared" si="36"/>
        <v>217</v>
      </c>
      <c r="G788" s="2">
        <f t="shared" si="34"/>
        <v>12</v>
      </c>
    </row>
    <row r="789" spans="2:9" x14ac:dyDescent="0.2">
      <c r="B789" s="3"/>
      <c r="C789" s="3" t="s">
        <v>12</v>
      </c>
      <c r="D789" s="2">
        <v>13047</v>
      </c>
      <c r="E789" s="2">
        <v>1028</v>
      </c>
      <c r="F789" s="2">
        <f t="shared" si="36"/>
        <v>184</v>
      </c>
      <c r="G789" s="2">
        <f t="shared" si="34"/>
        <v>5</v>
      </c>
    </row>
    <row r="790" spans="2:9" x14ac:dyDescent="0.2">
      <c r="B790" s="3"/>
      <c r="C790" s="3" t="s">
        <v>36</v>
      </c>
      <c r="D790" s="2">
        <v>12011</v>
      </c>
      <c r="E790" s="2">
        <v>583</v>
      </c>
      <c r="F790" s="2">
        <f t="shared" si="36"/>
        <v>158</v>
      </c>
      <c r="G790" s="2">
        <f t="shared" si="34"/>
        <v>12</v>
      </c>
    </row>
    <row r="791" spans="2:9" x14ac:dyDescent="0.2">
      <c r="B791" s="3"/>
      <c r="C791" s="3" t="s">
        <v>37</v>
      </c>
      <c r="D791" s="2">
        <v>11349</v>
      </c>
      <c r="E791" s="2">
        <v>438</v>
      </c>
      <c r="F791" s="2">
        <f t="shared" si="36"/>
        <v>212</v>
      </c>
      <c r="G791" s="2">
        <f t="shared" si="34"/>
        <v>12</v>
      </c>
    </row>
    <row r="792" spans="2:9" x14ac:dyDescent="0.2">
      <c r="B792" s="3" t="s">
        <v>13</v>
      </c>
      <c r="C792" s="3" t="s">
        <v>14</v>
      </c>
      <c r="D792" s="2">
        <v>11883</v>
      </c>
      <c r="E792" s="2">
        <v>448</v>
      </c>
      <c r="F792" s="2">
        <f t="shared" si="36"/>
        <v>340</v>
      </c>
      <c r="G792" s="2">
        <f t="shared" si="34"/>
        <v>24</v>
      </c>
      <c r="H792" s="2">
        <f t="shared" si="35"/>
        <v>8787</v>
      </c>
      <c r="I792" s="2">
        <v>244887</v>
      </c>
    </row>
    <row r="793" spans="2:9" x14ac:dyDescent="0.2">
      <c r="B793" s="3"/>
      <c r="C793" s="3" t="s">
        <v>15</v>
      </c>
      <c r="D793" s="2">
        <v>12953</v>
      </c>
      <c r="E793" s="2">
        <v>700</v>
      </c>
      <c r="F793" s="2">
        <f t="shared" si="36"/>
        <v>305</v>
      </c>
      <c r="G793" s="2">
        <f t="shared" si="34"/>
        <v>30</v>
      </c>
    </row>
    <row r="794" spans="2:9" x14ac:dyDescent="0.2">
      <c r="B794" s="3"/>
      <c r="C794" s="3" t="s">
        <v>12</v>
      </c>
      <c r="D794" s="2">
        <v>7708</v>
      </c>
      <c r="E794" s="2">
        <v>359</v>
      </c>
      <c r="F794" s="2">
        <f t="shared" si="36"/>
        <v>219</v>
      </c>
      <c r="G794" s="2">
        <f t="shared" si="34"/>
        <v>9</v>
      </c>
    </row>
    <row r="795" spans="2:9" x14ac:dyDescent="0.2">
      <c r="B795" s="3"/>
      <c r="C795" s="3" t="s">
        <v>33</v>
      </c>
      <c r="D795" s="2">
        <v>5398</v>
      </c>
      <c r="E795" s="2">
        <v>429</v>
      </c>
      <c r="F795" s="2">
        <f t="shared" si="36"/>
        <v>110</v>
      </c>
      <c r="G795" s="2">
        <f t="shared" si="34"/>
        <v>11</v>
      </c>
    </row>
    <row r="796" spans="2:9" x14ac:dyDescent="0.2">
      <c r="B796" s="3"/>
      <c r="C796" s="3" t="s">
        <v>34</v>
      </c>
      <c r="D796" s="2">
        <v>4744</v>
      </c>
      <c r="E796" s="2">
        <v>215</v>
      </c>
      <c r="F796" s="2">
        <f t="shared" si="36"/>
        <v>172</v>
      </c>
      <c r="G796" s="2">
        <f t="shared" si="34"/>
        <v>9</v>
      </c>
    </row>
    <row r="797" spans="2:9" x14ac:dyDescent="0.2">
      <c r="B797" s="3" t="s">
        <v>23</v>
      </c>
      <c r="C797" s="3" t="s">
        <v>24</v>
      </c>
      <c r="D797" s="2">
        <v>15872</v>
      </c>
      <c r="E797" s="2">
        <v>1622</v>
      </c>
      <c r="F797" s="2">
        <f t="shared" si="36"/>
        <v>124</v>
      </c>
      <c r="G797" s="2">
        <f t="shared" si="34"/>
        <v>42</v>
      </c>
      <c r="H797" s="2">
        <f t="shared" si="35"/>
        <v>6754</v>
      </c>
      <c r="I797" s="2">
        <f>SUM(38210+119550)</f>
        <v>157760</v>
      </c>
    </row>
    <row r="798" spans="2:9" x14ac:dyDescent="0.2">
      <c r="B798" s="3"/>
      <c r="C798" s="3" t="s">
        <v>25</v>
      </c>
      <c r="E798" s="2">
        <v>631</v>
      </c>
      <c r="G798" s="2">
        <f t="shared" si="34"/>
        <v>11</v>
      </c>
    </row>
    <row r="799" spans="2:9" x14ac:dyDescent="0.2">
      <c r="B799" s="3"/>
      <c r="C799" s="3" t="s">
        <v>28</v>
      </c>
      <c r="D799" s="2">
        <v>5245</v>
      </c>
      <c r="E799" s="2">
        <v>527</v>
      </c>
      <c r="F799" s="2">
        <f t="shared" si="36"/>
        <v>42</v>
      </c>
      <c r="G799" s="2">
        <f t="shared" si="34"/>
        <v>7</v>
      </c>
    </row>
    <row r="800" spans="2:9" x14ac:dyDescent="0.2">
      <c r="B800" s="3"/>
      <c r="C800" s="3" t="s">
        <v>38</v>
      </c>
      <c r="D800" s="2">
        <v>1483</v>
      </c>
      <c r="E800" s="2">
        <v>165</v>
      </c>
      <c r="F800" s="2">
        <f t="shared" si="36"/>
        <v>16</v>
      </c>
      <c r="G800" s="2">
        <f t="shared" si="34"/>
        <v>4</v>
      </c>
    </row>
    <row r="801" spans="1:9" x14ac:dyDescent="0.2">
      <c r="B801" s="3"/>
      <c r="C801" s="3" t="s">
        <v>39</v>
      </c>
      <c r="D801" s="2">
        <v>1004</v>
      </c>
      <c r="E801" s="2">
        <v>55</v>
      </c>
      <c r="G801" s="2">
        <f t="shared" ref="G801:G864" si="37">SUM(E801-E771)</f>
        <v>5</v>
      </c>
    </row>
    <row r="802" spans="1:9" x14ac:dyDescent="0.2">
      <c r="B802" s="3" t="s">
        <v>16</v>
      </c>
      <c r="C802" s="3" t="s">
        <v>17</v>
      </c>
      <c r="D802" s="2">
        <v>11361</v>
      </c>
      <c r="E802" s="2">
        <v>484</v>
      </c>
      <c r="F802" s="2">
        <f t="shared" si="36"/>
        <v>209</v>
      </c>
      <c r="G802" s="2">
        <f t="shared" si="37"/>
        <v>12</v>
      </c>
      <c r="H802" s="2">
        <f t="shared" ref="H802:H862" si="38">SUM(I802-I772)</f>
        <v>4829</v>
      </c>
      <c r="I802" s="2">
        <f>SUM(42050+161372)</f>
        <v>203422</v>
      </c>
    </row>
    <row r="803" spans="1:9" x14ac:dyDescent="0.2">
      <c r="B803" s="3"/>
      <c r="C803" s="3" t="s">
        <v>18</v>
      </c>
      <c r="D803" s="2">
        <v>3817</v>
      </c>
      <c r="E803" s="2">
        <v>232</v>
      </c>
      <c r="F803" s="2">
        <f t="shared" si="36"/>
        <v>84</v>
      </c>
      <c r="G803" s="2">
        <f t="shared" si="37"/>
        <v>15</v>
      </c>
    </row>
    <row r="804" spans="1:9" x14ac:dyDescent="0.2">
      <c r="B804" s="3"/>
      <c r="C804" s="3" t="s">
        <v>19</v>
      </c>
      <c r="D804" s="2">
        <v>3361</v>
      </c>
      <c r="E804" s="2">
        <v>145</v>
      </c>
      <c r="F804" s="2">
        <f t="shared" si="36"/>
        <v>80</v>
      </c>
      <c r="G804" s="2">
        <f t="shared" si="37"/>
        <v>2</v>
      </c>
    </row>
    <row r="805" spans="1:9" x14ac:dyDescent="0.2">
      <c r="B805" s="3"/>
      <c r="C805" s="3" t="s">
        <v>40</v>
      </c>
      <c r="D805" s="2">
        <v>2636</v>
      </c>
      <c r="E805" s="2">
        <v>56</v>
      </c>
      <c r="F805" s="2">
        <f t="shared" si="36"/>
        <v>35</v>
      </c>
      <c r="G805" s="2">
        <f t="shared" si="37"/>
        <v>5</v>
      </c>
    </row>
    <row r="806" spans="1:9" x14ac:dyDescent="0.2">
      <c r="B806" s="3"/>
      <c r="C806" s="3" t="s">
        <v>41</v>
      </c>
      <c r="D806" s="2">
        <v>2526</v>
      </c>
      <c r="E806" s="2">
        <v>89</v>
      </c>
      <c r="F806" s="2">
        <f t="shared" si="36"/>
        <v>35</v>
      </c>
      <c r="G806" s="2">
        <f t="shared" si="37"/>
        <v>1</v>
      </c>
    </row>
    <row r="807" spans="1:9" x14ac:dyDescent="0.2">
      <c r="B807" s="3" t="s">
        <v>20</v>
      </c>
      <c r="C807" s="3" t="s">
        <v>22</v>
      </c>
      <c r="D807" s="2">
        <v>20456</v>
      </c>
      <c r="E807" s="2">
        <v>942</v>
      </c>
      <c r="F807" s="2">
        <f t="shared" si="36"/>
        <v>886</v>
      </c>
      <c r="G807" s="2">
        <f t="shared" si="37"/>
        <v>29</v>
      </c>
      <c r="H807" s="2">
        <f t="shared" si="38"/>
        <v>24099</v>
      </c>
      <c r="I807" s="2">
        <v>577608</v>
      </c>
    </row>
    <row r="808" spans="1:9" x14ac:dyDescent="0.2">
      <c r="B808" s="3"/>
      <c r="C808" s="3" t="s">
        <v>26</v>
      </c>
      <c r="D808" s="2">
        <v>3143</v>
      </c>
      <c r="E808" s="2">
        <v>128</v>
      </c>
      <c r="F808" s="2">
        <f t="shared" si="36"/>
        <v>98</v>
      </c>
      <c r="G808" s="2">
        <f t="shared" si="37"/>
        <v>5</v>
      </c>
    </row>
    <row r="809" spans="1:9" x14ac:dyDescent="0.2">
      <c r="B809" s="3"/>
      <c r="C809" s="3" t="s">
        <v>27</v>
      </c>
      <c r="E809" s="2">
        <v>138</v>
      </c>
      <c r="G809" s="2">
        <f t="shared" si="37"/>
        <v>7</v>
      </c>
    </row>
    <row r="810" spans="1:9" x14ac:dyDescent="0.2">
      <c r="C810" s="3" t="s">
        <v>42</v>
      </c>
      <c r="D810" s="2">
        <v>2104</v>
      </c>
      <c r="E810" s="2">
        <v>105</v>
      </c>
      <c r="F810" s="2">
        <f t="shared" si="36"/>
        <v>7</v>
      </c>
      <c r="G810" s="2">
        <f t="shared" si="37"/>
        <v>3</v>
      </c>
    </row>
    <row r="811" spans="1:9" x14ac:dyDescent="0.2">
      <c r="C811" s="3" t="s">
        <v>43</v>
      </c>
      <c r="D811" s="2">
        <v>2198</v>
      </c>
      <c r="E811" s="2">
        <v>42</v>
      </c>
      <c r="F811" s="2">
        <f t="shared" si="36"/>
        <v>74</v>
      </c>
      <c r="G811" s="2">
        <f t="shared" si="37"/>
        <v>2</v>
      </c>
    </row>
    <row r="812" spans="1:9" x14ac:dyDescent="0.2">
      <c r="A812" s="1">
        <v>43949</v>
      </c>
      <c r="B812" s="3" t="s">
        <v>5</v>
      </c>
      <c r="C812" s="3" t="s">
        <v>6</v>
      </c>
      <c r="D812" s="2">
        <v>49929</v>
      </c>
      <c r="E812" s="2">
        <v>3153</v>
      </c>
      <c r="F812" s="2">
        <f t="shared" si="36"/>
        <v>530</v>
      </c>
      <c r="G812" s="2">
        <f t="shared" si="37"/>
        <v>48</v>
      </c>
      <c r="H812" s="2">
        <f t="shared" si="38"/>
        <v>18899</v>
      </c>
      <c r="I812" s="2">
        <v>844994</v>
      </c>
    </row>
    <row r="813" spans="1:9" x14ac:dyDescent="0.2">
      <c r="B813" s="3"/>
      <c r="C813" s="3" t="s">
        <v>7</v>
      </c>
      <c r="D813" s="2">
        <v>43587</v>
      </c>
      <c r="E813" s="2">
        <v>3598</v>
      </c>
      <c r="F813" s="2">
        <f t="shared" si="36"/>
        <v>573</v>
      </c>
      <c r="G813" s="2">
        <f t="shared" si="37"/>
        <v>60</v>
      </c>
    </row>
    <row r="814" spans="1:9" x14ac:dyDescent="0.2">
      <c r="B814" s="3"/>
      <c r="C814" s="3" t="s">
        <v>8</v>
      </c>
      <c r="D814" s="2">
        <v>35085</v>
      </c>
      <c r="E814" s="2">
        <v>2039</v>
      </c>
      <c r="F814" s="2">
        <f t="shared" si="36"/>
        <v>220</v>
      </c>
      <c r="G814" s="2">
        <f t="shared" si="37"/>
        <v>36</v>
      </c>
    </row>
    <row r="815" spans="1:9" x14ac:dyDescent="0.2">
      <c r="B815" s="3"/>
      <c r="C815" s="3" t="s">
        <v>35</v>
      </c>
      <c r="D815" s="2">
        <v>35994</v>
      </c>
      <c r="E815" s="2">
        <v>2367</v>
      </c>
      <c r="F815" s="2">
        <f t="shared" ref="F815:F878" si="39">SUM(D815-D785)</f>
        <v>438</v>
      </c>
      <c r="G815" s="2">
        <f t="shared" si="37"/>
        <v>42</v>
      </c>
    </row>
    <row r="816" spans="1:9" x14ac:dyDescent="0.2">
      <c r="B816" s="3"/>
      <c r="C816" s="3" t="s">
        <v>14</v>
      </c>
      <c r="D816" s="2">
        <v>32724</v>
      </c>
      <c r="E816" s="2">
        <v>1179</v>
      </c>
      <c r="F816" s="2">
        <f t="shared" si="39"/>
        <v>254</v>
      </c>
      <c r="G816" s="2">
        <f t="shared" si="37"/>
        <v>32</v>
      </c>
    </row>
    <row r="817" spans="2:9" x14ac:dyDescent="0.2">
      <c r="B817" s="3" t="s">
        <v>9</v>
      </c>
      <c r="C817" s="3" t="s">
        <v>10</v>
      </c>
      <c r="D817" s="2">
        <v>15251</v>
      </c>
      <c r="E817" s="2">
        <v>1002</v>
      </c>
      <c r="F817" s="2">
        <f t="shared" si="39"/>
        <v>147</v>
      </c>
      <c r="G817" s="2">
        <f t="shared" si="37"/>
        <v>42</v>
      </c>
      <c r="H817" s="2">
        <f t="shared" si="38"/>
        <v>6584</v>
      </c>
      <c r="I817" s="2">
        <f>SUM(113856+120503)</f>
        <v>234359</v>
      </c>
    </row>
    <row r="818" spans="2:9" x14ac:dyDescent="0.2">
      <c r="B818" s="3"/>
      <c r="C818" s="3" t="s">
        <v>11</v>
      </c>
      <c r="D818" s="2">
        <v>14309</v>
      </c>
      <c r="E818" s="2">
        <v>722</v>
      </c>
      <c r="F818" s="2">
        <f t="shared" si="39"/>
        <v>384</v>
      </c>
      <c r="G818" s="2">
        <f t="shared" si="37"/>
        <v>49</v>
      </c>
    </row>
    <row r="819" spans="2:9" x14ac:dyDescent="0.2">
      <c r="B819" s="3"/>
      <c r="C819" s="3" t="s">
        <v>12</v>
      </c>
      <c r="D819" s="2">
        <v>13190</v>
      </c>
      <c r="E819" s="2">
        <v>1090</v>
      </c>
      <c r="F819" s="2">
        <f t="shared" si="39"/>
        <v>143</v>
      </c>
      <c r="G819" s="2">
        <f t="shared" si="37"/>
        <v>62</v>
      </c>
    </row>
    <row r="820" spans="2:9" x14ac:dyDescent="0.2">
      <c r="B820" s="3"/>
      <c r="C820" s="3" t="s">
        <v>36</v>
      </c>
      <c r="D820" s="2">
        <v>12188</v>
      </c>
      <c r="E820" s="2">
        <v>627</v>
      </c>
      <c r="F820" s="2">
        <f t="shared" si="39"/>
        <v>177</v>
      </c>
      <c r="G820" s="2">
        <f t="shared" si="37"/>
        <v>44</v>
      </c>
    </row>
    <row r="821" spans="2:9" x14ac:dyDescent="0.2">
      <c r="B821" s="3"/>
      <c r="C821" s="3" t="s">
        <v>37</v>
      </c>
      <c r="D821" s="2">
        <v>11755</v>
      </c>
      <c r="E821" s="2">
        <v>475</v>
      </c>
      <c r="F821" s="2">
        <f t="shared" si="39"/>
        <v>406</v>
      </c>
      <c r="G821" s="2">
        <f t="shared" si="37"/>
        <v>37</v>
      </c>
    </row>
    <row r="822" spans="2:9" x14ac:dyDescent="0.2">
      <c r="B822" s="3" t="s">
        <v>13</v>
      </c>
      <c r="C822" s="3" t="s">
        <v>14</v>
      </c>
      <c r="D822" s="2">
        <v>12140</v>
      </c>
      <c r="E822" s="2">
        <v>469</v>
      </c>
      <c r="F822" s="2">
        <f t="shared" si="39"/>
        <v>257</v>
      </c>
      <c r="G822" s="2">
        <f t="shared" si="37"/>
        <v>21</v>
      </c>
      <c r="H822" s="2">
        <f t="shared" si="38"/>
        <v>9613</v>
      </c>
      <c r="I822" s="2">
        <v>254500</v>
      </c>
    </row>
    <row r="823" spans="2:9" x14ac:dyDescent="0.2">
      <c r="B823" s="3"/>
      <c r="C823" s="3" t="s">
        <v>15</v>
      </c>
      <c r="D823" s="2">
        <v>13417</v>
      </c>
      <c r="E823" s="2">
        <v>731</v>
      </c>
      <c r="F823" s="2">
        <f t="shared" si="39"/>
        <v>464</v>
      </c>
      <c r="G823" s="2">
        <f t="shared" si="37"/>
        <v>31</v>
      </c>
    </row>
    <row r="824" spans="2:9" x14ac:dyDescent="0.2">
      <c r="B824" s="3"/>
      <c r="C824" s="3" t="s">
        <v>12</v>
      </c>
      <c r="D824" s="2">
        <v>7972</v>
      </c>
      <c r="E824" s="2">
        <v>383</v>
      </c>
      <c r="F824" s="2">
        <f t="shared" si="39"/>
        <v>264</v>
      </c>
      <c r="G824" s="2">
        <f t="shared" si="37"/>
        <v>24</v>
      </c>
    </row>
    <row r="825" spans="2:9" x14ac:dyDescent="0.2">
      <c r="B825" s="3"/>
      <c r="C825" s="3" t="s">
        <v>33</v>
      </c>
      <c r="D825" s="2">
        <v>5567</v>
      </c>
      <c r="E825" s="2">
        <v>448</v>
      </c>
      <c r="F825" s="2">
        <f t="shared" si="39"/>
        <v>169</v>
      </c>
      <c r="G825" s="2">
        <f t="shared" si="37"/>
        <v>19</v>
      </c>
    </row>
    <row r="826" spans="2:9" x14ac:dyDescent="0.2">
      <c r="B826" s="3"/>
      <c r="C826" s="3" t="s">
        <v>34</v>
      </c>
      <c r="D826" s="2">
        <v>4999</v>
      </c>
      <c r="E826" s="2">
        <v>229</v>
      </c>
      <c r="F826" s="2">
        <f t="shared" si="39"/>
        <v>255</v>
      </c>
      <c r="G826" s="2">
        <f t="shared" si="37"/>
        <v>14</v>
      </c>
    </row>
    <row r="827" spans="2:9" x14ac:dyDescent="0.2">
      <c r="B827" s="3" t="s">
        <v>23</v>
      </c>
      <c r="C827" s="3" t="s">
        <v>24</v>
      </c>
      <c r="D827" s="2">
        <v>16173</v>
      </c>
      <c r="E827" s="2">
        <v>1682</v>
      </c>
      <c r="F827" s="2">
        <f t="shared" si="39"/>
        <v>301</v>
      </c>
      <c r="G827" s="2">
        <f t="shared" si="37"/>
        <v>60</v>
      </c>
      <c r="H827" s="2">
        <f t="shared" si="38"/>
        <v>7045</v>
      </c>
      <c r="I827" s="2">
        <f>SUM(39262+125543)</f>
        <v>164805</v>
      </c>
    </row>
    <row r="828" spans="2:9" x14ac:dyDescent="0.2">
      <c r="B828" s="3"/>
      <c r="C828" s="3" t="s">
        <v>25</v>
      </c>
      <c r="D828" s="2">
        <v>7012</v>
      </c>
      <c r="E828" s="2">
        <v>654</v>
      </c>
      <c r="G828" s="2">
        <f t="shared" si="37"/>
        <v>23</v>
      </c>
    </row>
    <row r="829" spans="2:9" x14ac:dyDescent="0.2">
      <c r="B829" s="3"/>
      <c r="C829" s="3" t="s">
        <v>28</v>
      </c>
      <c r="D829" s="2">
        <v>5339</v>
      </c>
      <c r="E829" s="2">
        <v>572</v>
      </c>
      <c r="F829" s="2">
        <f t="shared" si="39"/>
        <v>94</v>
      </c>
      <c r="G829" s="2">
        <f t="shared" si="37"/>
        <v>45</v>
      </c>
    </row>
    <row r="830" spans="2:9" x14ac:dyDescent="0.2">
      <c r="B830" s="3"/>
      <c r="C830" s="3" t="s">
        <v>38</v>
      </c>
      <c r="D830" s="2">
        <v>1533</v>
      </c>
      <c r="E830" s="2">
        <v>174</v>
      </c>
      <c r="F830" s="2">
        <f t="shared" si="39"/>
        <v>50</v>
      </c>
      <c r="G830" s="2">
        <f t="shared" si="37"/>
        <v>9</v>
      </c>
    </row>
    <row r="831" spans="2:9" x14ac:dyDescent="0.2">
      <c r="B831" s="3"/>
      <c r="C831" s="3" t="s">
        <v>39</v>
      </c>
      <c r="D831" s="2">
        <v>1033</v>
      </c>
      <c r="E831" s="2">
        <v>56</v>
      </c>
      <c r="F831" s="2">
        <f t="shared" si="39"/>
        <v>29</v>
      </c>
      <c r="G831" s="2">
        <f t="shared" si="37"/>
        <v>1</v>
      </c>
    </row>
    <row r="832" spans="2:9" x14ac:dyDescent="0.2">
      <c r="B832" s="3" t="s">
        <v>16</v>
      </c>
      <c r="C832" s="3" t="s">
        <v>17</v>
      </c>
      <c r="D832" s="2">
        <v>11604</v>
      </c>
      <c r="E832" s="2">
        <v>516</v>
      </c>
      <c r="F832" s="2">
        <f t="shared" si="39"/>
        <v>243</v>
      </c>
      <c r="G832" s="2">
        <f t="shared" si="37"/>
        <v>32</v>
      </c>
      <c r="H832" s="2">
        <f t="shared" si="38"/>
        <v>5666</v>
      </c>
      <c r="I832" s="2">
        <f>SUM(43264+165824)</f>
        <v>209088</v>
      </c>
    </row>
    <row r="833" spans="1:9" x14ac:dyDescent="0.2">
      <c r="B833" s="3"/>
      <c r="C833" s="3" t="s">
        <v>18</v>
      </c>
      <c r="D833" s="2">
        <v>4043</v>
      </c>
      <c r="E833" s="2">
        <v>249</v>
      </c>
      <c r="F833" s="2">
        <f t="shared" si="39"/>
        <v>226</v>
      </c>
      <c r="G833" s="2">
        <f t="shared" si="37"/>
        <v>17</v>
      </c>
    </row>
    <row r="834" spans="1:9" x14ac:dyDescent="0.2">
      <c r="B834" s="3"/>
      <c r="C834" s="3" t="s">
        <v>19</v>
      </c>
      <c r="D834" s="2">
        <v>3463</v>
      </c>
      <c r="E834" s="2">
        <v>164</v>
      </c>
      <c r="F834" s="2">
        <f t="shared" si="39"/>
        <v>102</v>
      </c>
      <c r="G834" s="2">
        <f t="shared" si="37"/>
        <v>19</v>
      </c>
    </row>
    <row r="835" spans="1:9" x14ac:dyDescent="0.2">
      <c r="B835" s="3"/>
      <c r="C835" s="3" t="s">
        <v>40</v>
      </c>
      <c r="D835" s="2">
        <v>2685</v>
      </c>
      <c r="E835" s="2">
        <v>64</v>
      </c>
      <c r="F835" s="2">
        <f t="shared" si="39"/>
        <v>49</v>
      </c>
      <c r="G835" s="2">
        <f t="shared" si="37"/>
        <v>8</v>
      </c>
    </row>
    <row r="836" spans="1:9" x14ac:dyDescent="0.2">
      <c r="B836" s="3"/>
      <c r="C836" s="3" t="s">
        <v>41</v>
      </c>
      <c r="D836" s="2">
        <v>2605</v>
      </c>
      <c r="E836" s="2">
        <v>91</v>
      </c>
      <c r="F836" s="2">
        <f t="shared" si="39"/>
        <v>79</v>
      </c>
      <c r="G836" s="2">
        <f t="shared" si="37"/>
        <v>2</v>
      </c>
    </row>
    <row r="837" spans="1:9" x14ac:dyDescent="0.2">
      <c r="B837" s="3" t="s">
        <v>20</v>
      </c>
      <c r="C837" s="3" t="s">
        <v>22</v>
      </c>
      <c r="D837" s="2">
        <v>21029</v>
      </c>
      <c r="E837" s="2">
        <v>1000</v>
      </c>
      <c r="F837" s="2">
        <f t="shared" si="39"/>
        <v>573</v>
      </c>
      <c r="G837" s="2">
        <f t="shared" si="37"/>
        <v>58</v>
      </c>
      <c r="H837" s="2">
        <f t="shared" si="38"/>
        <v>25531</v>
      </c>
      <c r="I837" s="2">
        <v>603139</v>
      </c>
    </row>
    <row r="838" spans="1:9" x14ac:dyDescent="0.2">
      <c r="B838" s="3"/>
      <c r="C838" s="3" t="s">
        <v>26</v>
      </c>
      <c r="D838" s="2">
        <v>3316</v>
      </c>
      <c r="E838" s="2">
        <v>133</v>
      </c>
      <c r="F838" s="2">
        <f t="shared" si="39"/>
        <v>173</v>
      </c>
      <c r="G838" s="2">
        <f t="shared" si="37"/>
        <v>5</v>
      </c>
    </row>
    <row r="839" spans="1:9" x14ac:dyDescent="0.2">
      <c r="B839" s="3"/>
      <c r="C839" s="3" t="s">
        <v>27</v>
      </c>
      <c r="D839" s="2">
        <v>3643</v>
      </c>
      <c r="E839" s="2">
        <v>142</v>
      </c>
      <c r="G839" s="2">
        <f t="shared" si="37"/>
        <v>4</v>
      </c>
    </row>
    <row r="840" spans="1:9" x14ac:dyDescent="0.2">
      <c r="C840" s="3" t="s">
        <v>42</v>
      </c>
      <c r="D840" s="2">
        <v>2130</v>
      </c>
      <c r="E840" s="2">
        <v>106</v>
      </c>
      <c r="F840" s="2">
        <f t="shared" si="39"/>
        <v>26</v>
      </c>
      <c r="G840" s="2">
        <f t="shared" si="37"/>
        <v>1</v>
      </c>
    </row>
    <row r="841" spans="1:9" x14ac:dyDescent="0.2">
      <c r="C841" s="3" t="s">
        <v>43</v>
      </c>
      <c r="D841" s="2">
        <v>2324</v>
      </c>
      <c r="E841" s="2">
        <v>42</v>
      </c>
      <c r="F841" s="2">
        <f t="shared" si="39"/>
        <v>126</v>
      </c>
      <c r="G841" s="2">
        <f t="shared" si="37"/>
        <v>0</v>
      </c>
    </row>
    <row r="842" spans="1:9" x14ac:dyDescent="0.2">
      <c r="A842" s="1">
        <v>43950</v>
      </c>
      <c r="B842" s="3" t="s">
        <v>5</v>
      </c>
      <c r="C842" s="3" t="s">
        <v>6</v>
      </c>
      <c r="D842" s="2">
        <v>50741</v>
      </c>
      <c r="E842" s="2">
        <v>3244</v>
      </c>
      <c r="F842" s="2">
        <f t="shared" si="39"/>
        <v>812</v>
      </c>
      <c r="G842" s="2">
        <f t="shared" si="37"/>
        <v>91</v>
      </c>
      <c r="H842" s="2">
        <f t="shared" si="38"/>
        <v>27487</v>
      </c>
      <c r="I842" s="2">
        <v>872481</v>
      </c>
    </row>
    <row r="843" spans="1:9" x14ac:dyDescent="0.2">
      <c r="B843" s="3"/>
      <c r="C843" s="3" t="s">
        <v>7</v>
      </c>
      <c r="D843" s="2">
        <v>44236</v>
      </c>
      <c r="E843" s="2">
        <v>3667</v>
      </c>
      <c r="F843" s="2">
        <f t="shared" si="39"/>
        <v>649</v>
      </c>
      <c r="G843" s="2">
        <f t="shared" si="37"/>
        <v>69</v>
      </c>
    </row>
    <row r="844" spans="1:9" x14ac:dyDescent="0.2">
      <c r="B844" s="3"/>
      <c r="C844" s="3" t="s">
        <v>8</v>
      </c>
      <c r="D844" s="2">
        <v>35505</v>
      </c>
      <c r="E844" s="2">
        <v>2077</v>
      </c>
      <c r="F844" s="2">
        <f t="shared" si="39"/>
        <v>420</v>
      </c>
      <c r="G844" s="2">
        <f t="shared" si="37"/>
        <v>38</v>
      </c>
    </row>
    <row r="845" spans="1:9" x14ac:dyDescent="0.2">
      <c r="B845" s="3"/>
      <c r="C845" s="3" t="s">
        <v>35</v>
      </c>
      <c r="D845" s="2">
        <v>36600</v>
      </c>
      <c r="E845" s="2">
        <v>2413</v>
      </c>
      <c r="F845" s="2">
        <f t="shared" si="39"/>
        <v>606</v>
      </c>
      <c r="G845" s="2">
        <f t="shared" si="37"/>
        <v>46</v>
      </c>
    </row>
    <row r="846" spans="1:9" x14ac:dyDescent="0.2">
      <c r="B846" s="3"/>
      <c r="C846" s="3" t="s">
        <v>14</v>
      </c>
      <c r="D846" s="2">
        <v>33265</v>
      </c>
      <c r="E846" s="2">
        <v>1205</v>
      </c>
      <c r="F846" s="2">
        <f t="shared" si="39"/>
        <v>541</v>
      </c>
      <c r="G846" s="2">
        <f t="shared" si="37"/>
        <v>26</v>
      </c>
    </row>
    <row r="847" spans="1:9" x14ac:dyDescent="0.2">
      <c r="B847" s="3" t="s">
        <v>9</v>
      </c>
      <c r="C847" s="3" t="s">
        <v>10</v>
      </c>
      <c r="D847" s="2">
        <v>15446</v>
      </c>
      <c r="E847" s="2">
        <v>1057</v>
      </c>
      <c r="F847" s="2">
        <f t="shared" si="39"/>
        <v>195</v>
      </c>
      <c r="G847" s="2">
        <f t="shared" si="37"/>
        <v>55</v>
      </c>
      <c r="H847" s="2">
        <f t="shared" si="38"/>
        <v>6959</v>
      </c>
      <c r="I847" s="2">
        <f>SUM(116264+125054)</f>
        <v>241318</v>
      </c>
    </row>
    <row r="848" spans="1:9" x14ac:dyDescent="0.2">
      <c r="B848" s="3"/>
      <c r="C848" s="3" t="s">
        <v>11</v>
      </c>
      <c r="D848" s="2">
        <v>14596</v>
      </c>
      <c r="E848" s="2">
        <v>758</v>
      </c>
      <c r="F848" s="2">
        <f t="shared" si="39"/>
        <v>287</v>
      </c>
      <c r="G848" s="2">
        <f t="shared" si="37"/>
        <v>36</v>
      </c>
    </row>
    <row r="849" spans="2:10" x14ac:dyDescent="0.2">
      <c r="B849" s="3"/>
      <c r="C849" s="3" t="s">
        <v>12</v>
      </c>
      <c r="D849" s="2">
        <v>13445</v>
      </c>
      <c r="E849" s="2">
        <v>1139</v>
      </c>
      <c r="F849" s="2">
        <f t="shared" si="39"/>
        <v>255</v>
      </c>
      <c r="G849" s="2">
        <f t="shared" si="37"/>
        <v>49</v>
      </c>
    </row>
    <row r="850" spans="2:10" x14ac:dyDescent="0.2">
      <c r="B850" s="3"/>
      <c r="C850" s="3" t="s">
        <v>36</v>
      </c>
      <c r="D850" s="2">
        <v>12380</v>
      </c>
      <c r="E850" s="2">
        <v>653</v>
      </c>
      <c r="F850" s="2">
        <f t="shared" si="39"/>
        <v>192</v>
      </c>
      <c r="G850" s="2">
        <f t="shared" si="37"/>
        <v>26</v>
      </c>
    </row>
    <row r="851" spans="2:10" x14ac:dyDescent="0.2">
      <c r="B851" s="3"/>
      <c r="C851" s="3" t="s">
        <v>37</v>
      </c>
      <c r="D851" s="2">
        <v>12185</v>
      </c>
      <c r="E851" s="2">
        <v>516</v>
      </c>
      <c r="F851" s="2">
        <f t="shared" si="39"/>
        <v>430</v>
      </c>
      <c r="G851" s="2">
        <f t="shared" si="37"/>
        <v>41</v>
      </c>
    </row>
    <row r="852" spans="2:10" x14ac:dyDescent="0.2">
      <c r="B852" s="3" t="s">
        <v>13</v>
      </c>
      <c r="C852" s="3" t="s">
        <v>14</v>
      </c>
      <c r="D852" s="2">
        <v>12539</v>
      </c>
      <c r="E852" s="2">
        <v>504</v>
      </c>
      <c r="F852" s="2">
        <f t="shared" si="39"/>
        <v>399</v>
      </c>
      <c r="G852" s="2">
        <f t="shared" si="37"/>
        <v>35</v>
      </c>
      <c r="H852" s="2">
        <f t="shared" si="38"/>
        <v>11118</v>
      </c>
      <c r="I852" s="2">
        <v>265618</v>
      </c>
    </row>
    <row r="853" spans="2:10" x14ac:dyDescent="0.2">
      <c r="B853" s="3"/>
      <c r="C853" s="3" t="s">
        <v>15</v>
      </c>
      <c r="D853" s="2">
        <v>13799</v>
      </c>
      <c r="E853" s="2">
        <v>802</v>
      </c>
      <c r="F853" s="2">
        <f t="shared" si="39"/>
        <v>382</v>
      </c>
      <c r="G853" s="2">
        <f t="shared" si="37"/>
        <v>71</v>
      </c>
    </row>
    <row r="854" spans="2:10" x14ac:dyDescent="0.2">
      <c r="B854" s="3"/>
      <c r="C854" s="3" t="s">
        <v>12</v>
      </c>
      <c r="D854" s="2">
        <v>8380</v>
      </c>
      <c r="E854" s="2">
        <v>425</v>
      </c>
      <c r="F854" s="2">
        <f t="shared" si="39"/>
        <v>408</v>
      </c>
      <c r="G854" s="2">
        <f t="shared" si="37"/>
        <v>42</v>
      </c>
    </row>
    <row r="855" spans="2:10" x14ac:dyDescent="0.2">
      <c r="B855" s="3"/>
      <c r="C855" s="3" t="s">
        <v>33</v>
      </c>
      <c r="D855" s="2">
        <v>5700</v>
      </c>
      <c r="E855" s="2">
        <v>484</v>
      </c>
      <c r="F855" s="2">
        <f t="shared" si="39"/>
        <v>133</v>
      </c>
      <c r="G855" s="2">
        <f t="shared" si="37"/>
        <v>36</v>
      </c>
    </row>
    <row r="856" spans="2:10" x14ac:dyDescent="0.2">
      <c r="B856" s="3"/>
      <c r="C856" s="3" t="s">
        <v>34</v>
      </c>
      <c r="D856" s="2">
        <v>5300</v>
      </c>
      <c r="E856" s="2">
        <v>253</v>
      </c>
      <c r="F856" s="2">
        <f t="shared" si="39"/>
        <v>301</v>
      </c>
      <c r="G856" s="2">
        <f t="shared" si="37"/>
        <v>24</v>
      </c>
    </row>
    <row r="857" spans="2:10" x14ac:dyDescent="0.2">
      <c r="B857" s="3" t="s">
        <v>23</v>
      </c>
      <c r="C857" s="3" t="s">
        <v>24</v>
      </c>
      <c r="D857" s="2">
        <v>16494</v>
      </c>
      <c r="E857" s="2">
        <v>1727</v>
      </c>
      <c r="F857" s="2">
        <f t="shared" si="39"/>
        <v>321</v>
      </c>
      <c r="G857" s="2">
        <f t="shared" si="37"/>
        <v>45</v>
      </c>
      <c r="H857" s="2">
        <f t="shared" si="38"/>
        <v>7547</v>
      </c>
      <c r="I857" s="2">
        <f>SUM(40399+131953)</f>
        <v>172352</v>
      </c>
    </row>
    <row r="858" spans="2:10" x14ac:dyDescent="0.2">
      <c r="B858" s="3"/>
      <c r="C858" s="3" t="s">
        <v>25</v>
      </c>
      <c r="D858" s="2">
        <v>7159</v>
      </c>
      <c r="E858" s="2">
        <v>668</v>
      </c>
      <c r="F858" s="2">
        <f t="shared" si="39"/>
        <v>147</v>
      </c>
      <c r="G858" s="2">
        <f t="shared" si="37"/>
        <v>14</v>
      </c>
      <c r="J858" s="2"/>
    </row>
    <row r="859" spans="2:10" x14ac:dyDescent="0.2">
      <c r="B859" s="3"/>
      <c r="C859" s="3" t="s">
        <v>28</v>
      </c>
      <c r="D859" s="2">
        <v>5430</v>
      </c>
      <c r="E859" s="2">
        <v>597</v>
      </c>
      <c r="F859" s="2">
        <f t="shared" si="39"/>
        <v>91</v>
      </c>
      <c r="G859" s="2">
        <f t="shared" si="37"/>
        <v>25</v>
      </c>
      <c r="J859" s="2"/>
    </row>
    <row r="860" spans="2:10" x14ac:dyDescent="0.2">
      <c r="B860" s="3"/>
      <c r="C860" s="3" t="s">
        <v>38</v>
      </c>
      <c r="D860" s="2">
        <v>1564</v>
      </c>
      <c r="E860" s="2">
        <v>180</v>
      </c>
      <c r="F860" s="2">
        <f t="shared" si="39"/>
        <v>31</v>
      </c>
      <c r="G860" s="2">
        <f t="shared" si="37"/>
        <v>6</v>
      </c>
      <c r="J860" s="2"/>
    </row>
    <row r="861" spans="2:10" x14ac:dyDescent="0.2">
      <c r="B861" s="3"/>
      <c r="C861" s="3" t="s">
        <v>39</v>
      </c>
      <c r="D861" s="2">
        <v>1049</v>
      </c>
      <c r="E861" s="2">
        <v>59</v>
      </c>
      <c r="F861" s="2">
        <f t="shared" si="39"/>
        <v>16</v>
      </c>
      <c r="G861" s="2">
        <f t="shared" si="37"/>
        <v>3</v>
      </c>
      <c r="J861" s="2"/>
    </row>
    <row r="862" spans="2:10" x14ac:dyDescent="0.2">
      <c r="B862" s="3" t="s">
        <v>16</v>
      </c>
      <c r="C862" s="3" t="s">
        <v>17</v>
      </c>
      <c r="D862" s="2">
        <v>11885</v>
      </c>
      <c r="E862" s="2">
        <v>516</v>
      </c>
      <c r="F862" s="2">
        <f t="shared" si="39"/>
        <v>281</v>
      </c>
      <c r="G862" s="2">
        <f t="shared" si="37"/>
        <v>0</v>
      </c>
      <c r="H862" s="2">
        <f t="shared" si="38"/>
        <v>5795</v>
      </c>
      <c r="I862" s="2">
        <f>SUM(44366+170517)</f>
        <v>214883</v>
      </c>
    </row>
    <row r="863" spans="2:10" x14ac:dyDescent="0.2">
      <c r="B863" s="3"/>
      <c r="C863" s="3" t="s">
        <v>18</v>
      </c>
      <c r="D863" s="2">
        <v>4177</v>
      </c>
      <c r="E863" s="2">
        <v>329</v>
      </c>
      <c r="F863" s="2">
        <f t="shared" si="39"/>
        <v>134</v>
      </c>
      <c r="G863" s="2">
        <f t="shared" si="37"/>
        <v>80</v>
      </c>
    </row>
    <row r="864" spans="2:10" x14ac:dyDescent="0.2">
      <c r="B864" s="3"/>
      <c r="C864" s="3" t="s">
        <v>19</v>
      </c>
      <c r="D864" s="2">
        <v>3619</v>
      </c>
      <c r="E864" s="2">
        <v>224</v>
      </c>
      <c r="F864" s="2">
        <f t="shared" si="39"/>
        <v>156</v>
      </c>
      <c r="G864" s="2">
        <f t="shared" si="37"/>
        <v>60</v>
      </c>
    </row>
    <row r="865" spans="1:9" x14ac:dyDescent="0.2">
      <c r="B865" s="3"/>
      <c r="C865" s="3" t="s">
        <v>40</v>
      </c>
      <c r="D865" s="2">
        <v>2719</v>
      </c>
      <c r="E865" s="2">
        <v>72</v>
      </c>
      <c r="F865" s="2">
        <f t="shared" si="39"/>
        <v>34</v>
      </c>
      <c r="G865" s="2">
        <f t="shared" ref="G865:G928" si="40">SUM(E865-E835)</f>
        <v>8</v>
      </c>
    </row>
    <row r="866" spans="1:9" x14ac:dyDescent="0.2">
      <c r="B866" s="3"/>
      <c r="C866" s="3" t="s">
        <v>41</v>
      </c>
      <c r="D866" s="2">
        <v>2637</v>
      </c>
      <c r="E866" s="2">
        <v>116</v>
      </c>
      <c r="F866" s="2">
        <f t="shared" si="39"/>
        <v>32</v>
      </c>
      <c r="G866" s="2">
        <f t="shared" si="40"/>
        <v>25</v>
      </c>
    </row>
    <row r="867" spans="1:9" x14ac:dyDescent="0.2">
      <c r="B867" s="3" t="s">
        <v>20</v>
      </c>
      <c r="C867" s="3" t="s">
        <v>22</v>
      </c>
      <c r="D867" s="2">
        <v>22560</v>
      </c>
      <c r="E867" s="2">
        <v>1056</v>
      </c>
      <c r="F867" s="2">
        <f t="shared" si="39"/>
        <v>1531</v>
      </c>
      <c r="G867" s="2">
        <f t="shared" si="40"/>
        <v>56</v>
      </c>
      <c r="H867" s="2">
        <f t="shared" ref="H867:H927" si="41">SUM(I867-I837)</f>
        <v>22198</v>
      </c>
      <c r="I867" s="2">
        <v>625337</v>
      </c>
    </row>
    <row r="868" spans="1:9" x14ac:dyDescent="0.2">
      <c r="B868" s="3"/>
      <c r="C868" s="3" t="s">
        <v>26</v>
      </c>
      <c r="D868" s="2">
        <v>3434</v>
      </c>
      <c r="E868" s="2">
        <v>140</v>
      </c>
      <c r="F868" s="2">
        <f t="shared" si="39"/>
        <v>118</v>
      </c>
      <c r="G868" s="2">
        <f t="shared" si="40"/>
        <v>7</v>
      </c>
    </row>
    <row r="869" spans="1:9" x14ac:dyDescent="0.2">
      <c r="B869" s="3"/>
      <c r="C869" s="3" t="s">
        <v>27</v>
      </c>
      <c r="D869" s="2">
        <v>3700</v>
      </c>
      <c r="E869" s="2">
        <v>149</v>
      </c>
      <c r="F869" s="2">
        <f t="shared" si="39"/>
        <v>57</v>
      </c>
      <c r="G869" s="2">
        <f t="shared" si="40"/>
        <v>7</v>
      </c>
    </row>
    <row r="870" spans="1:9" x14ac:dyDescent="0.2">
      <c r="C870" s="3" t="s">
        <v>42</v>
      </c>
      <c r="D870" s="2">
        <v>2146</v>
      </c>
      <c r="E870" s="2">
        <v>108</v>
      </c>
      <c r="F870" s="2">
        <f t="shared" si="39"/>
        <v>16</v>
      </c>
      <c r="G870" s="2">
        <f t="shared" si="40"/>
        <v>2</v>
      </c>
    </row>
    <row r="871" spans="1:9" x14ac:dyDescent="0.2">
      <c r="C871" s="3" t="s">
        <v>43</v>
      </c>
      <c r="D871" s="2">
        <v>2421</v>
      </c>
      <c r="E871" s="2">
        <v>44</v>
      </c>
      <c r="F871" s="2">
        <f t="shared" si="39"/>
        <v>97</v>
      </c>
      <c r="G871" s="2">
        <f t="shared" si="40"/>
        <v>2</v>
      </c>
    </row>
    <row r="872" spans="1:9" x14ac:dyDescent="0.2">
      <c r="A872" s="1">
        <v>43951</v>
      </c>
      <c r="B872" s="3" t="s">
        <v>5</v>
      </c>
      <c r="C872" s="3" t="s">
        <v>6</v>
      </c>
      <c r="D872" s="2">
        <v>51631</v>
      </c>
      <c r="E872" s="2">
        <v>3283</v>
      </c>
      <c r="F872" s="2">
        <f t="shared" si="39"/>
        <v>890</v>
      </c>
      <c r="G872" s="2">
        <f t="shared" si="40"/>
        <v>39</v>
      </c>
      <c r="H872" s="2">
        <f t="shared" si="41"/>
        <v>28155</v>
      </c>
      <c r="I872" s="2">
        <v>900636</v>
      </c>
    </row>
    <row r="873" spans="1:9" x14ac:dyDescent="0.2">
      <c r="B873" s="3"/>
      <c r="C873" s="3" t="s">
        <v>7</v>
      </c>
      <c r="D873" s="2">
        <v>44872</v>
      </c>
      <c r="E873" s="2">
        <v>3714</v>
      </c>
      <c r="F873" s="2">
        <f t="shared" si="39"/>
        <v>636</v>
      </c>
      <c r="G873" s="2">
        <f t="shared" si="40"/>
        <v>47</v>
      </c>
    </row>
    <row r="874" spans="1:9" x14ac:dyDescent="0.2">
      <c r="B874" s="3"/>
      <c r="C874" s="3" t="s">
        <v>8</v>
      </c>
      <c r="D874" s="2">
        <v>35854</v>
      </c>
      <c r="E874" s="2">
        <v>2111</v>
      </c>
      <c r="F874" s="2">
        <f t="shared" si="39"/>
        <v>349</v>
      </c>
      <c r="G874" s="2">
        <f t="shared" si="40"/>
        <v>34</v>
      </c>
    </row>
    <row r="875" spans="1:9" x14ac:dyDescent="0.2">
      <c r="B875" s="3"/>
      <c r="C875" s="3" t="s">
        <v>35</v>
      </c>
      <c r="D875" s="2">
        <v>37244</v>
      </c>
      <c r="E875" s="2">
        <v>2459</v>
      </c>
      <c r="F875" s="2">
        <f t="shared" si="39"/>
        <v>644</v>
      </c>
      <c r="G875" s="2">
        <f t="shared" si="40"/>
        <v>46</v>
      </c>
    </row>
    <row r="876" spans="1:9" x14ac:dyDescent="0.2">
      <c r="B876" s="3"/>
      <c r="C876" s="3" t="s">
        <v>14</v>
      </c>
      <c r="D876" s="2">
        <v>33664</v>
      </c>
      <c r="E876" s="2">
        <v>1228</v>
      </c>
      <c r="F876" s="2">
        <f t="shared" si="39"/>
        <v>399</v>
      </c>
      <c r="G876" s="2">
        <f t="shared" si="40"/>
        <v>23</v>
      </c>
    </row>
    <row r="877" spans="1:9" x14ac:dyDescent="0.2">
      <c r="B877" s="3" t="s">
        <v>9</v>
      </c>
      <c r="C877" s="3" t="s">
        <v>10</v>
      </c>
      <c r="D877" s="2">
        <v>15610</v>
      </c>
      <c r="E877" s="2">
        <v>1136</v>
      </c>
      <c r="F877" s="2">
        <f t="shared" si="39"/>
        <v>164</v>
      </c>
      <c r="G877" s="2">
        <f t="shared" si="40"/>
        <v>79</v>
      </c>
      <c r="H877" s="2">
        <f t="shared" si="41"/>
        <v>6600</v>
      </c>
      <c r="I877" s="2">
        <f>SUM(118652+129266)</f>
        <v>247918</v>
      </c>
    </row>
    <row r="878" spans="1:9" x14ac:dyDescent="0.2">
      <c r="B878" s="3"/>
      <c r="C878" s="3" t="s">
        <v>11</v>
      </c>
      <c r="D878" s="2">
        <v>14916</v>
      </c>
      <c r="E878" s="2">
        <v>798</v>
      </c>
      <c r="F878" s="2">
        <f t="shared" si="39"/>
        <v>320</v>
      </c>
      <c r="G878" s="2">
        <f t="shared" si="40"/>
        <v>40</v>
      </c>
    </row>
    <row r="879" spans="1:9" x14ac:dyDescent="0.2">
      <c r="B879" s="3"/>
      <c r="C879" s="3" t="s">
        <v>12</v>
      </c>
      <c r="D879" s="2">
        <v>13682</v>
      </c>
      <c r="E879" s="2">
        <v>1186</v>
      </c>
      <c r="F879" s="2">
        <f t="shared" ref="F879:F942" si="42">SUM(D879-D849)</f>
        <v>237</v>
      </c>
      <c r="G879" s="2">
        <f t="shared" si="40"/>
        <v>47</v>
      </c>
    </row>
    <row r="880" spans="1:9" x14ac:dyDescent="0.2">
      <c r="B880" s="3"/>
      <c r="C880" s="3" t="s">
        <v>36</v>
      </c>
      <c r="D880" s="2">
        <v>12578</v>
      </c>
      <c r="E880" s="2">
        <v>690</v>
      </c>
      <c r="F880" s="2">
        <f t="shared" si="42"/>
        <v>198</v>
      </c>
      <c r="G880" s="2">
        <f t="shared" si="40"/>
        <v>37</v>
      </c>
    </row>
    <row r="881" spans="2:9" x14ac:dyDescent="0.2">
      <c r="B881" s="3"/>
      <c r="C881" s="3" t="s">
        <v>37</v>
      </c>
      <c r="D881" s="2">
        <v>12449</v>
      </c>
      <c r="E881" s="2">
        <v>573</v>
      </c>
      <c r="F881" s="2">
        <f t="shared" si="42"/>
        <v>264</v>
      </c>
      <c r="G881" s="2">
        <f t="shared" si="40"/>
        <v>57</v>
      </c>
    </row>
    <row r="882" spans="2:9" x14ac:dyDescent="0.2">
      <c r="B882" s="3" t="s">
        <v>13</v>
      </c>
      <c r="C882" s="3" t="s">
        <v>14</v>
      </c>
      <c r="D882" s="2">
        <v>12890</v>
      </c>
      <c r="E882" s="2">
        <v>524</v>
      </c>
      <c r="F882" s="2">
        <f t="shared" si="42"/>
        <v>351</v>
      </c>
      <c r="G882" s="2">
        <f t="shared" si="40"/>
        <v>20</v>
      </c>
      <c r="H882" s="2">
        <f t="shared" si="41"/>
        <v>10029</v>
      </c>
      <c r="I882" s="2">
        <v>275647</v>
      </c>
    </row>
    <row r="883" spans="2:9" x14ac:dyDescent="0.2">
      <c r="B883" s="3"/>
      <c r="C883" s="3" t="s">
        <v>15</v>
      </c>
      <c r="D883" s="2">
        <v>14208</v>
      </c>
      <c r="E883" s="2">
        <v>845</v>
      </c>
      <c r="F883" s="2">
        <f t="shared" si="42"/>
        <v>409</v>
      </c>
      <c r="G883" s="2">
        <f t="shared" si="40"/>
        <v>43</v>
      </c>
    </row>
    <row r="884" spans="2:9" x14ac:dyDescent="0.2">
      <c r="B884" s="3"/>
      <c r="C884" s="3" t="s">
        <v>12</v>
      </c>
      <c r="D884" s="2">
        <v>8673</v>
      </c>
      <c r="E884" s="2">
        <v>448</v>
      </c>
      <c r="F884" s="2">
        <f t="shared" si="42"/>
        <v>293</v>
      </c>
      <c r="G884" s="2">
        <f t="shared" si="40"/>
        <v>23</v>
      </c>
    </row>
    <row r="885" spans="2:9" x14ac:dyDescent="0.2">
      <c r="B885" s="3"/>
      <c r="C885" s="3" t="s">
        <v>33</v>
      </c>
      <c r="D885" s="2">
        <v>5896</v>
      </c>
      <c r="E885" s="2">
        <v>499</v>
      </c>
      <c r="F885" s="2">
        <f t="shared" si="42"/>
        <v>196</v>
      </c>
      <c r="G885" s="2">
        <f t="shared" si="40"/>
        <v>15</v>
      </c>
    </row>
    <row r="886" spans="2:9" x14ac:dyDescent="0.2">
      <c r="B886" s="3"/>
      <c r="C886" s="3" t="s">
        <v>34</v>
      </c>
      <c r="D886" s="2">
        <v>5550</v>
      </c>
      <c r="E886" s="2">
        <v>265</v>
      </c>
      <c r="F886" s="2">
        <f t="shared" si="42"/>
        <v>250</v>
      </c>
      <c r="G886" s="2">
        <f t="shared" si="40"/>
        <v>12</v>
      </c>
    </row>
    <row r="887" spans="2:9" x14ac:dyDescent="0.2">
      <c r="B887" s="3" t="s">
        <v>23</v>
      </c>
      <c r="C887" s="3" t="s">
        <v>24</v>
      </c>
      <c r="D887" s="2">
        <v>16729</v>
      </c>
      <c r="E887" s="2">
        <v>1782</v>
      </c>
      <c r="F887" s="2">
        <f t="shared" si="42"/>
        <v>235</v>
      </c>
      <c r="G887" s="2">
        <f t="shared" si="40"/>
        <v>55</v>
      </c>
      <c r="H887" s="2">
        <f t="shared" si="41"/>
        <v>7915</v>
      </c>
      <c r="I887" s="2">
        <f>SUM(41379+138888)</f>
        <v>180267</v>
      </c>
    </row>
    <row r="888" spans="2:9" x14ac:dyDescent="0.2">
      <c r="B888" s="3"/>
      <c r="C888" s="3" t="s">
        <v>25</v>
      </c>
      <c r="D888" s="2">
        <v>7267</v>
      </c>
      <c r="E888" s="2">
        <v>696</v>
      </c>
      <c r="F888" s="2">
        <f t="shared" si="42"/>
        <v>108</v>
      </c>
      <c r="G888" s="2">
        <f t="shared" si="40"/>
        <v>28</v>
      </c>
    </row>
    <row r="889" spans="2:9" x14ac:dyDescent="0.2">
      <c r="B889" s="3"/>
      <c r="C889" s="3" t="s">
        <v>28</v>
      </c>
      <c r="D889" s="2">
        <v>5513</v>
      </c>
      <c r="E889" s="2">
        <v>603</v>
      </c>
      <c r="F889" s="2">
        <f t="shared" si="42"/>
        <v>83</v>
      </c>
      <c r="G889" s="2">
        <f t="shared" si="40"/>
        <v>6</v>
      </c>
    </row>
    <row r="890" spans="2:9" x14ac:dyDescent="0.2">
      <c r="B890" s="3"/>
      <c r="C890" s="3" t="s">
        <v>38</v>
      </c>
      <c r="D890" s="2">
        <v>1581</v>
      </c>
      <c r="E890" s="2">
        <v>188</v>
      </c>
      <c r="F890" s="2">
        <f t="shared" si="42"/>
        <v>17</v>
      </c>
      <c r="G890" s="2">
        <f t="shared" si="40"/>
        <v>8</v>
      </c>
    </row>
    <row r="891" spans="2:9" x14ac:dyDescent="0.2">
      <c r="B891" s="3"/>
      <c r="C891" s="3" t="s">
        <v>39</v>
      </c>
      <c r="D891" s="2">
        <v>1075</v>
      </c>
      <c r="E891" s="2">
        <v>61</v>
      </c>
      <c r="F891" s="2">
        <f t="shared" si="42"/>
        <v>26</v>
      </c>
      <c r="G891" s="2">
        <f t="shared" si="40"/>
        <v>2</v>
      </c>
    </row>
    <row r="892" spans="2:9" x14ac:dyDescent="0.2">
      <c r="B892" s="3" t="s">
        <v>16</v>
      </c>
      <c r="C892" s="3" t="s">
        <v>17</v>
      </c>
      <c r="D892" s="2">
        <v>12297</v>
      </c>
      <c r="E892" s="2">
        <v>607</v>
      </c>
      <c r="F892" s="2">
        <f t="shared" si="42"/>
        <v>412</v>
      </c>
      <c r="G892" s="2">
        <f t="shared" si="40"/>
        <v>91</v>
      </c>
      <c r="H892" s="2">
        <f t="shared" si="41"/>
        <v>6482</v>
      </c>
      <c r="I892" s="2">
        <f>SUM(45763+175602)</f>
        <v>221365</v>
      </c>
    </row>
    <row r="893" spans="2:9" x14ac:dyDescent="0.2">
      <c r="B893" s="3"/>
      <c r="C893" s="3" t="s">
        <v>18</v>
      </c>
      <c r="D893" s="2">
        <v>4307</v>
      </c>
      <c r="E893" s="2">
        <v>351</v>
      </c>
      <c r="F893" s="2">
        <f t="shared" si="42"/>
        <v>130</v>
      </c>
      <c r="G893" s="2">
        <f t="shared" si="40"/>
        <v>22</v>
      </c>
    </row>
    <row r="894" spans="2:9" x14ac:dyDescent="0.2">
      <c r="B894" s="3"/>
      <c r="C894" s="3" t="s">
        <v>19</v>
      </c>
      <c r="D894" s="2">
        <v>3696</v>
      </c>
      <c r="E894" s="2">
        <v>235</v>
      </c>
      <c r="F894" s="2">
        <f t="shared" si="42"/>
        <v>77</v>
      </c>
      <c r="G894" s="2">
        <f t="shared" si="40"/>
        <v>11</v>
      </c>
    </row>
    <row r="895" spans="2:9" x14ac:dyDescent="0.2">
      <c r="B895" s="3"/>
      <c r="C895" s="3" t="s">
        <v>40</v>
      </c>
      <c r="D895" s="2">
        <v>2796</v>
      </c>
      <c r="E895" s="2">
        <v>74</v>
      </c>
      <c r="F895" s="2">
        <f t="shared" si="42"/>
        <v>77</v>
      </c>
      <c r="G895" s="2">
        <f t="shared" si="40"/>
        <v>2</v>
      </c>
    </row>
    <row r="896" spans="2:9" x14ac:dyDescent="0.2">
      <c r="B896" s="3"/>
      <c r="C896" s="3" t="s">
        <v>41</v>
      </c>
      <c r="D896" s="2">
        <v>2698</v>
      </c>
      <c r="E896" s="2">
        <v>117</v>
      </c>
      <c r="F896" s="2">
        <f t="shared" si="42"/>
        <v>61</v>
      </c>
      <c r="G896" s="2">
        <f t="shared" si="40"/>
        <v>1</v>
      </c>
    </row>
    <row r="897" spans="1:9" x14ac:dyDescent="0.2">
      <c r="B897" s="3" t="s">
        <v>20</v>
      </c>
      <c r="C897" s="3" t="s">
        <v>22</v>
      </c>
      <c r="D897" s="2">
        <v>23284</v>
      </c>
      <c r="E897" s="2">
        <v>1111</v>
      </c>
      <c r="F897" s="2">
        <f t="shared" si="42"/>
        <v>724</v>
      </c>
      <c r="G897" s="2">
        <f t="shared" si="40"/>
        <v>55</v>
      </c>
      <c r="H897" s="2">
        <f t="shared" si="41"/>
        <v>29648</v>
      </c>
      <c r="I897" s="2">
        <v>654985</v>
      </c>
    </row>
    <row r="898" spans="1:9" x14ac:dyDescent="0.2">
      <c r="B898" s="3"/>
      <c r="C898" s="3" t="s">
        <v>26</v>
      </c>
      <c r="D898" s="2">
        <v>3566</v>
      </c>
      <c r="E898" s="2">
        <v>143</v>
      </c>
      <c r="F898" s="2">
        <f t="shared" si="42"/>
        <v>132</v>
      </c>
      <c r="G898" s="2">
        <f t="shared" si="40"/>
        <v>3</v>
      </c>
    </row>
    <row r="899" spans="1:9" x14ac:dyDescent="0.2">
      <c r="B899" s="3"/>
      <c r="C899" s="3" t="s">
        <v>27</v>
      </c>
      <c r="D899" s="2">
        <v>3820</v>
      </c>
      <c r="E899" s="2">
        <v>156</v>
      </c>
      <c r="F899" s="2">
        <f t="shared" si="42"/>
        <v>120</v>
      </c>
      <c r="G899" s="2">
        <f t="shared" si="40"/>
        <v>7</v>
      </c>
    </row>
    <row r="900" spans="1:9" x14ac:dyDescent="0.2">
      <c r="C900" s="3" t="s">
        <v>42</v>
      </c>
      <c r="D900" s="2">
        <v>2172</v>
      </c>
      <c r="E900" s="2">
        <v>111</v>
      </c>
      <c r="F900" s="2">
        <f t="shared" si="42"/>
        <v>26</v>
      </c>
      <c r="G900" s="2">
        <f t="shared" si="40"/>
        <v>3</v>
      </c>
    </row>
    <row r="901" spans="1:9" x14ac:dyDescent="0.2">
      <c r="C901" s="3" t="s">
        <v>43</v>
      </c>
      <c r="D901" s="2">
        <v>2591</v>
      </c>
      <c r="E901" s="2">
        <v>46</v>
      </c>
      <c r="F901" s="2">
        <f t="shared" si="42"/>
        <v>170</v>
      </c>
      <c r="G901" s="2">
        <f t="shared" si="40"/>
        <v>2</v>
      </c>
    </row>
    <row r="902" spans="1:9" x14ac:dyDescent="0.2">
      <c r="A902" s="1">
        <v>43952</v>
      </c>
      <c r="B902" s="3" t="s">
        <v>5</v>
      </c>
      <c r="C902" s="3" t="s">
        <v>6</v>
      </c>
      <c r="D902" s="2">
        <v>52274</v>
      </c>
      <c r="E902" s="2">
        <v>3328</v>
      </c>
      <c r="F902" s="2">
        <f t="shared" si="42"/>
        <v>643</v>
      </c>
      <c r="G902" s="2">
        <f t="shared" si="40"/>
        <v>45</v>
      </c>
      <c r="H902" s="2">
        <f t="shared" si="41"/>
        <v>26802</v>
      </c>
      <c r="I902" s="2">
        <v>927438</v>
      </c>
    </row>
    <row r="903" spans="1:9" x14ac:dyDescent="0.2">
      <c r="B903" s="3"/>
      <c r="C903" s="3" t="s">
        <v>7</v>
      </c>
      <c r="D903" s="2">
        <v>45519</v>
      </c>
      <c r="E903" s="2">
        <v>3764</v>
      </c>
      <c r="F903" s="2">
        <f t="shared" si="42"/>
        <v>647</v>
      </c>
      <c r="G903" s="2">
        <f t="shared" si="40"/>
        <v>50</v>
      </c>
    </row>
    <row r="904" spans="1:9" x14ac:dyDescent="0.2">
      <c r="B904" s="3"/>
      <c r="C904" s="3" t="s">
        <v>8</v>
      </c>
      <c r="D904" s="2">
        <v>36161</v>
      </c>
      <c r="E904" s="2">
        <v>2140</v>
      </c>
      <c r="F904" s="2">
        <f t="shared" si="42"/>
        <v>307</v>
      </c>
      <c r="G904" s="2">
        <f t="shared" si="40"/>
        <v>29</v>
      </c>
    </row>
    <row r="905" spans="1:9" x14ac:dyDescent="0.2">
      <c r="B905" s="3"/>
      <c r="C905" s="3" t="s">
        <v>35</v>
      </c>
      <c r="D905" s="2">
        <v>37785</v>
      </c>
      <c r="E905" s="2">
        <v>2489</v>
      </c>
      <c r="F905" s="2">
        <f t="shared" si="42"/>
        <v>541</v>
      </c>
      <c r="G905" s="2">
        <f t="shared" si="40"/>
        <v>30</v>
      </c>
    </row>
    <row r="906" spans="1:9" x14ac:dyDescent="0.2">
      <c r="B906" s="3"/>
      <c r="C906" s="3" t="s">
        <v>14</v>
      </c>
      <c r="D906" s="2">
        <v>34037</v>
      </c>
      <c r="E906" s="2">
        <v>1252</v>
      </c>
      <c r="F906" s="2">
        <f t="shared" si="42"/>
        <v>373</v>
      </c>
      <c r="G906" s="2">
        <f t="shared" si="40"/>
        <v>24</v>
      </c>
    </row>
    <row r="907" spans="1:9" x14ac:dyDescent="0.2">
      <c r="B907" s="3" t="s">
        <v>9</v>
      </c>
      <c r="C907" s="3" t="s">
        <v>10</v>
      </c>
      <c r="D907" s="2">
        <v>15830</v>
      </c>
      <c r="E907" s="2">
        <v>1187</v>
      </c>
      <c r="F907" s="2">
        <f t="shared" si="42"/>
        <v>220</v>
      </c>
      <c r="G907" s="2">
        <f t="shared" si="40"/>
        <v>51</v>
      </c>
      <c r="H907" s="2">
        <f t="shared" si="41"/>
        <v>8627</v>
      </c>
      <c r="I907" s="2">
        <f>SUM(121190+135355)</f>
        <v>256545</v>
      </c>
    </row>
    <row r="908" spans="1:9" x14ac:dyDescent="0.2">
      <c r="B908" s="3"/>
      <c r="C908" s="3" t="s">
        <v>11</v>
      </c>
      <c r="D908" s="2">
        <v>15148</v>
      </c>
      <c r="E908" s="2">
        <v>819</v>
      </c>
      <c r="F908" s="2">
        <f t="shared" si="42"/>
        <v>232</v>
      </c>
      <c r="G908" s="2">
        <f t="shared" si="40"/>
        <v>21</v>
      </c>
    </row>
    <row r="909" spans="1:9" x14ac:dyDescent="0.2">
      <c r="B909" s="3"/>
      <c r="C909" s="3" t="s">
        <v>12</v>
      </c>
      <c r="D909" s="2">
        <v>13994</v>
      </c>
      <c r="E909" s="2">
        <v>1240</v>
      </c>
      <c r="F909" s="2">
        <f t="shared" si="42"/>
        <v>312</v>
      </c>
      <c r="G909" s="2">
        <f t="shared" si="40"/>
        <v>54</v>
      </c>
    </row>
    <row r="910" spans="1:9" x14ac:dyDescent="0.2">
      <c r="B910" s="3"/>
      <c r="C910" s="3" t="s">
        <v>36</v>
      </c>
      <c r="D910" s="2">
        <v>12779</v>
      </c>
      <c r="E910" s="2">
        <v>714</v>
      </c>
      <c r="F910" s="2">
        <f t="shared" si="42"/>
        <v>201</v>
      </c>
      <c r="G910" s="2">
        <f t="shared" si="40"/>
        <v>24</v>
      </c>
    </row>
    <row r="911" spans="1:9" x14ac:dyDescent="0.2">
      <c r="B911" s="3"/>
      <c r="C911" s="3" t="s">
        <v>37</v>
      </c>
      <c r="D911" s="2">
        <v>12814</v>
      </c>
      <c r="E911" s="2">
        <v>599</v>
      </c>
      <c r="F911" s="2">
        <f t="shared" si="42"/>
        <v>365</v>
      </c>
      <c r="G911" s="2">
        <f t="shared" si="40"/>
        <v>26</v>
      </c>
    </row>
    <row r="912" spans="1:9" x14ac:dyDescent="0.2">
      <c r="B912" s="3" t="s">
        <v>13</v>
      </c>
      <c r="C912" s="3" t="s">
        <v>14</v>
      </c>
      <c r="D912" s="2">
        <v>13295</v>
      </c>
      <c r="E912" s="2">
        <v>550</v>
      </c>
      <c r="F912" s="2">
        <f t="shared" si="42"/>
        <v>405</v>
      </c>
      <c r="G912" s="2">
        <f t="shared" si="40"/>
        <v>26</v>
      </c>
      <c r="H912" s="2">
        <f t="shared" si="41"/>
        <v>13989</v>
      </c>
      <c r="I912" s="2">
        <v>289636</v>
      </c>
    </row>
    <row r="913" spans="2:9" x14ac:dyDescent="0.2">
      <c r="B913" s="3"/>
      <c r="C913" s="3" t="s">
        <v>15</v>
      </c>
      <c r="D913" s="2">
        <v>14607</v>
      </c>
      <c r="E913" s="2">
        <v>885</v>
      </c>
      <c r="F913" s="2">
        <f t="shared" si="42"/>
        <v>399</v>
      </c>
      <c r="G913" s="2">
        <f t="shared" si="40"/>
        <v>40</v>
      </c>
    </row>
    <row r="914" spans="2:9" x14ac:dyDescent="0.2">
      <c r="B914" s="3"/>
      <c r="C914" s="3" t="s">
        <v>12</v>
      </c>
      <c r="D914" s="2">
        <v>9028</v>
      </c>
      <c r="E914" s="2">
        <v>460</v>
      </c>
      <c r="F914" s="2">
        <f t="shared" si="42"/>
        <v>355</v>
      </c>
      <c r="G914" s="2">
        <f t="shared" si="40"/>
        <v>12</v>
      </c>
    </row>
    <row r="915" spans="2:9" x14ac:dyDescent="0.2">
      <c r="B915" s="3"/>
      <c r="C915" s="3" t="s">
        <v>33</v>
      </c>
      <c r="D915" s="2">
        <v>6065</v>
      </c>
      <c r="E915" s="2">
        <v>522</v>
      </c>
      <c r="F915" s="2">
        <f t="shared" si="42"/>
        <v>169</v>
      </c>
      <c r="G915" s="2">
        <f t="shared" si="40"/>
        <v>23</v>
      </c>
    </row>
    <row r="916" spans="2:9" x14ac:dyDescent="0.2">
      <c r="B916" s="3"/>
      <c r="C916" s="3" t="s">
        <v>34</v>
      </c>
      <c r="D916" s="2">
        <v>5787</v>
      </c>
      <c r="E916" s="2">
        <v>278</v>
      </c>
      <c r="F916" s="2">
        <f t="shared" si="42"/>
        <v>237</v>
      </c>
      <c r="G916" s="2">
        <f t="shared" si="40"/>
        <v>13</v>
      </c>
    </row>
    <row r="917" spans="2:9" x14ac:dyDescent="0.2">
      <c r="B917" s="3" t="s">
        <v>23</v>
      </c>
      <c r="C917" s="3" t="s">
        <v>24</v>
      </c>
      <c r="D917" s="2">
        <v>16970</v>
      </c>
      <c r="E917" s="2">
        <v>1802</v>
      </c>
      <c r="F917" s="2">
        <f t="shared" si="42"/>
        <v>241</v>
      </c>
      <c r="G917" s="2">
        <f t="shared" si="40"/>
        <v>20</v>
      </c>
      <c r="H917" s="2">
        <f t="shared" si="41"/>
        <v>10238</v>
      </c>
      <c r="I917" s="2">
        <f>SUM(42356+148149)</f>
        <v>190505</v>
      </c>
    </row>
    <row r="918" spans="2:9" x14ac:dyDescent="0.2">
      <c r="B918" s="3"/>
      <c r="C918" s="3" t="s">
        <v>25</v>
      </c>
      <c r="D918" s="2">
        <v>7423</v>
      </c>
      <c r="E918" s="2">
        <v>705</v>
      </c>
      <c r="F918" s="2">
        <f t="shared" si="42"/>
        <v>156</v>
      </c>
      <c r="G918" s="2">
        <f t="shared" si="40"/>
        <v>9</v>
      </c>
    </row>
    <row r="919" spans="2:9" x14ac:dyDescent="0.2">
      <c r="B919" s="3"/>
      <c r="C919" s="3" t="s">
        <v>28</v>
      </c>
      <c r="D919" s="2">
        <v>5623</v>
      </c>
      <c r="E919" s="2">
        <v>614</v>
      </c>
      <c r="F919" s="2">
        <f t="shared" si="42"/>
        <v>110</v>
      </c>
      <c r="G919" s="2">
        <f t="shared" si="40"/>
        <v>11</v>
      </c>
    </row>
    <row r="920" spans="2:9" x14ac:dyDescent="0.2">
      <c r="B920" s="3"/>
      <c r="C920" s="3" t="s">
        <v>38</v>
      </c>
      <c r="D920" s="2">
        <v>1600</v>
      </c>
      <c r="E920" s="2">
        <v>192</v>
      </c>
      <c r="F920" s="2">
        <f t="shared" si="42"/>
        <v>19</v>
      </c>
      <c r="G920" s="2">
        <f t="shared" si="40"/>
        <v>4</v>
      </c>
    </row>
    <row r="921" spans="2:9" x14ac:dyDescent="0.2">
      <c r="B921" s="3"/>
      <c r="C921" s="3" t="s">
        <v>39</v>
      </c>
      <c r="D921" s="2">
        <v>1091</v>
      </c>
      <c r="E921" s="2">
        <v>66</v>
      </c>
      <c r="F921" s="2">
        <f t="shared" si="42"/>
        <v>16</v>
      </c>
      <c r="G921" s="2">
        <f t="shared" si="40"/>
        <v>5</v>
      </c>
    </row>
    <row r="922" spans="2:9" x14ac:dyDescent="0.2">
      <c r="B922" s="3" t="s">
        <v>16</v>
      </c>
      <c r="C922" s="3" t="s">
        <v>17</v>
      </c>
      <c r="D922" s="2">
        <v>12544</v>
      </c>
      <c r="E922" s="2">
        <v>638</v>
      </c>
      <c r="F922" s="2">
        <f t="shared" si="42"/>
        <v>247</v>
      </c>
      <c r="G922" s="2">
        <f t="shared" si="40"/>
        <v>31</v>
      </c>
      <c r="H922" s="2">
        <f t="shared" si="41"/>
        <v>6083</v>
      </c>
      <c r="I922" s="2">
        <f>SUM(180477+46971)</f>
        <v>227448</v>
      </c>
    </row>
    <row r="923" spans="2:9" x14ac:dyDescent="0.2">
      <c r="B923" s="3"/>
      <c r="C923" s="3" t="s">
        <v>18</v>
      </c>
      <c r="D923" s="2">
        <v>4406</v>
      </c>
      <c r="E923" s="2">
        <v>362</v>
      </c>
      <c r="F923" s="2">
        <f t="shared" si="42"/>
        <v>99</v>
      </c>
      <c r="G923" s="2">
        <f t="shared" si="40"/>
        <v>11</v>
      </c>
    </row>
    <row r="924" spans="2:9" x14ac:dyDescent="0.2">
      <c r="B924" s="3"/>
      <c r="C924" s="3" t="s">
        <v>19</v>
      </c>
      <c r="D924" s="2">
        <v>3848</v>
      </c>
      <c r="E924" s="2">
        <v>240</v>
      </c>
      <c r="F924" s="2">
        <f t="shared" si="42"/>
        <v>152</v>
      </c>
      <c r="G924" s="2">
        <f t="shared" si="40"/>
        <v>5</v>
      </c>
    </row>
    <row r="925" spans="2:9" x14ac:dyDescent="0.2">
      <c r="B925" s="3"/>
      <c r="C925" s="3" t="s">
        <v>40</v>
      </c>
      <c r="D925" s="2">
        <v>2850</v>
      </c>
      <c r="E925" s="2">
        <v>80</v>
      </c>
      <c r="F925" s="2">
        <f t="shared" si="42"/>
        <v>54</v>
      </c>
      <c r="G925" s="2">
        <f t="shared" si="40"/>
        <v>6</v>
      </c>
    </row>
    <row r="926" spans="2:9" x14ac:dyDescent="0.2">
      <c r="B926" s="3"/>
      <c r="C926" s="3" t="s">
        <v>41</v>
      </c>
      <c r="D926" s="2">
        <v>2748</v>
      </c>
      <c r="E926" s="2">
        <v>117</v>
      </c>
      <c r="F926" s="2">
        <f t="shared" si="42"/>
        <v>50</v>
      </c>
      <c r="G926" s="2">
        <f t="shared" si="40"/>
        <v>0</v>
      </c>
    </row>
    <row r="927" spans="2:9" x14ac:dyDescent="0.2">
      <c r="B927" s="3" t="s">
        <v>20</v>
      </c>
      <c r="C927" s="3" t="s">
        <v>22</v>
      </c>
      <c r="D927" s="2">
        <v>24306</v>
      </c>
      <c r="E927" s="2">
        <v>1172</v>
      </c>
      <c r="F927" s="2">
        <f t="shared" si="42"/>
        <v>1022</v>
      </c>
      <c r="G927" s="2">
        <f t="shared" si="40"/>
        <v>61</v>
      </c>
      <c r="H927" s="2">
        <f t="shared" si="41"/>
        <v>30063</v>
      </c>
      <c r="I927" s="2">
        <v>685048</v>
      </c>
    </row>
    <row r="928" spans="2:9" x14ac:dyDescent="0.2">
      <c r="B928" s="3"/>
      <c r="C928" s="3" t="s">
        <v>26</v>
      </c>
      <c r="D928" s="2">
        <v>3713</v>
      </c>
      <c r="E928" s="2">
        <v>150</v>
      </c>
      <c r="F928" s="2">
        <f t="shared" si="42"/>
        <v>147</v>
      </c>
      <c r="G928" s="2">
        <f t="shared" si="40"/>
        <v>7</v>
      </c>
    </row>
    <row r="929" spans="1:9" x14ac:dyDescent="0.2">
      <c r="B929" s="3"/>
      <c r="C929" s="3" t="s">
        <v>27</v>
      </c>
      <c r="D929" s="2">
        <v>3893</v>
      </c>
      <c r="E929" s="2">
        <v>167</v>
      </c>
      <c r="F929" s="2">
        <f t="shared" si="42"/>
        <v>73</v>
      </c>
      <c r="G929" s="2">
        <f t="shared" ref="G929:G992" si="43">SUM(E929-E899)</f>
        <v>11</v>
      </c>
    </row>
    <row r="930" spans="1:9" x14ac:dyDescent="0.2">
      <c r="C930" s="3" t="s">
        <v>42</v>
      </c>
      <c r="D930" s="2">
        <v>2176</v>
      </c>
      <c r="E930" s="2">
        <v>113</v>
      </c>
      <c r="F930" s="2">
        <f t="shared" si="42"/>
        <v>4</v>
      </c>
      <c r="G930" s="2">
        <f t="shared" si="43"/>
        <v>2</v>
      </c>
    </row>
    <row r="931" spans="1:9" x14ac:dyDescent="0.2">
      <c r="C931" s="3" t="s">
        <v>43</v>
      </c>
      <c r="D931" s="2">
        <v>2660</v>
      </c>
      <c r="E931" s="2">
        <v>51</v>
      </c>
      <c r="F931" s="2">
        <f t="shared" si="42"/>
        <v>69</v>
      </c>
      <c r="G931" s="2">
        <f t="shared" si="43"/>
        <v>5</v>
      </c>
    </row>
    <row r="932" spans="1:9" x14ac:dyDescent="0.2">
      <c r="A932" s="1">
        <v>43953</v>
      </c>
      <c r="B932" s="3" t="s">
        <v>5</v>
      </c>
      <c r="C932" s="3" t="s">
        <v>6</v>
      </c>
      <c r="D932" s="2">
        <v>53039</v>
      </c>
      <c r="E932" s="2">
        <v>3377</v>
      </c>
      <c r="F932" s="2">
        <f t="shared" si="42"/>
        <v>765</v>
      </c>
      <c r="G932" s="2">
        <f t="shared" si="43"/>
        <v>49</v>
      </c>
      <c r="H932" s="2">
        <f t="shared" ref="H932:H992" si="44">SUM(I932-I902)</f>
        <v>31579</v>
      </c>
      <c r="I932" s="2">
        <v>959017</v>
      </c>
    </row>
    <row r="933" spans="1:9" x14ac:dyDescent="0.2">
      <c r="B933" s="3"/>
      <c r="C933" s="3" t="s">
        <v>7</v>
      </c>
      <c r="D933" s="2">
        <v>46275</v>
      </c>
      <c r="E933" s="2">
        <v>3820</v>
      </c>
      <c r="F933" s="2">
        <f t="shared" si="42"/>
        <v>756</v>
      </c>
      <c r="G933" s="2">
        <f t="shared" si="43"/>
        <v>56</v>
      </c>
    </row>
    <row r="934" spans="1:9" x14ac:dyDescent="0.2">
      <c r="B934" s="3"/>
      <c r="C934" s="3" t="s">
        <v>8</v>
      </c>
      <c r="D934" s="2">
        <v>36519</v>
      </c>
      <c r="E934" s="2">
        <v>2167</v>
      </c>
      <c r="F934" s="2">
        <f t="shared" si="42"/>
        <v>358</v>
      </c>
      <c r="G934" s="2">
        <f t="shared" si="43"/>
        <v>27</v>
      </c>
    </row>
    <row r="935" spans="1:9" x14ac:dyDescent="0.2">
      <c r="B935" s="3"/>
      <c r="C935" s="3" t="s">
        <v>35</v>
      </c>
      <c r="D935" s="2">
        <v>38450</v>
      </c>
      <c r="E935" s="2">
        <v>2534</v>
      </c>
      <c r="F935" s="2">
        <f t="shared" si="42"/>
        <v>665</v>
      </c>
      <c r="G935" s="2">
        <f t="shared" si="43"/>
        <v>45</v>
      </c>
    </row>
    <row r="936" spans="1:9" x14ac:dyDescent="0.2">
      <c r="B936" s="3"/>
      <c r="C936" s="3" t="s">
        <v>14</v>
      </c>
      <c r="D936" s="2">
        <v>34478</v>
      </c>
      <c r="E936" s="2">
        <v>1277</v>
      </c>
      <c r="F936" s="2">
        <f t="shared" si="42"/>
        <v>441</v>
      </c>
      <c r="G936" s="2">
        <f t="shared" si="43"/>
        <v>25</v>
      </c>
    </row>
    <row r="937" spans="1:9" x14ac:dyDescent="0.2">
      <c r="B937" s="3" t="s">
        <v>9</v>
      </c>
      <c r="C937" s="3" t="s">
        <v>10</v>
      </c>
      <c r="D937" s="2">
        <v>15974</v>
      </c>
      <c r="E937" s="2">
        <v>1202</v>
      </c>
      <c r="F937" s="2">
        <f t="shared" si="42"/>
        <v>144</v>
      </c>
      <c r="G937" s="2">
        <f t="shared" si="43"/>
        <v>15</v>
      </c>
      <c r="H937" s="2">
        <f t="shared" si="44"/>
        <v>5767</v>
      </c>
      <c r="I937" s="2">
        <f>SUM(123717+138595)</f>
        <v>262312</v>
      </c>
    </row>
    <row r="938" spans="1:9" x14ac:dyDescent="0.2">
      <c r="B938" s="3"/>
      <c r="C938" s="3" t="s">
        <v>11</v>
      </c>
      <c r="D938" s="2">
        <v>15401</v>
      </c>
      <c r="E938" s="2">
        <v>834</v>
      </c>
      <c r="F938" s="2">
        <f t="shared" si="42"/>
        <v>253</v>
      </c>
      <c r="G938" s="2">
        <f t="shared" si="43"/>
        <v>15</v>
      </c>
    </row>
    <row r="939" spans="1:9" x14ac:dyDescent="0.2">
      <c r="B939" s="3"/>
      <c r="C939" s="3" t="s">
        <v>12</v>
      </c>
      <c r="D939" s="2">
        <v>14248</v>
      </c>
      <c r="E939" s="2">
        <v>1265</v>
      </c>
      <c r="F939" s="2">
        <f t="shared" si="42"/>
        <v>254</v>
      </c>
      <c r="G939" s="2">
        <f t="shared" si="43"/>
        <v>25</v>
      </c>
    </row>
    <row r="940" spans="1:9" x14ac:dyDescent="0.2">
      <c r="B940" s="3"/>
      <c r="C940" s="3" t="s">
        <v>36</v>
      </c>
      <c r="D940" s="2">
        <v>12996</v>
      </c>
      <c r="E940" s="2">
        <v>731</v>
      </c>
      <c r="F940" s="2">
        <f t="shared" si="42"/>
        <v>217</v>
      </c>
      <c r="G940" s="2">
        <f t="shared" si="43"/>
        <v>17</v>
      </c>
    </row>
    <row r="941" spans="1:9" x14ac:dyDescent="0.2">
      <c r="B941" s="3"/>
      <c r="C941" s="3" t="s">
        <v>37</v>
      </c>
      <c r="D941" s="2">
        <v>13082</v>
      </c>
      <c r="E941" s="2">
        <v>624</v>
      </c>
      <c r="F941" s="2">
        <f t="shared" si="42"/>
        <v>268</v>
      </c>
      <c r="G941" s="2">
        <f t="shared" si="43"/>
        <v>25</v>
      </c>
    </row>
    <row r="942" spans="1:9" x14ac:dyDescent="0.2">
      <c r="B942" s="3" t="s">
        <v>13</v>
      </c>
      <c r="C942" s="3" t="s">
        <v>14</v>
      </c>
      <c r="D942" s="2">
        <v>13606</v>
      </c>
      <c r="E942" s="2">
        <v>569</v>
      </c>
      <c r="F942" s="2">
        <f t="shared" si="42"/>
        <v>311</v>
      </c>
      <c r="G942" s="2">
        <f t="shared" si="43"/>
        <v>19</v>
      </c>
      <c r="H942" s="2">
        <f t="shared" si="44"/>
        <v>9358</v>
      </c>
      <c r="I942" s="2">
        <v>298994</v>
      </c>
    </row>
    <row r="943" spans="1:9" x14ac:dyDescent="0.2">
      <c r="B943" s="3"/>
      <c r="C943" s="3" t="s">
        <v>15</v>
      </c>
      <c r="D943" s="2">
        <v>15048</v>
      </c>
      <c r="E943" s="2">
        <v>923</v>
      </c>
      <c r="F943" s="2">
        <f t="shared" ref="F943:F1006" si="45">SUM(D943-D913)</f>
        <v>441</v>
      </c>
      <c r="G943" s="2">
        <f t="shared" si="43"/>
        <v>38</v>
      </c>
    </row>
    <row r="944" spans="1:9" x14ac:dyDescent="0.2">
      <c r="B944" s="3"/>
      <c r="C944" s="3" t="s">
        <v>12</v>
      </c>
      <c r="D944" s="2">
        <v>9362</v>
      </c>
      <c r="E944" s="2">
        <v>484</v>
      </c>
      <c r="F944" s="2">
        <f t="shared" si="45"/>
        <v>334</v>
      </c>
      <c r="G944" s="2">
        <f t="shared" si="43"/>
        <v>24</v>
      </c>
    </row>
    <row r="945" spans="2:9" x14ac:dyDescent="0.2">
      <c r="B945" s="3"/>
      <c r="C945" s="3" t="s">
        <v>33</v>
      </c>
      <c r="D945" s="2">
        <v>6187</v>
      </c>
      <c r="E945" s="2">
        <v>535</v>
      </c>
      <c r="F945" s="2">
        <f t="shared" si="45"/>
        <v>122</v>
      </c>
      <c r="G945" s="2">
        <f t="shared" si="43"/>
        <v>13</v>
      </c>
    </row>
    <row r="946" spans="2:9" x14ac:dyDescent="0.2">
      <c r="B946" s="3"/>
      <c r="C946" s="3" t="s">
        <v>34</v>
      </c>
      <c r="D946" s="2">
        <v>6129</v>
      </c>
      <c r="E946" s="2">
        <v>292</v>
      </c>
      <c r="F946" s="2">
        <f t="shared" si="45"/>
        <v>342</v>
      </c>
      <c r="G946" s="2">
        <f t="shared" si="43"/>
        <v>14</v>
      </c>
    </row>
    <row r="947" spans="2:9" x14ac:dyDescent="0.2">
      <c r="B947" s="3" t="s">
        <v>23</v>
      </c>
      <c r="C947" s="3" t="s">
        <v>24</v>
      </c>
      <c r="D947" s="2">
        <v>17106</v>
      </c>
      <c r="E947" s="2">
        <v>1884</v>
      </c>
      <c r="F947" s="2">
        <f t="shared" si="45"/>
        <v>136</v>
      </c>
      <c r="G947" s="2">
        <f t="shared" si="43"/>
        <v>82</v>
      </c>
      <c r="H947" s="2">
        <f t="shared" si="44"/>
        <v>11204</v>
      </c>
      <c r="I947" s="2">
        <f>SUM(43207+158502)</f>
        <v>201709</v>
      </c>
    </row>
    <row r="948" spans="2:9" x14ac:dyDescent="0.2">
      <c r="B948" s="3"/>
      <c r="C948" s="3" t="s">
        <v>25</v>
      </c>
      <c r="D948" s="2">
        <v>7475</v>
      </c>
      <c r="E948" s="2">
        <v>745</v>
      </c>
      <c r="F948" s="2">
        <f t="shared" si="45"/>
        <v>52</v>
      </c>
      <c r="G948" s="2">
        <f t="shared" si="43"/>
        <v>40</v>
      </c>
    </row>
    <row r="949" spans="2:9" x14ac:dyDescent="0.2">
      <c r="B949" s="3"/>
      <c r="C949" s="3" t="s">
        <v>28</v>
      </c>
      <c r="D949" s="2">
        <v>5666</v>
      </c>
      <c r="E949" s="2">
        <v>625</v>
      </c>
      <c r="F949" s="2">
        <f t="shared" si="45"/>
        <v>43</v>
      </c>
      <c r="G949" s="2">
        <f t="shared" si="43"/>
        <v>11</v>
      </c>
    </row>
    <row r="950" spans="2:9" x14ac:dyDescent="0.2">
      <c r="B950" s="3"/>
      <c r="C950" s="3" t="s">
        <v>38</v>
      </c>
      <c r="D950" s="2">
        <v>1620</v>
      </c>
      <c r="E950" s="2">
        <v>196</v>
      </c>
      <c r="F950" s="2">
        <f t="shared" si="45"/>
        <v>20</v>
      </c>
      <c r="G950" s="2">
        <f t="shared" si="43"/>
        <v>4</v>
      </c>
    </row>
    <row r="951" spans="2:9" x14ac:dyDescent="0.2">
      <c r="B951" s="3"/>
      <c r="C951" s="3" t="s">
        <v>39</v>
      </c>
      <c r="D951" s="2">
        <v>1101</v>
      </c>
      <c r="E951" s="2">
        <v>70</v>
      </c>
      <c r="F951" s="2">
        <f t="shared" si="45"/>
        <v>10</v>
      </c>
      <c r="G951" s="2">
        <f t="shared" si="43"/>
        <v>4</v>
      </c>
    </row>
    <row r="952" spans="2:9" x14ac:dyDescent="0.2">
      <c r="B952" s="3" t="s">
        <v>16</v>
      </c>
      <c r="C952" s="3" t="s">
        <v>17</v>
      </c>
      <c r="D952" s="2">
        <v>12948</v>
      </c>
      <c r="E952" s="2">
        <v>705</v>
      </c>
      <c r="F952" s="2">
        <f t="shared" si="45"/>
        <v>404</v>
      </c>
      <c r="G952" s="2">
        <f t="shared" si="43"/>
        <v>67</v>
      </c>
      <c r="H952" s="2">
        <f t="shared" si="44"/>
        <v>7928</v>
      </c>
      <c r="I952" s="2">
        <f>SUM(48305+187071)</f>
        <v>235376</v>
      </c>
    </row>
    <row r="953" spans="2:9" x14ac:dyDescent="0.2">
      <c r="B953" s="3"/>
      <c r="C953" s="3" t="s">
        <v>18</v>
      </c>
      <c r="D953" s="2">
        <v>4487</v>
      </c>
      <c r="E953" s="2">
        <v>369</v>
      </c>
      <c r="F953" s="2">
        <f t="shared" si="45"/>
        <v>81</v>
      </c>
      <c r="G953" s="2">
        <f t="shared" si="43"/>
        <v>7</v>
      </c>
    </row>
    <row r="954" spans="2:9" x14ac:dyDescent="0.2">
      <c r="B954" s="3"/>
      <c r="C954" s="3" t="s">
        <v>19</v>
      </c>
      <c r="D954" s="2">
        <v>3999</v>
      </c>
      <c r="E954" s="2">
        <v>255</v>
      </c>
      <c r="F954" s="2">
        <f t="shared" si="45"/>
        <v>151</v>
      </c>
      <c r="G954" s="2">
        <f t="shared" si="43"/>
        <v>15</v>
      </c>
    </row>
    <row r="955" spans="2:9" x14ac:dyDescent="0.2">
      <c r="B955" s="3"/>
      <c r="C955" s="3" t="s">
        <v>40</v>
      </c>
      <c r="D955" s="2">
        <v>2896</v>
      </c>
      <c r="E955" s="2">
        <v>83</v>
      </c>
      <c r="F955" s="2">
        <f t="shared" si="45"/>
        <v>46</v>
      </c>
      <c r="G955" s="2">
        <f t="shared" si="43"/>
        <v>3</v>
      </c>
    </row>
    <row r="956" spans="2:9" x14ac:dyDescent="0.2">
      <c r="B956" s="3"/>
      <c r="C956" s="3" t="s">
        <v>41</v>
      </c>
      <c r="D956" s="2">
        <v>2810</v>
      </c>
      <c r="E956" s="2">
        <v>118</v>
      </c>
      <c r="F956" s="2">
        <f t="shared" si="45"/>
        <v>62</v>
      </c>
      <c r="G956" s="2">
        <f t="shared" si="43"/>
        <v>1</v>
      </c>
    </row>
    <row r="957" spans="2:9" x14ac:dyDescent="0.2">
      <c r="B957" s="3" t="s">
        <v>20</v>
      </c>
      <c r="C957" s="3" t="s">
        <v>22</v>
      </c>
      <c r="D957" s="2">
        <v>24955</v>
      </c>
      <c r="E957" s="2">
        <v>1209</v>
      </c>
      <c r="F957" s="2">
        <f t="shared" si="45"/>
        <v>649</v>
      </c>
      <c r="G957" s="2">
        <f t="shared" si="43"/>
        <v>37</v>
      </c>
      <c r="H957" s="2">
        <f t="shared" si="44"/>
        <v>30703</v>
      </c>
      <c r="I957" s="2">
        <v>715751</v>
      </c>
    </row>
    <row r="958" spans="2:9" x14ac:dyDescent="0.2">
      <c r="B958" s="3"/>
      <c r="C958" s="3" t="s">
        <v>26</v>
      </c>
      <c r="D958" s="2">
        <v>3844</v>
      </c>
      <c r="E958" s="2">
        <v>150</v>
      </c>
      <c r="F958" s="2">
        <f t="shared" si="45"/>
        <v>131</v>
      </c>
      <c r="G958" s="2">
        <f t="shared" si="43"/>
        <v>0</v>
      </c>
    </row>
    <row r="959" spans="2:9" x14ac:dyDescent="0.2">
      <c r="B959" s="3"/>
      <c r="C959" s="3" t="s">
        <v>27</v>
      </c>
      <c r="D959" s="2">
        <v>3997</v>
      </c>
      <c r="E959" s="2">
        <v>167</v>
      </c>
      <c r="F959" s="2">
        <f t="shared" si="45"/>
        <v>104</v>
      </c>
      <c r="G959" s="2">
        <f t="shared" si="43"/>
        <v>0</v>
      </c>
    </row>
    <row r="960" spans="2:9" x14ac:dyDescent="0.2">
      <c r="C960" s="3" t="s">
        <v>42</v>
      </c>
      <c r="D960" s="2">
        <v>2203</v>
      </c>
      <c r="E960" s="2">
        <v>115</v>
      </c>
      <c r="F960" s="2">
        <f t="shared" si="45"/>
        <v>27</v>
      </c>
      <c r="G960" s="2">
        <f t="shared" si="43"/>
        <v>2</v>
      </c>
    </row>
    <row r="961" spans="1:9" x14ac:dyDescent="0.2">
      <c r="C961" s="3" t="s">
        <v>43</v>
      </c>
      <c r="D961" s="2">
        <v>2774</v>
      </c>
      <c r="E961" s="2">
        <v>52</v>
      </c>
      <c r="F961" s="2">
        <f t="shared" si="45"/>
        <v>114</v>
      </c>
      <c r="G961" s="2">
        <f t="shared" si="43"/>
        <v>1</v>
      </c>
    </row>
    <row r="962" spans="1:9" x14ac:dyDescent="0.2">
      <c r="A962" s="1">
        <v>43954</v>
      </c>
      <c r="B962" s="3" t="s">
        <v>5</v>
      </c>
      <c r="C962" s="3" t="s">
        <v>6</v>
      </c>
      <c r="D962" s="2">
        <v>53640</v>
      </c>
      <c r="E962" s="2">
        <v>3424</v>
      </c>
      <c r="F962" s="2">
        <f t="shared" si="45"/>
        <v>601</v>
      </c>
      <c r="G962" s="2">
        <f t="shared" si="43"/>
        <v>47</v>
      </c>
      <c r="H962" s="2">
        <f t="shared" si="44"/>
        <v>26894</v>
      </c>
      <c r="I962" s="2">
        <v>985911</v>
      </c>
    </row>
    <row r="963" spans="1:9" x14ac:dyDescent="0.2">
      <c r="B963" s="3"/>
      <c r="C963" s="3" t="s">
        <v>7</v>
      </c>
      <c r="D963" s="2">
        <v>46839</v>
      </c>
      <c r="E963" s="2">
        <v>3864</v>
      </c>
      <c r="F963" s="2">
        <f t="shared" si="45"/>
        <v>564</v>
      </c>
      <c r="G963" s="2">
        <f t="shared" si="43"/>
        <v>44</v>
      </c>
    </row>
    <row r="964" spans="1:9" x14ac:dyDescent="0.2">
      <c r="B964" s="3"/>
      <c r="C964" s="3" t="s">
        <v>8</v>
      </c>
      <c r="D964" s="2">
        <v>36780</v>
      </c>
      <c r="E964" s="2">
        <v>2194</v>
      </c>
      <c r="F964" s="2">
        <f t="shared" si="45"/>
        <v>261</v>
      </c>
      <c r="G964" s="2">
        <f t="shared" si="43"/>
        <v>27</v>
      </c>
    </row>
    <row r="965" spans="1:9" x14ac:dyDescent="0.2">
      <c r="B965" s="3"/>
      <c r="C965" s="3" t="s">
        <v>35</v>
      </c>
      <c r="D965" s="2">
        <v>38916</v>
      </c>
      <c r="E965" s="2">
        <v>2563</v>
      </c>
      <c r="F965" s="2">
        <f t="shared" si="45"/>
        <v>466</v>
      </c>
      <c r="G965" s="2">
        <f t="shared" si="43"/>
        <v>29</v>
      </c>
    </row>
    <row r="966" spans="1:9" x14ac:dyDescent="0.2">
      <c r="B966" s="3"/>
      <c r="C966" s="3" t="s">
        <v>14</v>
      </c>
      <c r="D966" s="2">
        <v>34855</v>
      </c>
      <c r="E966" s="2">
        <v>1309</v>
      </c>
      <c r="F966" s="2">
        <f t="shared" si="45"/>
        <v>377</v>
      </c>
      <c r="G966" s="2">
        <f t="shared" si="43"/>
        <v>32</v>
      </c>
    </row>
    <row r="967" spans="1:9" x14ac:dyDescent="0.2">
      <c r="B967" s="3" t="s">
        <v>9</v>
      </c>
      <c r="C967" s="3" t="s">
        <v>10</v>
      </c>
      <c r="D967" s="2">
        <v>16185</v>
      </c>
      <c r="E967" s="2">
        <v>1210</v>
      </c>
      <c r="F967" s="2">
        <f t="shared" si="45"/>
        <v>211</v>
      </c>
      <c r="G967" s="2">
        <f t="shared" si="43"/>
        <v>8</v>
      </c>
      <c r="H967" s="2">
        <f t="shared" si="44"/>
        <v>12754</v>
      </c>
      <c r="I967" s="2">
        <f>SUM(126744+148322)</f>
        <v>275066</v>
      </c>
    </row>
    <row r="968" spans="1:9" x14ac:dyDescent="0.2">
      <c r="B968" s="3"/>
      <c r="C968" s="3" t="s">
        <v>11</v>
      </c>
      <c r="D968" s="2">
        <v>15769</v>
      </c>
      <c r="E968" s="2">
        <v>845</v>
      </c>
      <c r="F968" s="2">
        <f t="shared" si="45"/>
        <v>368</v>
      </c>
      <c r="G968" s="2">
        <f t="shared" si="43"/>
        <v>11</v>
      </c>
    </row>
    <row r="969" spans="1:9" x14ac:dyDescent="0.2">
      <c r="B969" s="3"/>
      <c r="C969" s="3" t="s">
        <v>12</v>
      </c>
      <c r="D969" s="2">
        <v>14521</v>
      </c>
      <c r="E969" s="2">
        <v>1282</v>
      </c>
      <c r="F969" s="2">
        <f t="shared" si="45"/>
        <v>273</v>
      </c>
      <c r="G969" s="2">
        <f t="shared" si="43"/>
        <v>17</v>
      </c>
    </row>
    <row r="970" spans="1:9" x14ac:dyDescent="0.2">
      <c r="B970" s="3"/>
      <c r="C970" s="3" t="s">
        <v>36</v>
      </c>
      <c r="D970" s="2">
        <v>13225</v>
      </c>
      <c r="E970" s="2">
        <v>738</v>
      </c>
      <c r="F970" s="2">
        <f t="shared" si="45"/>
        <v>229</v>
      </c>
      <c r="G970" s="2">
        <f t="shared" si="43"/>
        <v>7</v>
      </c>
    </row>
    <row r="971" spans="1:9" x14ac:dyDescent="0.2">
      <c r="B971" s="3"/>
      <c r="C971" s="3" t="s">
        <v>37</v>
      </c>
      <c r="D971" s="2">
        <v>13364</v>
      </c>
      <c r="E971" s="2">
        <v>632</v>
      </c>
      <c r="F971" s="2">
        <f t="shared" si="45"/>
        <v>282</v>
      </c>
      <c r="G971" s="2">
        <f t="shared" si="43"/>
        <v>8</v>
      </c>
    </row>
    <row r="972" spans="1:9" x14ac:dyDescent="0.2">
      <c r="B972" s="3" t="s">
        <v>13</v>
      </c>
      <c r="C972" s="3" t="s">
        <v>14</v>
      </c>
      <c r="D972" s="2">
        <v>13777</v>
      </c>
      <c r="E972" s="2">
        <v>588</v>
      </c>
      <c r="F972" s="2">
        <f t="shared" si="45"/>
        <v>171</v>
      </c>
      <c r="G972" s="2">
        <f t="shared" si="43"/>
        <v>19</v>
      </c>
      <c r="H972" s="2">
        <f t="shared" si="44"/>
        <v>15652</v>
      </c>
      <c r="I972" s="2">
        <v>314646</v>
      </c>
    </row>
    <row r="973" spans="1:9" x14ac:dyDescent="0.2">
      <c r="B973" s="3"/>
      <c r="C973" s="3" t="s">
        <v>15</v>
      </c>
      <c r="D973" s="2">
        <v>15370</v>
      </c>
      <c r="E973" s="2">
        <v>972</v>
      </c>
      <c r="F973" s="2">
        <f t="shared" si="45"/>
        <v>322</v>
      </c>
      <c r="G973" s="2">
        <f t="shared" si="43"/>
        <v>49</v>
      </c>
    </row>
    <row r="974" spans="1:9" x14ac:dyDescent="0.2">
      <c r="B974" s="3"/>
      <c r="C974" s="3" t="s">
        <v>12</v>
      </c>
      <c r="D974" s="2">
        <v>9542</v>
      </c>
      <c r="E974" s="2">
        <v>499</v>
      </c>
      <c r="F974" s="2">
        <f t="shared" si="45"/>
        <v>180</v>
      </c>
      <c r="G974" s="2">
        <f t="shared" si="43"/>
        <v>15</v>
      </c>
    </row>
    <row r="975" spans="1:9" x14ac:dyDescent="0.2">
      <c r="B975" s="3"/>
      <c r="C975" s="3" t="s">
        <v>33</v>
      </c>
      <c r="D975" s="2">
        <v>6280</v>
      </c>
      <c r="E975" s="2">
        <v>550</v>
      </c>
      <c r="F975" s="2">
        <f t="shared" si="45"/>
        <v>93</v>
      </c>
      <c r="G975" s="2">
        <f t="shared" si="43"/>
        <v>15</v>
      </c>
    </row>
    <row r="976" spans="1:9" x14ac:dyDescent="0.2">
      <c r="B976" s="3"/>
      <c r="C976" s="3" t="s">
        <v>34</v>
      </c>
      <c r="D976" s="2">
        <v>6288</v>
      </c>
      <c r="E976" s="2">
        <v>312</v>
      </c>
      <c r="F976" s="2">
        <f t="shared" si="45"/>
        <v>159</v>
      </c>
      <c r="G976" s="2">
        <f t="shared" si="43"/>
        <v>20</v>
      </c>
    </row>
    <row r="977" spans="1:9" x14ac:dyDescent="0.2">
      <c r="B977" s="3" t="s">
        <v>23</v>
      </c>
      <c r="C977" s="3" t="s">
        <v>24</v>
      </c>
      <c r="D977" s="2">
        <v>17298</v>
      </c>
      <c r="E977" s="2">
        <v>1893</v>
      </c>
      <c r="F977" s="2">
        <f t="shared" si="45"/>
        <v>192</v>
      </c>
      <c r="G977" s="2">
        <f t="shared" si="43"/>
        <v>9</v>
      </c>
      <c r="H977" s="2">
        <f t="shared" si="44"/>
        <v>10823</v>
      </c>
      <c r="I977" s="2">
        <f>SUM(43754+168778)</f>
        <v>212532</v>
      </c>
    </row>
    <row r="978" spans="1:9" x14ac:dyDescent="0.2">
      <c r="B978" s="3"/>
      <c r="C978" s="3" t="s">
        <v>25</v>
      </c>
      <c r="D978" s="2">
        <v>7518</v>
      </c>
      <c r="E978" s="2">
        <v>757</v>
      </c>
      <c r="F978" s="2">
        <f t="shared" si="45"/>
        <v>43</v>
      </c>
      <c r="G978" s="2">
        <f t="shared" si="43"/>
        <v>12</v>
      </c>
    </row>
    <row r="979" spans="1:9" x14ac:dyDescent="0.2">
      <c r="B979" s="3"/>
      <c r="C979" s="3" t="s">
        <v>28</v>
      </c>
      <c r="D979" s="2">
        <v>5756</v>
      </c>
      <c r="E979" s="2">
        <v>628</v>
      </c>
      <c r="F979" s="2">
        <f t="shared" si="45"/>
        <v>90</v>
      </c>
      <c r="G979" s="2">
        <f t="shared" si="43"/>
        <v>3</v>
      </c>
    </row>
    <row r="980" spans="1:9" x14ac:dyDescent="0.2">
      <c r="B980" s="3"/>
      <c r="C980" s="3" t="s">
        <v>38</v>
      </c>
      <c r="D980" s="2">
        <v>1634</v>
      </c>
      <c r="E980" s="2">
        <v>196</v>
      </c>
      <c r="F980" s="2">
        <f t="shared" si="45"/>
        <v>14</v>
      </c>
      <c r="G980" s="2">
        <f t="shared" si="43"/>
        <v>0</v>
      </c>
    </row>
    <row r="981" spans="1:9" x14ac:dyDescent="0.2">
      <c r="B981" s="3"/>
      <c r="C981" s="3" t="s">
        <v>39</v>
      </c>
      <c r="D981" s="2">
        <v>1113</v>
      </c>
      <c r="E981" s="2">
        <v>71</v>
      </c>
      <c r="F981" s="2">
        <f t="shared" si="45"/>
        <v>12</v>
      </c>
      <c r="G981" s="2">
        <f t="shared" si="43"/>
        <v>1</v>
      </c>
    </row>
    <row r="982" spans="1:9" x14ac:dyDescent="0.2">
      <c r="B982" s="3" t="s">
        <v>16</v>
      </c>
      <c r="C982" s="3" t="s">
        <v>17</v>
      </c>
      <c r="D982" s="2">
        <v>13179</v>
      </c>
      <c r="E982" s="2">
        <v>727</v>
      </c>
      <c r="F982" s="2">
        <f t="shared" si="45"/>
        <v>231</v>
      </c>
      <c r="G982" s="2">
        <f t="shared" si="43"/>
        <v>22</v>
      </c>
      <c r="H982" s="2">
        <f t="shared" si="44"/>
        <v>5265</v>
      </c>
      <c r="I982" s="2">
        <f>SUM(49267+191374)</f>
        <v>240641</v>
      </c>
    </row>
    <row r="983" spans="1:9" x14ac:dyDescent="0.2">
      <c r="B983" s="3"/>
      <c r="C983" s="3" t="s">
        <v>18</v>
      </c>
      <c r="D983" s="2">
        <v>4552</v>
      </c>
      <c r="E983" s="2">
        <v>381</v>
      </c>
      <c r="F983" s="2">
        <f t="shared" si="45"/>
        <v>65</v>
      </c>
      <c r="G983" s="2">
        <f t="shared" si="43"/>
        <v>12</v>
      </c>
    </row>
    <row r="984" spans="1:9" x14ac:dyDescent="0.2">
      <c r="B984" s="3"/>
      <c r="C984" s="3" t="s">
        <v>19</v>
      </c>
      <c r="D984" s="2">
        <v>4113</v>
      </c>
      <c r="E984" s="2">
        <v>255</v>
      </c>
      <c r="F984" s="2">
        <f t="shared" si="45"/>
        <v>114</v>
      </c>
      <c r="G984" s="2">
        <f t="shared" si="43"/>
        <v>0</v>
      </c>
    </row>
    <row r="985" spans="1:9" x14ac:dyDescent="0.2">
      <c r="B985" s="3"/>
      <c r="C985" s="3" t="s">
        <v>40</v>
      </c>
      <c r="D985" s="2">
        <v>2924</v>
      </c>
      <c r="E985" s="2">
        <v>83</v>
      </c>
      <c r="F985" s="2">
        <f t="shared" si="45"/>
        <v>28</v>
      </c>
      <c r="G985" s="2">
        <f t="shared" si="43"/>
        <v>0</v>
      </c>
    </row>
    <row r="986" spans="1:9" x14ac:dyDescent="0.2">
      <c r="B986" s="3"/>
      <c r="C986" s="3" t="s">
        <v>41</v>
      </c>
      <c r="D986" s="2">
        <v>2886</v>
      </c>
      <c r="E986" s="2">
        <v>118</v>
      </c>
      <c r="F986" s="2">
        <f t="shared" si="45"/>
        <v>76</v>
      </c>
      <c r="G986" s="2">
        <f t="shared" si="43"/>
        <v>0</v>
      </c>
    </row>
    <row r="987" spans="1:9" x14ac:dyDescent="0.2">
      <c r="B987" s="3" t="s">
        <v>20</v>
      </c>
      <c r="C987" s="3" t="s">
        <v>22</v>
      </c>
      <c r="D987" s="2">
        <v>25708</v>
      </c>
      <c r="E987" s="2">
        <v>1229</v>
      </c>
      <c r="F987" s="2">
        <f t="shared" si="45"/>
        <v>753</v>
      </c>
      <c r="G987" s="2">
        <f t="shared" si="43"/>
        <v>20</v>
      </c>
      <c r="H987" s="2">
        <f t="shared" si="44"/>
        <v>32123</v>
      </c>
      <c r="I987" s="2">
        <v>747874</v>
      </c>
    </row>
    <row r="988" spans="1:9" x14ac:dyDescent="0.2">
      <c r="B988" s="3"/>
      <c r="C988" s="3" t="s">
        <v>26</v>
      </c>
      <c r="D988" s="2">
        <v>3929</v>
      </c>
      <c r="E988" s="2">
        <v>150</v>
      </c>
      <c r="F988" s="2">
        <f t="shared" si="45"/>
        <v>85</v>
      </c>
      <c r="G988" s="2">
        <f t="shared" si="43"/>
        <v>0</v>
      </c>
    </row>
    <row r="989" spans="1:9" x14ac:dyDescent="0.2">
      <c r="B989" s="3"/>
      <c r="C989" s="3" t="s">
        <v>27</v>
      </c>
      <c r="D989" s="2">
        <v>4034</v>
      </c>
      <c r="E989" s="2">
        <v>176</v>
      </c>
      <c r="F989" s="2">
        <f t="shared" si="45"/>
        <v>37</v>
      </c>
      <c r="G989" s="2">
        <f t="shared" si="43"/>
        <v>9</v>
      </c>
    </row>
    <row r="990" spans="1:9" x14ac:dyDescent="0.2">
      <c r="C990" s="3" t="s">
        <v>42</v>
      </c>
      <c r="D990" s="2">
        <v>2235</v>
      </c>
      <c r="E990" s="2">
        <v>116</v>
      </c>
      <c r="F990" s="2">
        <f t="shared" si="45"/>
        <v>32</v>
      </c>
      <c r="G990" s="2">
        <f t="shared" si="43"/>
        <v>1</v>
      </c>
    </row>
    <row r="991" spans="1:9" x14ac:dyDescent="0.2">
      <c r="C991" s="3" t="s">
        <v>43</v>
      </c>
      <c r="D991" s="2">
        <v>2859</v>
      </c>
      <c r="E991" s="2">
        <v>55</v>
      </c>
      <c r="F991" s="2">
        <f t="shared" si="45"/>
        <v>85</v>
      </c>
      <c r="G991" s="2">
        <f t="shared" si="43"/>
        <v>3</v>
      </c>
    </row>
    <row r="992" spans="1:9" x14ac:dyDescent="0.2">
      <c r="A992" s="1">
        <v>43955</v>
      </c>
      <c r="B992" s="3" t="s">
        <v>5</v>
      </c>
      <c r="C992" s="3" t="s">
        <v>6</v>
      </c>
      <c r="D992" s="2">
        <v>54090</v>
      </c>
      <c r="E992" s="2">
        <v>3458</v>
      </c>
      <c r="F992" s="2">
        <f t="shared" si="45"/>
        <v>450</v>
      </c>
      <c r="G992" s="2">
        <f t="shared" si="43"/>
        <v>34</v>
      </c>
      <c r="H992" s="2">
        <f t="shared" si="44"/>
        <v>21399</v>
      </c>
      <c r="I992" s="2">
        <v>1007310</v>
      </c>
    </row>
    <row r="993" spans="2:9" x14ac:dyDescent="0.2">
      <c r="B993" s="3"/>
      <c r="C993" s="3" t="s">
        <v>7</v>
      </c>
      <c r="D993" s="2">
        <v>47183</v>
      </c>
      <c r="E993" s="2">
        <v>3895</v>
      </c>
      <c r="F993" s="2">
        <f t="shared" si="45"/>
        <v>344</v>
      </c>
      <c r="G993" s="2">
        <f t="shared" ref="G993:G1056" si="46">SUM(E993-E963)</f>
        <v>31</v>
      </c>
    </row>
    <row r="994" spans="2:9" x14ac:dyDescent="0.2">
      <c r="B994" s="3"/>
      <c r="C994" s="3" t="s">
        <v>8</v>
      </c>
      <c r="D994" s="2">
        <v>36965</v>
      </c>
      <c r="E994" s="2">
        <v>2221</v>
      </c>
      <c r="F994" s="2">
        <f t="shared" si="45"/>
        <v>185</v>
      </c>
      <c r="G994" s="2">
        <f t="shared" si="46"/>
        <v>27</v>
      </c>
    </row>
    <row r="995" spans="2:9" x14ac:dyDescent="0.2">
      <c r="B995" s="3"/>
      <c r="C995" s="3" t="s">
        <v>35</v>
      </c>
      <c r="D995" s="2">
        <v>39223</v>
      </c>
      <c r="E995" s="2">
        <v>2604</v>
      </c>
      <c r="F995" s="2">
        <f t="shared" si="45"/>
        <v>307</v>
      </c>
      <c r="G995" s="2">
        <f t="shared" si="46"/>
        <v>41</v>
      </c>
    </row>
    <row r="996" spans="2:9" x14ac:dyDescent="0.2">
      <c r="B996" s="3"/>
      <c r="C996" s="3" t="s">
        <v>14</v>
      </c>
      <c r="D996" s="2">
        <v>35077</v>
      </c>
      <c r="E996" s="2">
        <v>1325</v>
      </c>
      <c r="F996" s="2">
        <f t="shared" si="45"/>
        <v>222</v>
      </c>
      <c r="G996" s="2">
        <f t="shared" si="46"/>
        <v>16</v>
      </c>
    </row>
    <row r="997" spans="2:9" x14ac:dyDescent="0.2">
      <c r="B997" s="3" t="s">
        <v>9</v>
      </c>
      <c r="C997" s="3" t="s">
        <v>10</v>
      </c>
      <c r="D997" s="2">
        <v>16282</v>
      </c>
      <c r="E997" s="2">
        <v>1215</v>
      </c>
      <c r="F997" s="2">
        <f t="shared" si="45"/>
        <v>97</v>
      </c>
      <c r="G997" s="2">
        <f t="shared" si="46"/>
        <v>5</v>
      </c>
      <c r="H997" s="2">
        <f t="shared" ref="H997:H1052" si="47">SUM(I997-I967)</f>
        <v>2154</v>
      </c>
      <c r="I997" s="2">
        <f>SUM(128269+148951)</f>
        <v>277220</v>
      </c>
    </row>
    <row r="998" spans="2:9" x14ac:dyDescent="0.2">
      <c r="B998" s="3"/>
      <c r="C998" s="3" t="s">
        <v>11</v>
      </c>
      <c r="D998" s="2">
        <v>15881</v>
      </c>
      <c r="E998" s="2">
        <v>845</v>
      </c>
      <c r="F998" s="2">
        <f t="shared" si="45"/>
        <v>112</v>
      </c>
      <c r="G998" s="2">
        <f t="shared" si="46"/>
        <v>0</v>
      </c>
    </row>
    <row r="999" spans="2:9" x14ac:dyDescent="0.2">
      <c r="B999" s="3"/>
      <c r="C999" s="3" t="s">
        <v>12</v>
      </c>
      <c r="D999" s="2">
        <v>14621</v>
      </c>
      <c r="E999" s="2">
        <v>1292</v>
      </c>
      <c r="F999" s="2">
        <f t="shared" si="45"/>
        <v>100</v>
      </c>
      <c r="G999" s="2">
        <f t="shared" si="46"/>
        <v>10</v>
      </c>
    </row>
    <row r="1000" spans="2:9" x14ac:dyDescent="0.2">
      <c r="B1000" s="3"/>
      <c r="C1000" s="3" t="s">
        <v>36</v>
      </c>
      <c r="D1000" s="2">
        <v>13357</v>
      </c>
      <c r="E1000" s="2">
        <v>737</v>
      </c>
      <c r="F1000" s="2">
        <f t="shared" si="45"/>
        <v>132</v>
      </c>
      <c r="G1000" s="2">
        <f t="shared" si="46"/>
        <v>-1</v>
      </c>
    </row>
    <row r="1001" spans="2:9" x14ac:dyDescent="0.2">
      <c r="B1001" s="3"/>
      <c r="C1001" s="3" t="s">
        <v>37</v>
      </c>
      <c r="D1001" s="2">
        <v>13496</v>
      </c>
      <c r="E1001" s="2">
        <v>633</v>
      </c>
      <c r="F1001" s="2">
        <f t="shared" si="45"/>
        <v>132</v>
      </c>
      <c r="G1001" s="2">
        <f t="shared" si="46"/>
        <v>1</v>
      </c>
    </row>
    <row r="1002" spans="2:9" x14ac:dyDescent="0.2">
      <c r="B1002" s="3" t="s">
        <v>13</v>
      </c>
      <c r="C1002" s="3" t="s">
        <v>14</v>
      </c>
      <c r="D1002" s="2">
        <v>13941</v>
      </c>
      <c r="E1002" s="2">
        <v>596</v>
      </c>
      <c r="F1002" s="2">
        <f t="shared" si="45"/>
        <v>164</v>
      </c>
      <c r="G1002" s="2">
        <f t="shared" si="46"/>
        <v>8</v>
      </c>
      <c r="H1002" s="2">
        <f t="shared" si="47"/>
        <v>9622</v>
      </c>
      <c r="I1002" s="2">
        <v>324268</v>
      </c>
    </row>
    <row r="1003" spans="2:9" x14ac:dyDescent="0.2">
      <c r="B1003" s="3"/>
      <c r="C1003" s="3" t="s">
        <v>15</v>
      </c>
      <c r="D1003" s="2">
        <v>15757</v>
      </c>
      <c r="E1003" s="2">
        <v>997</v>
      </c>
      <c r="F1003" s="2">
        <f t="shared" si="45"/>
        <v>387</v>
      </c>
      <c r="G1003" s="2">
        <f t="shared" si="46"/>
        <v>25</v>
      </c>
    </row>
    <row r="1004" spans="2:9" x14ac:dyDescent="0.2">
      <c r="B1004" s="3"/>
      <c r="C1004" s="3" t="s">
        <v>12</v>
      </c>
      <c r="D1004" s="2">
        <v>9773</v>
      </c>
      <c r="E1004" s="2">
        <v>512</v>
      </c>
      <c r="F1004" s="2">
        <f t="shared" si="45"/>
        <v>231</v>
      </c>
      <c r="G1004" s="2">
        <f t="shared" si="46"/>
        <v>13</v>
      </c>
    </row>
    <row r="1005" spans="2:9" x14ac:dyDescent="0.2">
      <c r="B1005" s="3"/>
      <c r="C1005" s="3" t="s">
        <v>33</v>
      </c>
      <c r="D1005" s="2">
        <v>6382</v>
      </c>
      <c r="E1005" s="2">
        <v>555</v>
      </c>
      <c r="F1005" s="2">
        <f t="shared" si="45"/>
        <v>102</v>
      </c>
      <c r="G1005" s="2">
        <f t="shared" si="46"/>
        <v>5</v>
      </c>
    </row>
    <row r="1006" spans="2:9" x14ac:dyDescent="0.2">
      <c r="B1006" s="3"/>
      <c r="C1006" s="3" t="s">
        <v>34</v>
      </c>
      <c r="D1006" s="2">
        <v>6471</v>
      </c>
      <c r="E1006" s="2">
        <v>320</v>
      </c>
      <c r="F1006" s="2">
        <f t="shared" si="45"/>
        <v>183</v>
      </c>
      <c r="G1006" s="2">
        <f t="shared" si="46"/>
        <v>8</v>
      </c>
    </row>
    <row r="1007" spans="2:9" x14ac:dyDescent="0.2">
      <c r="B1007" s="3" t="s">
        <v>23</v>
      </c>
      <c r="C1007" s="3" t="s">
        <v>24</v>
      </c>
      <c r="D1007" s="2">
        <v>17314</v>
      </c>
      <c r="E1007" s="2">
        <v>1924</v>
      </c>
      <c r="F1007" s="2">
        <f t="shared" ref="F1007:F1070" si="48">SUM(D1007-D977)</f>
        <v>16</v>
      </c>
      <c r="G1007" s="2">
        <f t="shared" si="46"/>
        <v>31</v>
      </c>
      <c r="H1007" s="2">
        <f t="shared" si="47"/>
        <v>9857</v>
      </c>
      <c r="I1007" s="2">
        <f>SUM(43950+178439)</f>
        <v>222389</v>
      </c>
    </row>
    <row r="1008" spans="2:9" x14ac:dyDescent="0.2">
      <c r="B1008" s="3"/>
      <c r="C1008" s="3" t="s">
        <v>25</v>
      </c>
      <c r="E1008" s="2">
        <v>762</v>
      </c>
      <c r="G1008" s="2">
        <f t="shared" si="46"/>
        <v>5</v>
      </c>
    </row>
    <row r="1009" spans="1:9" x14ac:dyDescent="0.2">
      <c r="B1009" s="3"/>
      <c r="C1009" s="3" t="s">
        <v>28</v>
      </c>
      <c r="E1009" s="2">
        <v>643</v>
      </c>
      <c r="G1009" s="2">
        <f t="shared" si="46"/>
        <v>15</v>
      </c>
    </row>
    <row r="1010" spans="1:9" x14ac:dyDescent="0.2">
      <c r="B1010" s="3"/>
      <c r="C1010" s="3" t="s">
        <v>38</v>
      </c>
      <c r="D1010" s="2">
        <v>1647</v>
      </c>
      <c r="E1010" s="2">
        <v>199</v>
      </c>
      <c r="F1010" s="2">
        <f t="shared" si="48"/>
        <v>13</v>
      </c>
      <c r="G1010" s="2">
        <f t="shared" si="46"/>
        <v>3</v>
      </c>
    </row>
    <row r="1011" spans="1:9" x14ac:dyDescent="0.2">
      <c r="B1011" s="3"/>
      <c r="C1011" s="3" t="s">
        <v>39</v>
      </c>
      <c r="D1011" s="2">
        <v>1118</v>
      </c>
      <c r="E1011" s="2">
        <v>76</v>
      </c>
      <c r="F1011" s="2">
        <f t="shared" si="48"/>
        <v>5</v>
      </c>
      <c r="G1011" s="2">
        <f t="shared" si="46"/>
        <v>5</v>
      </c>
    </row>
    <row r="1012" spans="1:9" x14ac:dyDescent="0.2">
      <c r="B1012" s="3" t="s">
        <v>16</v>
      </c>
      <c r="C1012" s="3" t="s">
        <v>17</v>
      </c>
      <c r="E1012" s="2">
        <v>726</v>
      </c>
      <c r="G1012" s="2">
        <f t="shared" si="46"/>
        <v>-1</v>
      </c>
      <c r="H1012" s="2">
        <f t="shared" si="47"/>
        <v>4949</v>
      </c>
      <c r="I1012" s="2">
        <f>SUM(50092+195498)</f>
        <v>245590</v>
      </c>
    </row>
    <row r="1013" spans="1:9" x14ac:dyDescent="0.2">
      <c r="B1013" s="3"/>
      <c r="C1013" s="3" t="s">
        <v>18</v>
      </c>
      <c r="D1013" s="2">
        <v>4645</v>
      </c>
      <c r="E1013" s="2">
        <v>382</v>
      </c>
      <c r="F1013" s="2">
        <f t="shared" si="48"/>
        <v>93</v>
      </c>
      <c r="G1013" s="2">
        <f t="shared" si="46"/>
        <v>1</v>
      </c>
    </row>
    <row r="1014" spans="1:9" x14ac:dyDescent="0.2">
      <c r="B1014" s="3"/>
      <c r="C1014" s="3" t="s">
        <v>19</v>
      </c>
      <c r="D1014" s="2">
        <v>4256</v>
      </c>
      <c r="E1014" s="2">
        <v>258</v>
      </c>
      <c r="F1014" s="2">
        <f t="shared" si="48"/>
        <v>143</v>
      </c>
      <c r="G1014" s="2">
        <f t="shared" si="46"/>
        <v>3</v>
      </c>
    </row>
    <row r="1015" spans="1:9" x14ac:dyDescent="0.2">
      <c r="B1015" s="3"/>
      <c r="C1015" s="3" t="s">
        <v>40</v>
      </c>
      <c r="D1015" s="2">
        <v>2963</v>
      </c>
      <c r="E1015" s="2">
        <v>83</v>
      </c>
      <c r="F1015" s="2">
        <f t="shared" si="48"/>
        <v>39</v>
      </c>
      <c r="G1015" s="2">
        <f t="shared" si="46"/>
        <v>0</v>
      </c>
    </row>
    <row r="1016" spans="1:9" x14ac:dyDescent="0.2">
      <c r="B1016" s="3"/>
      <c r="C1016" s="3" t="s">
        <v>41</v>
      </c>
      <c r="D1016" s="2">
        <v>2948</v>
      </c>
      <c r="E1016" s="2">
        <v>118</v>
      </c>
      <c r="F1016" s="2">
        <f t="shared" si="48"/>
        <v>62</v>
      </c>
      <c r="G1016" s="2">
        <f t="shared" si="46"/>
        <v>0</v>
      </c>
    </row>
    <row r="1017" spans="1:9" x14ac:dyDescent="0.2">
      <c r="B1017" s="3" t="s">
        <v>20</v>
      </c>
      <c r="C1017" s="3" t="s">
        <v>22</v>
      </c>
      <c r="D1017" s="2">
        <v>26243</v>
      </c>
      <c r="E1017" s="2">
        <v>1256</v>
      </c>
      <c r="F1017" s="2">
        <f t="shared" si="48"/>
        <v>535</v>
      </c>
      <c r="G1017" s="2">
        <f t="shared" si="46"/>
        <v>27</v>
      </c>
      <c r="H1017" s="2">
        <f t="shared" si="47"/>
        <v>32028</v>
      </c>
      <c r="I1017" s="2">
        <v>779902</v>
      </c>
    </row>
    <row r="1018" spans="1:9" x14ac:dyDescent="0.2">
      <c r="B1018" s="3"/>
      <c r="C1018" s="3" t="s">
        <v>26</v>
      </c>
      <c r="D1018" s="2">
        <v>4022</v>
      </c>
      <c r="E1018" s="2">
        <v>162</v>
      </c>
      <c r="F1018" s="2">
        <f t="shared" si="48"/>
        <v>93</v>
      </c>
      <c r="G1018" s="2">
        <f t="shared" si="46"/>
        <v>12</v>
      </c>
    </row>
    <row r="1019" spans="1:9" x14ac:dyDescent="0.2">
      <c r="B1019" s="3"/>
      <c r="C1019" s="3" t="s">
        <v>27</v>
      </c>
      <c r="D1019" s="2">
        <v>4221</v>
      </c>
      <c r="E1019" s="2">
        <v>184</v>
      </c>
      <c r="F1019" s="2">
        <f t="shared" si="48"/>
        <v>187</v>
      </c>
      <c r="G1019" s="2">
        <f t="shared" si="46"/>
        <v>8</v>
      </c>
    </row>
    <row r="1020" spans="1:9" x14ac:dyDescent="0.2">
      <c r="C1020" s="3" t="s">
        <v>42</v>
      </c>
      <c r="D1020" s="2">
        <v>2238</v>
      </c>
      <c r="E1020" s="2">
        <v>119</v>
      </c>
      <c r="F1020" s="2">
        <f t="shared" si="48"/>
        <v>3</v>
      </c>
      <c r="G1020" s="2">
        <f t="shared" si="46"/>
        <v>3</v>
      </c>
    </row>
    <row r="1021" spans="1:9" x14ac:dyDescent="0.2">
      <c r="C1021" s="3" t="s">
        <v>43</v>
      </c>
      <c r="D1021" s="2">
        <v>2931</v>
      </c>
      <c r="E1021" s="2">
        <v>57</v>
      </c>
      <c r="F1021" s="2">
        <f t="shared" si="48"/>
        <v>72</v>
      </c>
      <c r="G1021" s="2">
        <f t="shared" si="46"/>
        <v>2</v>
      </c>
    </row>
    <row r="1022" spans="1:9" x14ac:dyDescent="0.2">
      <c r="A1022" s="1">
        <v>43956</v>
      </c>
      <c r="B1022" s="3" t="s">
        <v>5</v>
      </c>
      <c r="C1022" s="3" t="s">
        <v>6</v>
      </c>
      <c r="D1022" s="2">
        <v>54448</v>
      </c>
      <c r="E1022" s="2">
        <v>3476</v>
      </c>
      <c r="F1022" s="2">
        <f t="shared" si="48"/>
        <v>358</v>
      </c>
      <c r="G1022" s="2">
        <f t="shared" si="46"/>
        <v>18</v>
      </c>
      <c r="H1022" s="2">
        <f t="shared" si="47"/>
        <v>21589</v>
      </c>
      <c r="I1022" s="2">
        <v>1028899</v>
      </c>
    </row>
    <row r="1023" spans="1:9" x14ac:dyDescent="0.2">
      <c r="B1023" s="3"/>
      <c r="C1023" s="3" t="s">
        <v>7</v>
      </c>
      <c r="D1023" s="2">
        <v>47579</v>
      </c>
      <c r="E1023" s="2">
        <v>3933</v>
      </c>
      <c r="F1023" s="2">
        <f t="shared" si="48"/>
        <v>396</v>
      </c>
      <c r="G1023" s="2">
        <f t="shared" si="46"/>
        <v>38</v>
      </c>
    </row>
    <row r="1024" spans="1:9" x14ac:dyDescent="0.2">
      <c r="B1024" s="3"/>
      <c r="C1024" s="3" t="s">
        <v>8</v>
      </c>
      <c r="D1024" s="2">
        <v>37152</v>
      </c>
      <c r="E1024" s="2">
        <v>2250</v>
      </c>
      <c r="F1024" s="2">
        <f t="shared" si="48"/>
        <v>187</v>
      </c>
      <c r="G1024" s="2">
        <f t="shared" si="46"/>
        <v>29</v>
      </c>
    </row>
    <row r="1025" spans="2:9" x14ac:dyDescent="0.2">
      <c r="B1025" s="3"/>
      <c r="C1025" s="3" t="s">
        <v>35</v>
      </c>
      <c r="D1025" s="2">
        <v>39476</v>
      </c>
      <c r="E1025" s="2">
        <v>2627</v>
      </c>
      <c r="F1025" s="2">
        <f t="shared" si="48"/>
        <v>253</v>
      </c>
      <c r="G1025" s="2">
        <f t="shared" si="46"/>
        <v>23</v>
      </c>
    </row>
    <row r="1026" spans="2:9" x14ac:dyDescent="0.2">
      <c r="B1026" s="3"/>
      <c r="C1026" s="3" t="s">
        <v>14</v>
      </c>
      <c r="D1026" s="2">
        <v>35275</v>
      </c>
      <c r="E1026" s="2">
        <v>1347</v>
      </c>
      <c r="F1026" s="2">
        <f t="shared" si="48"/>
        <v>198</v>
      </c>
      <c r="G1026" s="2">
        <f t="shared" si="46"/>
        <v>22</v>
      </c>
    </row>
    <row r="1027" spans="2:9" x14ac:dyDescent="0.2">
      <c r="B1027" s="3" t="s">
        <v>9</v>
      </c>
      <c r="C1027" s="3" t="s">
        <v>10</v>
      </c>
      <c r="D1027" s="2">
        <v>16460</v>
      </c>
      <c r="E1027" s="2">
        <v>1261</v>
      </c>
      <c r="F1027" s="2">
        <f t="shared" si="48"/>
        <v>178</v>
      </c>
      <c r="G1027" s="2">
        <f t="shared" si="46"/>
        <v>46</v>
      </c>
      <c r="H1027" s="2">
        <f t="shared" si="47"/>
        <v>10403</v>
      </c>
      <c r="I1027" s="2">
        <f>SUM(130593+157030)</f>
        <v>287623</v>
      </c>
    </row>
    <row r="1028" spans="2:9" x14ac:dyDescent="0.2">
      <c r="B1028" s="3"/>
      <c r="C1028" s="3" t="s">
        <v>11</v>
      </c>
      <c r="D1028" s="2">
        <v>16099</v>
      </c>
      <c r="E1028" s="2">
        <v>870</v>
      </c>
      <c r="F1028" s="2">
        <f t="shared" si="48"/>
        <v>218</v>
      </c>
      <c r="G1028" s="2">
        <f t="shared" si="46"/>
        <v>25</v>
      </c>
    </row>
    <row r="1029" spans="2:9" x14ac:dyDescent="0.2">
      <c r="B1029" s="3"/>
      <c r="C1029" s="3" t="s">
        <v>12</v>
      </c>
      <c r="D1029" s="2">
        <v>14840</v>
      </c>
      <c r="E1029" s="2">
        <v>1319</v>
      </c>
      <c r="F1029" s="2">
        <f t="shared" si="48"/>
        <v>219</v>
      </c>
      <c r="G1029" s="2">
        <f t="shared" si="46"/>
        <v>27</v>
      </c>
    </row>
    <row r="1030" spans="2:9" x14ac:dyDescent="0.2">
      <c r="B1030" s="3"/>
      <c r="C1030" s="3" t="s">
        <v>36</v>
      </c>
      <c r="D1030" s="2">
        <v>13503</v>
      </c>
      <c r="E1030" s="2">
        <v>768</v>
      </c>
      <c r="F1030" s="2">
        <f t="shared" si="48"/>
        <v>146</v>
      </c>
      <c r="G1030" s="2">
        <f t="shared" si="46"/>
        <v>31</v>
      </c>
    </row>
    <row r="1031" spans="2:9" x14ac:dyDescent="0.2">
      <c r="B1031" s="3"/>
      <c r="C1031" s="3" t="s">
        <v>37</v>
      </c>
      <c r="D1031" s="2">
        <v>13797</v>
      </c>
      <c r="E1031" s="2">
        <v>663</v>
      </c>
      <c r="F1031" s="2">
        <f t="shared" si="48"/>
        <v>301</v>
      </c>
      <c r="G1031" s="2">
        <f t="shared" si="46"/>
        <v>30</v>
      </c>
    </row>
    <row r="1032" spans="2:9" x14ac:dyDescent="0.2">
      <c r="B1032" s="3" t="s">
        <v>13</v>
      </c>
      <c r="C1032" s="3" t="s">
        <v>14</v>
      </c>
      <c r="D1032" s="2">
        <v>14173</v>
      </c>
      <c r="E1032" s="2">
        <v>609</v>
      </c>
      <c r="F1032" s="2">
        <f t="shared" si="48"/>
        <v>232</v>
      </c>
      <c r="G1032" s="2">
        <f t="shared" si="46"/>
        <v>13</v>
      </c>
      <c r="H1032" s="2">
        <f t="shared" si="47"/>
        <v>9081</v>
      </c>
      <c r="I1032" s="2">
        <v>333349</v>
      </c>
    </row>
    <row r="1033" spans="2:9" x14ac:dyDescent="0.2">
      <c r="B1033" s="3"/>
      <c r="C1033" s="3" t="s">
        <v>15</v>
      </c>
      <c r="D1033" s="2">
        <v>15980</v>
      </c>
      <c r="E1033" s="2">
        <v>1028</v>
      </c>
      <c r="F1033" s="2">
        <f t="shared" si="48"/>
        <v>223</v>
      </c>
      <c r="G1033" s="2">
        <f t="shared" si="46"/>
        <v>31</v>
      </c>
    </row>
    <row r="1034" spans="2:9" x14ac:dyDescent="0.2">
      <c r="B1034" s="3"/>
      <c r="C1034" s="3" t="s">
        <v>12</v>
      </c>
      <c r="D1034" s="2">
        <v>9979</v>
      </c>
      <c r="E1034" s="2">
        <v>527</v>
      </c>
      <c r="F1034" s="2">
        <f t="shared" si="48"/>
        <v>206</v>
      </c>
      <c r="G1034" s="2">
        <f t="shared" si="46"/>
        <v>15</v>
      </c>
    </row>
    <row r="1035" spans="2:9" x14ac:dyDescent="0.2">
      <c r="B1035" s="3"/>
      <c r="C1035" s="3" t="s">
        <v>33</v>
      </c>
      <c r="D1035" s="2">
        <v>6466</v>
      </c>
      <c r="E1035" s="2">
        <v>575</v>
      </c>
      <c r="F1035" s="2">
        <f t="shared" si="48"/>
        <v>84</v>
      </c>
      <c r="G1035" s="2">
        <f t="shared" si="46"/>
        <v>20</v>
      </c>
    </row>
    <row r="1036" spans="2:9" x14ac:dyDescent="0.2">
      <c r="B1036" s="3"/>
      <c r="C1036" s="3" t="s">
        <v>34</v>
      </c>
      <c r="D1036" s="2">
        <v>6597</v>
      </c>
      <c r="E1036" s="2">
        <v>331</v>
      </c>
      <c r="F1036" s="2">
        <f t="shared" si="48"/>
        <v>126</v>
      </c>
      <c r="G1036" s="2">
        <f t="shared" si="46"/>
        <v>11</v>
      </c>
    </row>
    <row r="1037" spans="2:9" x14ac:dyDescent="0.2">
      <c r="B1037" s="3" t="s">
        <v>23</v>
      </c>
      <c r="C1037" s="3" t="s">
        <v>24</v>
      </c>
      <c r="D1037" s="2">
        <v>17391</v>
      </c>
      <c r="E1037" s="2">
        <v>1945</v>
      </c>
      <c r="F1037" s="2">
        <f t="shared" si="48"/>
        <v>77</v>
      </c>
      <c r="G1037" s="2">
        <f t="shared" si="46"/>
        <v>21</v>
      </c>
      <c r="H1037" s="2">
        <f t="shared" si="47"/>
        <v>447</v>
      </c>
      <c r="I1037" s="2">
        <f>SUM(44397+178439)</f>
        <v>222836</v>
      </c>
    </row>
    <row r="1038" spans="2:9" x14ac:dyDescent="0.2">
      <c r="B1038" s="3"/>
      <c r="C1038" s="3" t="s">
        <v>25</v>
      </c>
      <c r="D1038" s="2">
        <v>7522</v>
      </c>
      <c r="E1038" s="2">
        <v>772</v>
      </c>
      <c r="G1038" s="2">
        <f t="shared" si="46"/>
        <v>10</v>
      </c>
    </row>
    <row r="1039" spans="2:9" x14ac:dyDescent="0.2">
      <c r="B1039" s="3"/>
      <c r="C1039" s="3" t="s">
        <v>28</v>
      </c>
      <c r="D1039" s="2">
        <v>5789</v>
      </c>
      <c r="E1039" s="2">
        <v>647</v>
      </c>
      <c r="G1039" s="2">
        <f t="shared" si="46"/>
        <v>4</v>
      </c>
    </row>
    <row r="1040" spans="2:9" x14ac:dyDescent="0.2">
      <c r="B1040" s="3"/>
      <c r="C1040" s="3" t="s">
        <v>38</v>
      </c>
      <c r="D1040" s="2">
        <v>1668</v>
      </c>
      <c r="E1040" s="2">
        <v>200</v>
      </c>
      <c r="F1040" s="2">
        <f t="shared" si="48"/>
        <v>21</v>
      </c>
      <c r="G1040" s="2">
        <f t="shared" si="46"/>
        <v>1</v>
      </c>
    </row>
    <row r="1041" spans="1:11" x14ac:dyDescent="0.2">
      <c r="B1041" s="3"/>
      <c r="C1041" s="3" t="s">
        <v>39</v>
      </c>
      <c r="D1041" s="2">
        <v>1123</v>
      </c>
      <c r="E1041" s="2">
        <v>76</v>
      </c>
      <c r="F1041" s="2">
        <f t="shared" si="48"/>
        <v>5</v>
      </c>
      <c r="G1041" s="2">
        <f t="shared" si="46"/>
        <v>0</v>
      </c>
    </row>
    <row r="1042" spans="1:11" x14ac:dyDescent="0.2">
      <c r="B1042" s="3" t="s">
        <v>16</v>
      </c>
      <c r="C1042" s="3" t="s">
        <v>17</v>
      </c>
      <c r="E1042" s="2">
        <v>743</v>
      </c>
      <c r="G1042" s="2">
        <f t="shared" si="46"/>
        <v>17</v>
      </c>
      <c r="H1042" s="2">
        <f t="shared" si="47"/>
        <v>5292</v>
      </c>
      <c r="I1042" s="2">
        <f>SUM(50957+199925)</f>
        <v>250882</v>
      </c>
    </row>
    <row r="1043" spans="1:11" x14ac:dyDescent="0.2">
      <c r="B1043" s="3"/>
      <c r="C1043" s="3" t="s">
        <v>18</v>
      </c>
      <c r="D1043" s="2">
        <v>4687</v>
      </c>
      <c r="E1043" s="2">
        <v>443</v>
      </c>
      <c r="F1043" s="2">
        <f t="shared" si="48"/>
        <v>42</v>
      </c>
      <c r="G1043" s="2">
        <f t="shared" si="46"/>
        <v>61</v>
      </c>
    </row>
    <row r="1044" spans="1:11" x14ac:dyDescent="0.2">
      <c r="B1044" s="3"/>
      <c r="C1044" s="3" t="s">
        <v>19</v>
      </c>
      <c r="D1044" s="2">
        <v>4326</v>
      </c>
      <c r="E1044" s="2">
        <v>320</v>
      </c>
      <c r="F1044" s="2">
        <f t="shared" si="48"/>
        <v>70</v>
      </c>
      <c r="G1044" s="2">
        <f t="shared" si="46"/>
        <v>62</v>
      </c>
    </row>
    <row r="1045" spans="1:11" x14ac:dyDescent="0.2">
      <c r="B1045" s="3"/>
      <c r="C1045" s="3" t="s">
        <v>40</v>
      </c>
      <c r="D1045" s="2">
        <v>2999</v>
      </c>
      <c r="E1045" s="2">
        <v>94</v>
      </c>
      <c r="F1045" s="2">
        <f t="shared" si="48"/>
        <v>36</v>
      </c>
      <c r="G1045" s="2">
        <f t="shared" si="46"/>
        <v>11</v>
      </c>
    </row>
    <row r="1046" spans="1:11" x14ac:dyDescent="0.2">
      <c r="B1046" s="3"/>
      <c r="C1046" s="3" t="s">
        <v>41</v>
      </c>
      <c r="D1046" s="2">
        <v>3004</v>
      </c>
      <c r="E1046" s="2">
        <v>147</v>
      </c>
      <c r="F1046" s="2">
        <f t="shared" si="48"/>
        <v>56</v>
      </c>
      <c r="G1046" s="2">
        <f t="shared" si="46"/>
        <v>29</v>
      </c>
    </row>
    <row r="1047" spans="1:11" x14ac:dyDescent="0.2">
      <c r="B1047" s="3" t="s">
        <v>20</v>
      </c>
      <c r="C1047" s="3" t="s">
        <v>22</v>
      </c>
      <c r="D1047" s="2">
        <v>27815</v>
      </c>
      <c r="E1047" s="2">
        <v>1313</v>
      </c>
      <c r="F1047" s="2">
        <f>SUM(D1047-D1017)</f>
        <v>1572</v>
      </c>
      <c r="G1047" s="2">
        <f t="shared" si="46"/>
        <v>57</v>
      </c>
      <c r="H1047" s="2">
        <f>SUM(I1047-I1017)</f>
        <v>29134</v>
      </c>
      <c r="I1047">
        <f>SUM(58815+750221)</f>
        <v>809036</v>
      </c>
    </row>
    <row r="1048" spans="1:11" x14ac:dyDescent="0.2">
      <c r="B1048" s="3"/>
      <c r="C1048" s="3" t="s">
        <v>26</v>
      </c>
      <c r="D1048" s="2">
        <v>4083</v>
      </c>
      <c r="E1048" s="2">
        <v>173</v>
      </c>
      <c r="F1048" s="2">
        <f t="shared" ref="F1048:F1056" si="49">SUM(D1048-D1018)</f>
        <v>61</v>
      </c>
      <c r="G1048" s="2">
        <f t="shared" si="46"/>
        <v>11</v>
      </c>
    </row>
    <row r="1049" spans="1:11" x14ac:dyDescent="0.2">
      <c r="B1049" s="3"/>
      <c r="C1049" s="3" t="s">
        <v>27</v>
      </c>
      <c r="D1049" s="2">
        <v>4354</v>
      </c>
      <c r="E1049" s="2">
        <v>190</v>
      </c>
      <c r="F1049" s="2">
        <f t="shared" si="49"/>
        <v>133</v>
      </c>
      <c r="G1049" s="2">
        <f t="shared" si="46"/>
        <v>6</v>
      </c>
    </row>
    <row r="1050" spans="1:11" x14ac:dyDescent="0.2">
      <c r="C1050" s="3" t="s">
        <v>42</v>
      </c>
      <c r="D1050" s="2">
        <v>2255</v>
      </c>
      <c r="E1050" s="2">
        <v>122</v>
      </c>
      <c r="F1050" s="2">
        <f t="shared" si="49"/>
        <v>17</v>
      </c>
      <c r="G1050" s="2">
        <f t="shared" si="46"/>
        <v>3</v>
      </c>
    </row>
    <row r="1051" spans="1:11" x14ac:dyDescent="0.2">
      <c r="C1051" s="3" t="s">
        <v>43</v>
      </c>
      <c r="D1051" s="2">
        <v>2931</v>
      </c>
      <c r="E1051" s="2">
        <v>61</v>
      </c>
      <c r="F1051" s="2">
        <f t="shared" si="49"/>
        <v>0</v>
      </c>
      <c r="G1051" s="2">
        <f t="shared" si="46"/>
        <v>4</v>
      </c>
    </row>
    <row r="1052" spans="1:11" x14ac:dyDescent="0.2">
      <c r="A1052" s="1">
        <v>43957</v>
      </c>
      <c r="B1052" s="3" t="s">
        <v>5</v>
      </c>
      <c r="C1052" s="3" t="s">
        <v>6</v>
      </c>
      <c r="E1052" s="2">
        <v>3590</v>
      </c>
      <c r="G1052" s="2">
        <f t="shared" si="46"/>
        <v>114</v>
      </c>
      <c r="H1052" s="2">
        <f t="shared" si="47"/>
        <v>27022</v>
      </c>
      <c r="I1052" s="2">
        <f>SUM(323978+731943)</f>
        <v>1055921</v>
      </c>
    </row>
    <row r="1053" spans="1:11" x14ac:dyDescent="0.2">
      <c r="B1053" s="3"/>
      <c r="C1053" s="3" t="s">
        <v>7</v>
      </c>
      <c r="E1053" s="2">
        <v>3937</v>
      </c>
      <c r="G1053" s="2">
        <f t="shared" si="46"/>
        <v>4</v>
      </c>
      <c r="K1053" s="2"/>
    </row>
    <row r="1054" spans="1:11" x14ac:dyDescent="0.2">
      <c r="B1054" s="3"/>
      <c r="C1054" s="3" t="s">
        <v>8</v>
      </c>
      <c r="D1054" s="2">
        <v>37350</v>
      </c>
      <c r="E1054" s="2">
        <v>2325</v>
      </c>
      <c r="F1054" s="2">
        <f t="shared" si="49"/>
        <v>198</v>
      </c>
      <c r="G1054" s="2">
        <f t="shared" si="46"/>
        <v>75</v>
      </c>
      <c r="K1054" s="2"/>
    </row>
    <row r="1055" spans="1:11" x14ac:dyDescent="0.2">
      <c r="B1055" s="3"/>
      <c r="C1055" s="3" t="s">
        <v>35</v>
      </c>
      <c r="D1055" s="2">
        <v>39878</v>
      </c>
      <c r="E1055" s="2">
        <v>2664</v>
      </c>
      <c r="F1055" s="2">
        <f t="shared" si="49"/>
        <v>402</v>
      </c>
      <c r="G1055" s="2">
        <f t="shared" si="46"/>
        <v>37</v>
      </c>
    </row>
    <row r="1056" spans="1:11" x14ac:dyDescent="0.2">
      <c r="B1056" s="3"/>
      <c r="C1056" s="3" t="s">
        <v>14</v>
      </c>
      <c r="D1056" s="2">
        <v>35543</v>
      </c>
      <c r="E1056" s="2">
        <v>1347</v>
      </c>
      <c r="F1056" s="2">
        <f t="shared" si="49"/>
        <v>268</v>
      </c>
      <c r="G1056" s="2">
        <f t="shared" si="46"/>
        <v>0</v>
      </c>
    </row>
    <row r="1057" spans="2:9" x14ac:dyDescent="0.2">
      <c r="B1057" s="3" t="s">
        <v>9</v>
      </c>
      <c r="C1057" s="3" t="s">
        <v>10</v>
      </c>
      <c r="D1057" s="2">
        <v>16520</v>
      </c>
      <c r="E1057" s="2">
        <v>1289</v>
      </c>
      <c r="F1057" s="2">
        <f>SUM(D1057-D1027)</f>
        <v>60</v>
      </c>
      <c r="G1057" s="2">
        <f t="shared" ref="G1057:G1120" si="50">SUM(E1057-E1027)</f>
        <v>28</v>
      </c>
      <c r="H1057" s="2">
        <f t="shared" ref="H1057:H1117" si="51">SUM(I1057-I1027)</f>
        <v>1297</v>
      </c>
      <c r="I1057" s="2">
        <f>SUM(131890+157030)</f>
        <v>288920</v>
      </c>
    </row>
    <row r="1058" spans="2:9" x14ac:dyDescent="0.2">
      <c r="B1058" s="3"/>
      <c r="C1058" s="3" t="s">
        <v>11</v>
      </c>
      <c r="D1058" s="2">
        <v>16197</v>
      </c>
      <c r="E1058" s="2">
        <v>903</v>
      </c>
      <c r="F1058" s="2">
        <f t="shared" ref="F1058:F1066" si="52">SUM(D1058-D1028)</f>
        <v>98</v>
      </c>
      <c r="G1058" s="2">
        <f t="shared" si="50"/>
        <v>33</v>
      </c>
    </row>
    <row r="1059" spans="2:9" x14ac:dyDescent="0.2">
      <c r="B1059" s="3"/>
      <c r="C1059" s="3" t="s">
        <v>12</v>
      </c>
      <c r="D1059" s="2">
        <v>14951</v>
      </c>
      <c r="E1059" s="2">
        <v>1349</v>
      </c>
      <c r="F1059" s="2">
        <f t="shared" si="52"/>
        <v>111</v>
      </c>
      <c r="G1059" s="2">
        <f t="shared" si="50"/>
        <v>30</v>
      </c>
    </row>
    <row r="1060" spans="2:9" x14ac:dyDescent="0.2">
      <c r="B1060" s="3"/>
      <c r="C1060" s="3" t="s">
        <v>36</v>
      </c>
      <c r="D1060" s="2">
        <v>13604</v>
      </c>
      <c r="E1060" s="2">
        <v>800</v>
      </c>
      <c r="F1060" s="2">
        <f t="shared" si="52"/>
        <v>101</v>
      </c>
      <c r="G1060" s="2">
        <f t="shared" si="50"/>
        <v>32</v>
      </c>
    </row>
    <row r="1061" spans="2:9" x14ac:dyDescent="0.2">
      <c r="B1061" s="3"/>
      <c r="C1061" s="3" t="s">
        <v>37</v>
      </c>
      <c r="D1061" s="2">
        <v>13971</v>
      </c>
      <c r="E1061" s="2">
        <v>690</v>
      </c>
      <c r="F1061" s="2">
        <f t="shared" si="52"/>
        <v>174</v>
      </c>
      <c r="G1061" s="2">
        <f t="shared" si="50"/>
        <v>27</v>
      </c>
    </row>
    <row r="1062" spans="2:9" x14ac:dyDescent="0.2">
      <c r="B1062" s="3" t="s">
        <v>13</v>
      </c>
      <c r="C1062" s="3" t="s">
        <v>14</v>
      </c>
      <c r="D1062" s="2">
        <v>14476</v>
      </c>
      <c r="E1062" s="2">
        <v>642</v>
      </c>
      <c r="F1062" s="2">
        <f t="shared" si="52"/>
        <v>303</v>
      </c>
      <c r="G1062" s="2">
        <f t="shared" si="50"/>
        <v>33</v>
      </c>
      <c r="H1062" s="2">
        <f t="shared" si="51"/>
        <v>6290</v>
      </c>
      <c r="I1062" s="2">
        <f>SUM(72025+267614)</f>
        <v>339639</v>
      </c>
    </row>
    <row r="1063" spans="2:9" x14ac:dyDescent="0.2">
      <c r="B1063" s="3"/>
      <c r="C1063" s="3" t="s">
        <v>15</v>
      </c>
      <c r="D1063" s="2">
        <v>16327</v>
      </c>
      <c r="E1063" s="2">
        <v>1070</v>
      </c>
      <c r="F1063" s="2">
        <f t="shared" si="52"/>
        <v>347</v>
      </c>
      <c r="G1063" s="2">
        <f t="shared" si="50"/>
        <v>42</v>
      </c>
    </row>
    <row r="1064" spans="2:9" x14ac:dyDescent="0.2">
      <c r="B1064" s="3"/>
      <c r="C1064" s="3" t="s">
        <v>12</v>
      </c>
      <c r="D1064" s="2">
        <v>10344</v>
      </c>
      <c r="E1064" s="2">
        <v>561</v>
      </c>
      <c r="F1064" s="2">
        <f t="shared" si="52"/>
        <v>365</v>
      </c>
      <c r="G1064" s="2">
        <f t="shared" si="50"/>
        <v>34</v>
      </c>
    </row>
    <row r="1065" spans="2:9" x14ac:dyDescent="0.2">
      <c r="B1065" s="3"/>
      <c r="C1065" s="3" t="s">
        <v>33</v>
      </c>
      <c r="D1065" s="2">
        <v>6610</v>
      </c>
      <c r="E1065" s="2">
        <v>596</v>
      </c>
      <c r="F1065" s="2">
        <f t="shared" si="52"/>
        <v>144</v>
      </c>
      <c r="G1065" s="2">
        <f t="shared" si="50"/>
        <v>21</v>
      </c>
    </row>
    <row r="1066" spans="2:9" x14ac:dyDescent="0.2">
      <c r="B1066" s="3"/>
      <c r="C1066" s="3" t="s">
        <v>34</v>
      </c>
      <c r="D1066" s="2">
        <v>6992</v>
      </c>
      <c r="E1066" s="2">
        <v>365</v>
      </c>
      <c r="F1066" s="2">
        <f t="shared" si="52"/>
        <v>395</v>
      </c>
      <c r="G1066" s="2">
        <f t="shared" si="50"/>
        <v>34</v>
      </c>
    </row>
    <row r="1067" spans="2:9" x14ac:dyDescent="0.2">
      <c r="B1067" s="3" t="s">
        <v>23</v>
      </c>
      <c r="C1067" s="3" t="s">
        <v>24</v>
      </c>
      <c r="D1067" s="2">
        <v>17571</v>
      </c>
      <c r="E1067" s="2">
        <v>1973</v>
      </c>
      <c r="F1067" s="2">
        <f t="shared" si="48"/>
        <v>180</v>
      </c>
      <c r="G1067" s="2">
        <f t="shared" si="50"/>
        <v>28</v>
      </c>
      <c r="H1067" s="2">
        <f t="shared" si="51"/>
        <v>10395</v>
      </c>
      <c r="I1067" s="2">
        <f>SUM(45054+188177)</f>
        <v>233231</v>
      </c>
    </row>
    <row r="1068" spans="2:9" x14ac:dyDescent="0.2">
      <c r="B1068" s="3"/>
      <c r="C1068" s="3" t="s">
        <v>25</v>
      </c>
      <c r="D1068" s="2">
        <v>7573</v>
      </c>
      <c r="E1068" s="2">
        <v>774</v>
      </c>
      <c r="F1068" s="2">
        <f t="shared" si="48"/>
        <v>51</v>
      </c>
      <c r="G1068" s="2">
        <f t="shared" si="50"/>
        <v>2</v>
      </c>
    </row>
    <row r="1069" spans="2:9" x14ac:dyDescent="0.2">
      <c r="B1069" s="3"/>
      <c r="C1069" s="3" t="s">
        <v>28</v>
      </c>
      <c r="D1069" s="2">
        <v>5832</v>
      </c>
      <c r="E1069" s="2">
        <v>662</v>
      </c>
      <c r="F1069" s="2">
        <f t="shared" si="48"/>
        <v>43</v>
      </c>
      <c r="G1069" s="2">
        <f t="shared" si="50"/>
        <v>15</v>
      </c>
    </row>
    <row r="1070" spans="2:9" x14ac:dyDescent="0.2">
      <c r="B1070" s="3"/>
      <c r="C1070" s="3" t="s">
        <v>38</v>
      </c>
      <c r="D1070" s="2">
        <v>1710</v>
      </c>
      <c r="E1070" s="2">
        <v>208</v>
      </c>
      <c r="F1070" s="2">
        <f t="shared" si="48"/>
        <v>42</v>
      </c>
      <c r="G1070" s="2">
        <f t="shared" si="50"/>
        <v>8</v>
      </c>
    </row>
    <row r="1071" spans="2:9" x14ac:dyDescent="0.2">
      <c r="B1071" s="3"/>
      <c r="C1071" s="3" t="s">
        <v>39</v>
      </c>
      <c r="D1071" s="2">
        <v>1129</v>
      </c>
      <c r="E1071" s="2">
        <v>77</v>
      </c>
      <c r="F1071" s="2">
        <f t="shared" ref="F1071:F1134" si="53">SUM(D1071-D1041)</f>
        <v>6</v>
      </c>
      <c r="G1071" s="2">
        <f t="shared" si="50"/>
        <v>1</v>
      </c>
    </row>
    <row r="1072" spans="2:9" x14ac:dyDescent="0.2">
      <c r="B1072" s="3" t="s">
        <v>16</v>
      </c>
      <c r="C1072" s="3" t="s">
        <v>17</v>
      </c>
      <c r="E1072" s="2">
        <v>803</v>
      </c>
      <c r="G1072" s="2">
        <f t="shared" si="50"/>
        <v>60</v>
      </c>
      <c r="H1072" s="2">
        <f t="shared" si="51"/>
        <v>5458</v>
      </c>
      <c r="I1072" s="2">
        <f>SUM(51845+204495)</f>
        <v>256340</v>
      </c>
    </row>
    <row r="1073" spans="1:12" x14ac:dyDescent="0.2">
      <c r="B1073" s="3"/>
      <c r="C1073" s="3" t="s">
        <v>18</v>
      </c>
      <c r="D1073" s="2">
        <v>4827</v>
      </c>
      <c r="E1073" s="2">
        <v>471</v>
      </c>
      <c r="F1073" s="2">
        <f t="shared" ref="F1073:F1076" si="54">SUM(D1073-D1043)</f>
        <v>140</v>
      </c>
      <c r="G1073" s="2">
        <f t="shared" si="50"/>
        <v>28</v>
      </c>
    </row>
    <row r="1074" spans="1:12" x14ac:dyDescent="0.2">
      <c r="B1074" s="3"/>
      <c r="C1074" s="3" t="s">
        <v>19</v>
      </c>
      <c r="D1074" s="2">
        <v>4430</v>
      </c>
      <c r="E1074" s="2">
        <v>326</v>
      </c>
      <c r="F1074" s="2">
        <f t="shared" si="54"/>
        <v>104</v>
      </c>
      <c r="G1074" s="2">
        <f t="shared" si="50"/>
        <v>6</v>
      </c>
    </row>
    <row r="1075" spans="1:12" x14ac:dyDescent="0.2">
      <c r="B1075" s="3"/>
      <c r="C1075" s="3" t="s">
        <v>40</v>
      </c>
      <c r="D1075" s="2">
        <v>3063</v>
      </c>
      <c r="E1075" s="2">
        <v>102</v>
      </c>
      <c r="F1075" s="2">
        <f t="shared" si="54"/>
        <v>64</v>
      </c>
      <c r="G1075" s="2">
        <f t="shared" si="50"/>
        <v>8</v>
      </c>
    </row>
    <row r="1076" spans="1:12" x14ac:dyDescent="0.2">
      <c r="B1076" s="3"/>
      <c r="C1076" s="3" t="s">
        <v>41</v>
      </c>
      <c r="D1076" s="2">
        <v>3048</v>
      </c>
      <c r="E1076" s="2">
        <v>148</v>
      </c>
      <c r="F1076" s="2">
        <f t="shared" si="54"/>
        <v>44</v>
      </c>
      <c r="G1076" s="2">
        <f t="shared" si="50"/>
        <v>1</v>
      </c>
    </row>
    <row r="1077" spans="1:12" x14ac:dyDescent="0.2">
      <c r="B1077" s="3" t="s">
        <v>20</v>
      </c>
      <c r="C1077" s="3" t="s">
        <v>22</v>
      </c>
      <c r="D1077" s="2">
        <v>28687</v>
      </c>
      <c r="E1077" s="2">
        <v>1367</v>
      </c>
      <c r="F1077" s="2">
        <f t="shared" si="53"/>
        <v>872</v>
      </c>
      <c r="G1077" s="2">
        <f t="shared" si="50"/>
        <v>54</v>
      </c>
      <c r="H1077" s="2">
        <f t="shared" si="51"/>
        <v>33838</v>
      </c>
      <c r="I1077" s="2">
        <v>842874</v>
      </c>
    </row>
    <row r="1078" spans="1:12" x14ac:dyDescent="0.2">
      <c r="B1078" s="3"/>
      <c r="C1078" s="3" t="s">
        <v>26</v>
      </c>
      <c r="D1078" s="2">
        <v>4321</v>
      </c>
      <c r="E1078" s="2">
        <v>186</v>
      </c>
      <c r="F1078" s="2">
        <f t="shared" si="53"/>
        <v>238</v>
      </c>
      <c r="G1078" s="2">
        <f t="shared" si="50"/>
        <v>13</v>
      </c>
    </row>
    <row r="1079" spans="1:12" x14ac:dyDescent="0.2">
      <c r="B1079" s="3"/>
      <c r="C1079" s="3" t="s">
        <v>27</v>
      </c>
      <c r="D1079" s="2">
        <v>4535</v>
      </c>
      <c r="E1079" s="2">
        <v>194</v>
      </c>
      <c r="F1079" s="2">
        <f t="shared" si="53"/>
        <v>181</v>
      </c>
      <c r="G1079" s="2">
        <f t="shared" si="50"/>
        <v>4</v>
      </c>
    </row>
    <row r="1080" spans="1:12" x14ac:dyDescent="0.2">
      <c r="C1080" s="3" t="s">
        <v>42</v>
      </c>
      <c r="D1080" s="2">
        <v>2270</v>
      </c>
      <c r="E1080" s="2">
        <v>126</v>
      </c>
      <c r="F1080" s="2">
        <f t="shared" si="53"/>
        <v>15</v>
      </c>
      <c r="G1080" s="2">
        <f t="shared" si="50"/>
        <v>4</v>
      </c>
    </row>
    <row r="1081" spans="1:12" x14ac:dyDescent="0.2">
      <c r="C1081" s="3" t="s">
        <v>43</v>
      </c>
      <c r="D1081" s="2">
        <v>3156</v>
      </c>
      <c r="E1081" s="2">
        <v>65</v>
      </c>
      <c r="F1081" s="2">
        <f t="shared" si="53"/>
        <v>225</v>
      </c>
      <c r="G1081" s="2">
        <f t="shared" si="50"/>
        <v>4</v>
      </c>
      <c r="L1081" s="2"/>
    </row>
    <row r="1082" spans="1:12" x14ac:dyDescent="0.2">
      <c r="A1082" s="1">
        <v>43958</v>
      </c>
      <c r="B1082" s="3" t="s">
        <v>5</v>
      </c>
      <c r="C1082" s="3" t="s">
        <v>6</v>
      </c>
      <c r="D1082" s="2">
        <v>55450</v>
      </c>
      <c r="E1082" s="2">
        <v>3622</v>
      </c>
      <c r="F1082" s="2">
        <f t="shared" si="53"/>
        <v>55450</v>
      </c>
      <c r="G1082" s="2">
        <f t="shared" si="50"/>
        <v>32</v>
      </c>
      <c r="H1082" s="2">
        <f t="shared" si="51"/>
        <v>33995</v>
      </c>
      <c r="I1082" s="2">
        <v>1089916</v>
      </c>
      <c r="L1082" s="2"/>
    </row>
    <row r="1083" spans="1:12" x14ac:dyDescent="0.2">
      <c r="B1083" s="3"/>
      <c r="C1083" s="3" t="s">
        <v>7</v>
      </c>
      <c r="D1083" s="2">
        <v>48550</v>
      </c>
      <c r="E1083" s="2">
        <v>3977</v>
      </c>
      <c r="F1083" s="2">
        <f t="shared" si="53"/>
        <v>48550</v>
      </c>
      <c r="G1083" s="2">
        <f t="shared" si="50"/>
        <v>40</v>
      </c>
      <c r="L1083" s="2"/>
    </row>
    <row r="1084" spans="1:12" x14ac:dyDescent="0.2">
      <c r="B1084" s="3"/>
      <c r="C1084" s="3" t="s">
        <v>8</v>
      </c>
      <c r="D1084" s="2">
        <v>37593</v>
      </c>
      <c r="E1084" s="2">
        <v>2340</v>
      </c>
      <c r="F1084" s="2">
        <f t="shared" si="53"/>
        <v>243</v>
      </c>
      <c r="G1084" s="2">
        <f t="shared" si="50"/>
        <v>15</v>
      </c>
      <c r="L1084" s="2"/>
    </row>
    <row r="1085" spans="1:12" x14ac:dyDescent="0.2">
      <c r="B1085" s="3"/>
      <c r="C1085" s="3" t="s">
        <v>35</v>
      </c>
      <c r="D1085" s="2">
        <v>40181</v>
      </c>
      <c r="E1085" s="2">
        <v>2678</v>
      </c>
      <c r="F1085" s="2">
        <f t="shared" si="53"/>
        <v>303</v>
      </c>
      <c r="G1085" s="2">
        <f t="shared" si="50"/>
        <v>14</v>
      </c>
      <c r="L1085" s="2"/>
    </row>
    <row r="1086" spans="1:12" x14ac:dyDescent="0.2">
      <c r="B1086" s="3"/>
      <c r="C1086" s="3" t="s">
        <v>14</v>
      </c>
      <c r="D1086" s="2">
        <v>35892</v>
      </c>
      <c r="E1086" s="2">
        <v>1599</v>
      </c>
      <c r="F1086" s="2">
        <f t="shared" si="53"/>
        <v>349</v>
      </c>
      <c r="G1086" s="2">
        <f t="shared" si="50"/>
        <v>252</v>
      </c>
      <c r="L1086" s="2"/>
    </row>
    <row r="1087" spans="1:12" x14ac:dyDescent="0.2">
      <c r="B1087" s="3" t="s">
        <v>9</v>
      </c>
      <c r="C1087" s="3" t="s">
        <v>10</v>
      </c>
      <c r="D1087" s="2">
        <v>16609</v>
      </c>
      <c r="E1087" s="2">
        <v>1319</v>
      </c>
      <c r="F1087" s="2">
        <f t="shared" si="53"/>
        <v>89</v>
      </c>
      <c r="G1087" s="2">
        <f t="shared" si="50"/>
        <v>30</v>
      </c>
      <c r="H1087" s="2">
        <f t="shared" si="51"/>
        <v>3738</v>
      </c>
      <c r="I1087" s="2">
        <f>SUM(133635+159023)</f>
        <v>292658</v>
      </c>
      <c r="L1087" s="2"/>
    </row>
    <row r="1088" spans="1:12" x14ac:dyDescent="0.2">
      <c r="B1088" s="3"/>
      <c r="C1088" s="3" t="s">
        <v>11</v>
      </c>
      <c r="D1088" s="2">
        <v>16354</v>
      </c>
      <c r="E1088" s="2">
        <v>923</v>
      </c>
      <c r="F1088" s="2">
        <f t="shared" si="53"/>
        <v>157</v>
      </c>
      <c r="G1088" s="2">
        <f t="shared" si="50"/>
        <v>20</v>
      </c>
      <c r="L1088" s="2"/>
    </row>
    <row r="1089" spans="2:12" x14ac:dyDescent="0.2">
      <c r="B1089" s="3"/>
      <c r="C1089" s="3" t="s">
        <v>12</v>
      </c>
      <c r="D1089" s="2">
        <v>15095</v>
      </c>
      <c r="E1089" s="2">
        <v>1381</v>
      </c>
      <c r="F1089" s="2">
        <f t="shared" si="53"/>
        <v>144</v>
      </c>
      <c r="G1089" s="2">
        <f t="shared" si="50"/>
        <v>32</v>
      </c>
      <c r="L1089" s="2"/>
    </row>
    <row r="1090" spans="2:12" x14ac:dyDescent="0.2">
      <c r="B1090" s="3"/>
      <c r="C1090" s="3" t="s">
        <v>36</v>
      </c>
      <c r="D1090" s="2">
        <v>13781</v>
      </c>
      <c r="E1090" s="2">
        <v>829</v>
      </c>
      <c r="F1090" s="2">
        <f t="shared" si="53"/>
        <v>177</v>
      </c>
      <c r="G1090" s="2">
        <f t="shared" si="50"/>
        <v>29</v>
      </c>
      <c r="L1090" s="2"/>
    </row>
    <row r="1091" spans="2:12" x14ac:dyDescent="0.2">
      <c r="B1091" s="3"/>
      <c r="C1091" s="3" t="s">
        <v>37</v>
      </c>
      <c r="D1091" s="2">
        <v>14133</v>
      </c>
      <c r="E1091" s="2">
        <v>703</v>
      </c>
      <c r="F1091" s="2">
        <f t="shared" si="53"/>
        <v>162</v>
      </c>
      <c r="G1091" s="2">
        <f t="shared" si="50"/>
        <v>13</v>
      </c>
      <c r="L1091" s="2"/>
    </row>
    <row r="1092" spans="2:12" x14ac:dyDescent="0.2">
      <c r="B1092" s="3" t="s">
        <v>13</v>
      </c>
      <c r="C1092" s="3" t="s">
        <v>14</v>
      </c>
      <c r="D1092" s="2">
        <v>14732</v>
      </c>
      <c r="E1092" s="2">
        <v>663</v>
      </c>
      <c r="F1092" s="2">
        <f t="shared" si="53"/>
        <v>256</v>
      </c>
      <c r="G1092" s="2">
        <f t="shared" si="50"/>
        <v>21</v>
      </c>
      <c r="H1092" s="2">
        <f t="shared" si="51"/>
        <v>11993</v>
      </c>
      <c r="I1092" s="2">
        <v>351632</v>
      </c>
      <c r="L1092" s="2"/>
    </row>
    <row r="1093" spans="2:12" x14ac:dyDescent="0.2">
      <c r="B1093" s="3"/>
      <c r="C1093" s="3" t="s">
        <v>15</v>
      </c>
      <c r="D1093" s="2">
        <v>16676</v>
      </c>
      <c r="E1093" s="2">
        <v>1103</v>
      </c>
      <c r="F1093" s="2">
        <f t="shared" si="53"/>
        <v>349</v>
      </c>
      <c r="G1093" s="2">
        <f t="shared" si="50"/>
        <v>33</v>
      </c>
      <c r="L1093" s="2"/>
    </row>
    <row r="1094" spans="2:12" x14ac:dyDescent="0.2">
      <c r="B1094" s="3"/>
      <c r="C1094" s="3" t="s">
        <v>12</v>
      </c>
      <c r="D1094" s="2">
        <v>10610</v>
      </c>
      <c r="E1094" s="2">
        <v>578</v>
      </c>
      <c r="F1094" s="2">
        <f t="shared" si="53"/>
        <v>266</v>
      </c>
      <c r="G1094" s="2">
        <f t="shared" si="50"/>
        <v>17</v>
      </c>
      <c r="L1094" s="2"/>
    </row>
    <row r="1095" spans="2:12" x14ac:dyDescent="0.2">
      <c r="B1095" s="3"/>
      <c r="C1095" s="3" t="s">
        <v>33</v>
      </c>
      <c r="D1095" s="2">
        <v>6729</v>
      </c>
      <c r="E1095" s="2">
        <v>608</v>
      </c>
      <c r="F1095" s="2">
        <f t="shared" si="53"/>
        <v>119</v>
      </c>
      <c r="G1095" s="2">
        <f t="shared" si="50"/>
        <v>12</v>
      </c>
      <c r="L1095" s="2"/>
    </row>
    <row r="1096" spans="2:12" x14ac:dyDescent="0.2">
      <c r="B1096" s="3"/>
      <c r="C1096" s="3" t="s">
        <v>34</v>
      </c>
      <c r="D1096" s="2">
        <v>7197</v>
      </c>
      <c r="E1096" s="2">
        <v>385</v>
      </c>
      <c r="F1096" s="2">
        <f t="shared" si="53"/>
        <v>205</v>
      </c>
      <c r="G1096" s="2">
        <f t="shared" si="50"/>
        <v>20</v>
      </c>
      <c r="L1096" s="2"/>
    </row>
    <row r="1097" spans="2:12" x14ac:dyDescent="0.2">
      <c r="B1097" s="3" t="s">
        <v>23</v>
      </c>
      <c r="C1097" s="3" t="s">
        <v>24</v>
      </c>
      <c r="D1097" s="2">
        <v>17667</v>
      </c>
      <c r="E1097" s="2">
        <v>2012</v>
      </c>
      <c r="F1097" s="2">
        <f t="shared" si="53"/>
        <v>96</v>
      </c>
      <c r="G1097" s="2">
        <f t="shared" si="50"/>
        <v>39</v>
      </c>
      <c r="H1097" s="2">
        <f t="shared" si="51"/>
        <v>13831</v>
      </c>
      <c r="I1097" s="2">
        <f>SUM(45646+201416)</f>
        <v>247062</v>
      </c>
      <c r="L1097" s="2"/>
    </row>
    <row r="1098" spans="2:12" x14ac:dyDescent="0.2">
      <c r="B1098" s="3"/>
      <c r="C1098" s="3" t="s">
        <v>25</v>
      </c>
      <c r="D1098" s="2">
        <v>7624</v>
      </c>
      <c r="E1098" s="2">
        <v>789</v>
      </c>
      <c r="F1098" s="2">
        <f t="shared" si="53"/>
        <v>51</v>
      </c>
      <c r="G1098" s="2">
        <f t="shared" si="50"/>
        <v>15</v>
      </c>
      <c r="L1098" s="2"/>
    </row>
    <row r="1099" spans="2:12" x14ac:dyDescent="0.2">
      <c r="B1099" s="3"/>
      <c r="C1099" s="3" t="s">
        <v>28</v>
      </c>
      <c r="D1099" s="2">
        <v>5876</v>
      </c>
      <c r="E1099" s="2">
        <v>678</v>
      </c>
      <c r="F1099" s="2">
        <f t="shared" si="53"/>
        <v>44</v>
      </c>
      <c r="G1099" s="2">
        <f t="shared" si="50"/>
        <v>16</v>
      </c>
      <c r="L1099" s="2"/>
    </row>
    <row r="1100" spans="2:12" x14ac:dyDescent="0.2">
      <c r="B1100" s="3"/>
      <c r="C1100" s="3" t="s">
        <v>38</v>
      </c>
      <c r="D1100" s="2">
        <v>1731</v>
      </c>
      <c r="E1100" s="2">
        <v>213</v>
      </c>
      <c r="F1100" s="2">
        <f t="shared" si="53"/>
        <v>21</v>
      </c>
      <c r="G1100" s="2">
        <f t="shared" si="50"/>
        <v>5</v>
      </c>
      <c r="L1100" s="2"/>
    </row>
    <row r="1101" spans="2:12" x14ac:dyDescent="0.2">
      <c r="B1101" s="3"/>
      <c r="C1101" s="3" t="s">
        <v>39</v>
      </c>
      <c r="D1101" s="2">
        <v>1140</v>
      </c>
      <c r="E1101" s="2">
        <v>77</v>
      </c>
      <c r="F1101" s="2">
        <f t="shared" si="53"/>
        <v>11</v>
      </c>
      <c r="G1101" s="2">
        <f t="shared" si="50"/>
        <v>0</v>
      </c>
      <c r="L1101" s="2"/>
    </row>
    <row r="1102" spans="2:12" x14ac:dyDescent="0.2">
      <c r="B1102" s="3" t="s">
        <v>16</v>
      </c>
      <c r="C1102" s="3" t="s">
        <v>17</v>
      </c>
      <c r="D1102" s="2">
        <v>14006</v>
      </c>
      <c r="E1102" s="2">
        <v>816</v>
      </c>
      <c r="G1102" s="2">
        <f t="shared" si="50"/>
        <v>13</v>
      </c>
      <c r="H1102" s="2">
        <f t="shared" si="51"/>
        <v>6448</v>
      </c>
      <c r="I1102" s="2">
        <f>SUM(52915+209873)</f>
        <v>262788</v>
      </c>
      <c r="L1102" s="2"/>
    </row>
    <row r="1103" spans="2:12" x14ac:dyDescent="0.2">
      <c r="B1103" s="3"/>
      <c r="C1103" s="3" t="s">
        <v>18</v>
      </c>
      <c r="D1103" s="2">
        <v>4915</v>
      </c>
      <c r="E1103" s="2">
        <v>506</v>
      </c>
      <c r="F1103" s="2">
        <f t="shared" si="53"/>
        <v>88</v>
      </c>
      <c r="G1103" s="2">
        <f t="shared" si="50"/>
        <v>35</v>
      </c>
      <c r="L1103" s="2"/>
    </row>
    <row r="1104" spans="2:12" x14ac:dyDescent="0.2">
      <c r="B1104" s="3"/>
      <c r="C1104" s="3" t="s">
        <v>19</v>
      </c>
      <c r="D1104" s="2">
        <v>4497</v>
      </c>
      <c r="E1104" s="2">
        <v>376</v>
      </c>
      <c r="F1104" s="2">
        <f t="shared" si="53"/>
        <v>67</v>
      </c>
      <c r="G1104" s="2">
        <f t="shared" si="50"/>
        <v>50</v>
      </c>
      <c r="L1104" s="2"/>
    </row>
    <row r="1105" spans="1:12" x14ac:dyDescent="0.2">
      <c r="B1105" s="3"/>
      <c r="C1105" s="3" t="s">
        <v>40</v>
      </c>
      <c r="D1105" s="2">
        <v>3102</v>
      </c>
      <c r="E1105" s="2">
        <v>111</v>
      </c>
      <c r="F1105" s="2">
        <f t="shared" si="53"/>
        <v>39</v>
      </c>
      <c r="G1105" s="2">
        <f t="shared" si="50"/>
        <v>9</v>
      </c>
      <c r="L1105" s="2"/>
    </row>
    <row r="1106" spans="1:12" x14ac:dyDescent="0.2">
      <c r="B1106" s="3"/>
      <c r="C1106" s="3" t="s">
        <v>41</v>
      </c>
      <c r="D1106" s="2">
        <v>3095</v>
      </c>
      <c r="E1106" s="2">
        <v>168</v>
      </c>
      <c r="F1106" s="2">
        <f t="shared" si="53"/>
        <v>47</v>
      </c>
      <c r="G1106" s="2">
        <f t="shared" si="50"/>
        <v>20</v>
      </c>
      <c r="L1106" s="2"/>
    </row>
    <row r="1107" spans="1:12" x14ac:dyDescent="0.2">
      <c r="B1107" s="3" t="s">
        <v>20</v>
      </c>
      <c r="C1107" s="3" t="s">
        <v>22</v>
      </c>
      <c r="D1107" s="2">
        <v>29544</v>
      </c>
      <c r="E1107" s="2">
        <v>1418</v>
      </c>
      <c r="F1107" s="2">
        <f t="shared" si="53"/>
        <v>857</v>
      </c>
      <c r="G1107" s="2">
        <f t="shared" si="50"/>
        <v>51</v>
      </c>
      <c r="H1107" s="2">
        <f t="shared" si="51"/>
        <v>32398</v>
      </c>
      <c r="I1107" s="2">
        <v>875272</v>
      </c>
      <c r="L1107" s="2"/>
    </row>
    <row r="1108" spans="1:12" x14ac:dyDescent="0.2">
      <c r="B1108" s="3"/>
      <c r="C1108" s="3" t="s">
        <v>26</v>
      </c>
      <c r="D1108" s="2">
        <v>4431</v>
      </c>
      <c r="E1108" s="2">
        <v>189</v>
      </c>
      <c r="F1108" s="2">
        <f t="shared" si="53"/>
        <v>110</v>
      </c>
      <c r="G1108" s="2">
        <f t="shared" si="50"/>
        <v>3</v>
      </c>
      <c r="L1108" s="2"/>
    </row>
    <row r="1109" spans="1:12" x14ac:dyDescent="0.2">
      <c r="B1109" s="3"/>
      <c r="C1109" s="3" t="s">
        <v>27</v>
      </c>
      <c r="D1109" s="2">
        <v>4608</v>
      </c>
      <c r="E1109" s="2">
        <v>203</v>
      </c>
      <c r="F1109" s="2">
        <f t="shared" si="53"/>
        <v>73</v>
      </c>
      <c r="G1109" s="2">
        <f t="shared" si="50"/>
        <v>9</v>
      </c>
      <c r="L1109" s="2"/>
    </row>
    <row r="1110" spans="1:12" x14ac:dyDescent="0.2">
      <c r="C1110" s="3" t="s">
        <v>42</v>
      </c>
      <c r="D1110" s="2">
        <v>2281</v>
      </c>
      <c r="E1110" s="2">
        <v>127</v>
      </c>
      <c r="F1110" s="2">
        <f t="shared" si="53"/>
        <v>11</v>
      </c>
      <c r="G1110" s="2">
        <f t="shared" si="50"/>
        <v>1</v>
      </c>
      <c r="L1110" s="2"/>
    </row>
    <row r="1111" spans="1:12" x14ac:dyDescent="0.2">
      <c r="C1111" s="3" t="s">
        <v>43</v>
      </c>
      <c r="D1111" s="2">
        <v>3283</v>
      </c>
      <c r="E1111" s="2">
        <v>66</v>
      </c>
      <c r="F1111" s="2">
        <f t="shared" si="53"/>
        <v>127</v>
      </c>
      <c r="G1111" s="2">
        <f t="shared" si="50"/>
        <v>1</v>
      </c>
    </row>
    <row r="1112" spans="1:12" x14ac:dyDescent="0.2">
      <c r="A1112" s="1">
        <v>43959</v>
      </c>
      <c r="B1112" s="3" t="s">
        <v>5</v>
      </c>
      <c r="C1112" s="3" t="s">
        <v>6</v>
      </c>
      <c r="D1112" s="2">
        <v>55944</v>
      </c>
      <c r="E1112" s="2">
        <v>3659</v>
      </c>
      <c r="F1112" s="2">
        <f t="shared" si="53"/>
        <v>494</v>
      </c>
      <c r="G1112" s="2">
        <f t="shared" si="50"/>
        <v>37</v>
      </c>
      <c r="H1112" s="2">
        <f t="shared" si="51"/>
        <v>31627</v>
      </c>
      <c r="I1112" s="2">
        <v>1121543</v>
      </c>
    </row>
    <row r="1113" spans="1:12" x14ac:dyDescent="0.2">
      <c r="B1113" s="3"/>
      <c r="C1113" s="3" t="s">
        <v>7</v>
      </c>
      <c r="D1113" s="2">
        <v>48998</v>
      </c>
      <c r="E1113" s="2">
        <v>4012</v>
      </c>
      <c r="F1113" s="2">
        <f t="shared" si="53"/>
        <v>448</v>
      </c>
      <c r="G1113" s="2">
        <f t="shared" si="50"/>
        <v>35</v>
      </c>
    </row>
    <row r="1114" spans="1:12" x14ac:dyDescent="0.2">
      <c r="B1114" s="3"/>
      <c r="C1114" s="3" t="s">
        <v>8</v>
      </c>
      <c r="D1114" s="2">
        <v>37812</v>
      </c>
      <c r="E1114" s="2">
        <v>2362</v>
      </c>
      <c r="F1114" s="2">
        <f t="shared" si="53"/>
        <v>219</v>
      </c>
      <c r="G1114" s="2">
        <f t="shared" si="50"/>
        <v>22</v>
      </c>
    </row>
    <row r="1115" spans="1:12" x14ac:dyDescent="0.2">
      <c r="B1115" s="3"/>
      <c r="C1115" s="3" t="s">
        <v>35</v>
      </c>
      <c r="D1115" s="2">
        <v>40533</v>
      </c>
      <c r="E1115" s="2">
        <v>2702</v>
      </c>
      <c r="F1115" s="2">
        <f t="shared" si="53"/>
        <v>352</v>
      </c>
      <c r="G1115" s="2">
        <f t="shared" si="50"/>
        <v>24</v>
      </c>
    </row>
    <row r="1116" spans="1:12" x14ac:dyDescent="0.2">
      <c r="B1116" s="3"/>
      <c r="C1116" s="3" t="s">
        <v>14</v>
      </c>
      <c r="D1116" s="2">
        <v>36223</v>
      </c>
      <c r="E1116" s="2">
        <v>1616</v>
      </c>
      <c r="F1116" s="2">
        <f t="shared" si="53"/>
        <v>331</v>
      </c>
      <c r="G1116" s="2">
        <f t="shared" si="50"/>
        <v>17</v>
      </c>
    </row>
    <row r="1117" spans="1:12" x14ac:dyDescent="0.2">
      <c r="B1117" s="3" t="s">
        <v>9</v>
      </c>
      <c r="C1117" s="3" t="s">
        <v>10</v>
      </c>
      <c r="D1117" s="2">
        <v>16709</v>
      </c>
      <c r="E1117" s="2">
        <v>1329</v>
      </c>
      <c r="F1117" s="2">
        <f t="shared" si="53"/>
        <v>100</v>
      </c>
      <c r="G1117" s="2">
        <f t="shared" si="50"/>
        <v>10</v>
      </c>
      <c r="H1117" s="2">
        <f t="shared" si="51"/>
        <v>6101</v>
      </c>
      <c r="I1117" s="2">
        <f>SUM(135454+163305)</f>
        <v>298759</v>
      </c>
    </row>
    <row r="1118" spans="1:12" x14ac:dyDescent="0.2">
      <c r="B1118" s="3"/>
      <c r="C1118" s="3" t="s">
        <v>11</v>
      </c>
      <c r="D1118" s="2">
        <v>16520</v>
      </c>
      <c r="E1118" s="2">
        <v>940</v>
      </c>
      <c r="F1118" s="2">
        <f t="shared" si="53"/>
        <v>166</v>
      </c>
      <c r="G1118" s="2">
        <f t="shared" si="50"/>
        <v>17</v>
      </c>
    </row>
    <row r="1119" spans="1:12" x14ac:dyDescent="0.2">
      <c r="B1119" s="3"/>
      <c r="C1119" s="3" t="s">
        <v>12</v>
      </c>
      <c r="D1119" s="2">
        <v>15256</v>
      </c>
      <c r="E1119" s="2">
        <v>1398</v>
      </c>
      <c r="F1119" s="2">
        <f t="shared" si="53"/>
        <v>161</v>
      </c>
      <c r="G1119" s="2">
        <f t="shared" si="50"/>
        <v>17</v>
      </c>
    </row>
    <row r="1120" spans="1:12" x14ac:dyDescent="0.2">
      <c r="B1120" s="3"/>
      <c r="C1120" s="3" t="s">
        <v>36</v>
      </c>
      <c r="D1120" s="2">
        <v>13917</v>
      </c>
      <c r="E1120" s="2">
        <v>844</v>
      </c>
      <c r="F1120" s="2">
        <f t="shared" si="53"/>
        <v>136</v>
      </c>
      <c r="G1120" s="2">
        <f t="shared" si="50"/>
        <v>15</v>
      </c>
    </row>
    <row r="1121" spans="2:9" x14ac:dyDescent="0.2">
      <c r="B1121" s="3"/>
      <c r="C1121" s="3" t="s">
        <v>37</v>
      </c>
      <c r="D1121" s="2">
        <v>14280</v>
      </c>
      <c r="E1121" s="2">
        <v>715</v>
      </c>
      <c r="F1121" s="2">
        <f t="shared" si="53"/>
        <v>147</v>
      </c>
      <c r="G1121" s="2">
        <f t="shared" ref="G1121:G1184" si="55">SUM(E1121-E1091)</f>
        <v>12</v>
      </c>
    </row>
    <row r="1122" spans="2:9" x14ac:dyDescent="0.2">
      <c r="B1122" s="3" t="s">
        <v>13</v>
      </c>
      <c r="C1122" s="3" t="s">
        <v>14</v>
      </c>
      <c r="D1122" s="2">
        <v>14944</v>
      </c>
      <c r="E1122" s="2">
        <v>683</v>
      </c>
      <c r="F1122" s="2">
        <f t="shared" si="53"/>
        <v>212</v>
      </c>
      <c r="G1122" s="2">
        <f t="shared" si="55"/>
        <v>20</v>
      </c>
      <c r="H1122" s="2">
        <f t="shared" ref="H1122:H1182" si="56">SUM(I1122-I1092)</f>
        <v>14400</v>
      </c>
      <c r="I1122" s="2">
        <v>366032</v>
      </c>
    </row>
    <row r="1123" spans="2:9" x14ac:dyDescent="0.2">
      <c r="B1123" s="3"/>
      <c r="C1123" s="3" t="s">
        <v>15</v>
      </c>
      <c r="D1123" s="2">
        <v>17014</v>
      </c>
      <c r="E1123" s="2">
        <v>1132</v>
      </c>
      <c r="F1123" s="2">
        <f t="shared" si="53"/>
        <v>338</v>
      </c>
      <c r="G1123" s="2">
        <f t="shared" si="55"/>
        <v>29</v>
      </c>
    </row>
    <row r="1124" spans="2:9" x14ac:dyDescent="0.2">
      <c r="B1124" s="3"/>
      <c r="C1124" s="3" t="s">
        <v>12</v>
      </c>
      <c r="D1124" s="2">
        <v>10995</v>
      </c>
      <c r="E1124" s="2">
        <v>601</v>
      </c>
      <c r="F1124" s="2">
        <f t="shared" si="53"/>
        <v>385</v>
      </c>
      <c r="G1124" s="2">
        <f t="shared" si="55"/>
        <v>23</v>
      </c>
    </row>
    <row r="1125" spans="2:9" x14ac:dyDescent="0.2">
      <c r="B1125" s="3"/>
      <c r="C1125" s="3" t="s">
        <v>33</v>
      </c>
      <c r="D1125" s="2">
        <v>6801</v>
      </c>
      <c r="E1125" s="2">
        <v>623</v>
      </c>
      <c r="F1125" s="2">
        <f t="shared" si="53"/>
        <v>72</v>
      </c>
      <c r="G1125" s="2">
        <f t="shared" si="55"/>
        <v>15</v>
      </c>
    </row>
    <row r="1126" spans="2:9" x14ac:dyDescent="0.2">
      <c r="B1126" s="3"/>
      <c r="C1126" s="3" t="s">
        <v>34</v>
      </c>
      <c r="D1126" s="2">
        <v>7410</v>
      </c>
      <c r="E1126" s="2">
        <v>404</v>
      </c>
      <c r="F1126" s="2">
        <f t="shared" si="53"/>
        <v>213</v>
      </c>
      <c r="G1126" s="2">
        <f t="shared" si="55"/>
        <v>19</v>
      </c>
    </row>
    <row r="1127" spans="2:9" x14ac:dyDescent="0.2">
      <c r="B1127" s="3" t="s">
        <v>23</v>
      </c>
      <c r="C1127" s="3" t="s">
        <v>24</v>
      </c>
      <c r="D1127" s="2">
        <v>17824</v>
      </c>
      <c r="E1127" s="2">
        <v>2028</v>
      </c>
      <c r="F1127" s="2">
        <f t="shared" si="53"/>
        <v>157</v>
      </c>
      <c r="G1127" s="2">
        <f t="shared" si="55"/>
        <v>16</v>
      </c>
      <c r="H1127" s="2">
        <f t="shared" si="56"/>
        <v>13191</v>
      </c>
      <c r="I1127" s="2">
        <f>SUM(46326+213927)</f>
        <v>260253</v>
      </c>
    </row>
    <row r="1128" spans="2:9" x14ac:dyDescent="0.2">
      <c r="B1128" s="3"/>
      <c r="C1128" s="3" t="s">
        <v>25</v>
      </c>
      <c r="D1128" s="2">
        <v>7664</v>
      </c>
      <c r="E1128" s="2">
        <v>805</v>
      </c>
      <c r="F1128" s="2">
        <f t="shared" si="53"/>
        <v>40</v>
      </c>
      <c r="G1128" s="2">
        <f t="shared" si="55"/>
        <v>16</v>
      </c>
    </row>
    <row r="1129" spans="2:9" x14ac:dyDescent="0.2">
      <c r="B1129" s="3"/>
      <c r="C1129" s="3" t="s">
        <v>28</v>
      </c>
      <c r="D1129" s="2">
        <v>5963</v>
      </c>
      <c r="E1129" s="2">
        <v>682</v>
      </c>
      <c r="F1129" s="2">
        <f t="shared" si="53"/>
        <v>87</v>
      </c>
      <c r="G1129" s="2">
        <f t="shared" si="55"/>
        <v>4</v>
      </c>
    </row>
    <row r="1130" spans="2:9" x14ac:dyDescent="0.2">
      <c r="B1130" s="3"/>
      <c r="C1130" s="3" t="s">
        <v>38</v>
      </c>
      <c r="D1130" s="2">
        <v>1739</v>
      </c>
      <c r="E1130" s="2">
        <v>214</v>
      </c>
      <c r="F1130" s="2">
        <f t="shared" si="53"/>
        <v>8</v>
      </c>
      <c r="G1130" s="2">
        <f t="shared" si="55"/>
        <v>1</v>
      </c>
    </row>
    <row r="1131" spans="2:9" x14ac:dyDescent="0.2">
      <c r="B1131" s="3"/>
      <c r="C1131" s="3" t="s">
        <v>39</v>
      </c>
      <c r="D1131" s="2">
        <v>1160</v>
      </c>
      <c r="E1131" s="2">
        <v>80</v>
      </c>
      <c r="F1131" s="2">
        <f t="shared" si="53"/>
        <v>20</v>
      </c>
      <c r="G1131" s="2">
        <f t="shared" si="55"/>
        <v>3</v>
      </c>
    </row>
    <row r="1132" spans="2:9" x14ac:dyDescent="0.2">
      <c r="B1132" s="3" t="s">
        <v>16</v>
      </c>
      <c r="C1132" s="3" t="s">
        <v>17</v>
      </c>
      <c r="D1132" s="2">
        <v>14384</v>
      </c>
      <c r="E1132" s="2">
        <v>875</v>
      </c>
      <c r="F1132" s="2">
        <f t="shared" si="53"/>
        <v>378</v>
      </c>
      <c r="G1132" s="2">
        <f t="shared" si="55"/>
        <v>59</v>
      </c>
      <c r="H1132" s="2">
        <f t="shared" si="56"/>
        <v>7771</v>
      </c>
      <c r="I1132" s="2">
        <f>SUM(54238+216321)</f>
        <v>270559</v>
      </c>
    </row>
    <row r="1133" spans="2:9" x14ac:dyDescent="0.2">
      <c r="B1133" s="3"/>
      <c r="C1133" s="3" t="s">
        <v>18</v>
      </c>
      <c r="D1133" s="2">
        <v>5037</v>
      </c>
      <c r="E1133" s="2">
        <v>515</v>
      </c>
      <c r="F1133" s="2">
        <f t="shared" si="53"/>
        <v>122</v>
      </c>
      <c r="G1133" s="2">
        <f t="shared" si="55"/>
        <v>9</v>
      </c>
    </row>
    <row r="1134" spans="2:9" x14ac:dyDescent="0.2">
      <c r="B1134" s="3"/>
      <c r="C1134" s="3" t="s">
        <v>19</v>
      </c>
      <c r="D1134" s="2">
        <v>4680</v>
      </c>
      <c r="E1134" s="2">
        <v>382</v>
      </c>
      <c r="F1134" s="2">
        <f t="shared" si="53"/>
        <v>183</v>
      </c>
      <c r="G1134" s="2">
        <f t="shared" si="55"/>
        <v>6</v>
      </c>
    </row>
    <row r="1135" spans="2:9" x14ac:dyDescent="0.2">
      <c r="B1135" s="3"/>
      <c r="C1135" s="3" t="s">
        <v>40</v>
      </c>
      <c r="D1135" s="2">
        <v>3140</v>
      </c>
      <c r="E1135" s="2">
        <v>114</v>
      </c>
      <c r="F1135" s="2">
        <f t="shared" ref="F1135:F1198" si="57">SUM(D1135-D1105)</f>
        <v>38</v>
      </c>
      <c r="G1135" s="2">
        <f t="shared" si="55"/>
        <v>3</v>
      </c>
    </row>
    <row r="1136" spans="2:9" x14ac:dyDescent="0.2">
      <c r="B1136" s="3"/>
      <c r="C1136" s="3" t="s">
        <v>41</v>
      </c>
      <c r="D1136" s="2">
        <v>3190</v>
      </c>
      <c r="E1136" s="2">
        <v>168</v>
      </c>
      <c r="F1136" s="2">
        <f t="shared" si="57"/>
        <v>95</v>
      </c>
      <c r="G1136" s="2">
        <f t="shared" si="55"/>
        <v>0</v>
      </c>
    </row>
    <row r="1137" spans="1:9" x14ac:dyDescent="0.2">
      <c r="B1137" s="3" t="s">
        <v>20</v>
      </c>
      <c r="C1137" s="3" t="s">
        <v>22</v>
      </c>
      <c r="D1137" s="2">
        <v>30357</v>
      </c>
      <c r="E1137" s="2">
        <v>1468</v>
      </c>
      <c r="F1137" s="2">
        <f t="shared" si="57"/>
        <v>813</v>
      </c>
      <c r="G1137" s="2">
        <f t="shared" si="55"/>
        <v>50</v>
      </c>
      <c r="H1137" s="2">
        <f t="shared" si="56"/>
        <v>37298</v>
      </c>
      <c r="I1137" s="2">
        <v>912570</v>
      </c>
    </row>
    <row r="1138" spans="1:9" x14ac:dyDescent="0.2">
      <c r="B1138" s="3"/>
      <c r="C1138" s="3" t="s">
        <v>26</v>
      </c>
      <c r="D1138" s="2">
        <v>4664</v>
      </c>
      <c r="E1138" s="2">
        <v>194</v>
      </c>
      <c r="F1138" s="2">
        <f t="shared" si="57"/>
        <v>233</v>
      </c>
      <c r="G1138" s="2">
        <f t="shared" si="55"/>
        <v>5</v>
      </c>
    </row>
    <row r="1139" spans="1:9" x14ac:dyDescent="0.2">
      <c r="B1139" s="3"/>
      <c r="C1139" s="3" t="s">
        <v>27</v>
      </c>
      <c r="D1139" s="2">
        <v>4672</v>
      </c>
      <c r="E1139" s="2">
        <v>210</v>
      </c>
      <c r="F1139" s="2">
        <f t="shared" si="57"/>
        <v>64</v>
      </c>
      <c r="G1139" s="2">
        <f t="shared" si="55"/>
        <v>7</v>
      </c>
    </row>
    <row r="1140" spans="1:9" x14ac:dyDescent="0.2">
      <c r="C1140" s="3" t="s">
        <v>42</v>
      </c>
      <c r="D1140" s="2">
        <v>2285</v>
      </c>
      <c r="E1140" s="2">
        <v>130</v>
      </c>
      <c r="F1140" s="2">
        <f t="shared" si="57"/>
        <v>4</v>
      </c>
      <c r="G1140" s="2">
        <f t="shared" si="55"/>
        <v>3</v>
      </c>
    </row>
    <row r="1141" spans="1:9" x14ac:dyDescent="0.2">
      <c r="C1141" s="3" t="s">
        <v>43</v>
      </c>
      <c r="D1141" s="2">
        <v>3395</v>
      </c>
      <c r="E1141" s="2">
        <v>72</v>
      </c>
      <c r="F1141" s="2">
        <f t="shared" si="57"/>
        <v>112</v>
      </c>
      <c r="G1141" s="2">
        <f t="shared" si="55"/>
        <v>6</v>
      </c>
    </row>
    <row r="1142" spans="1:9" x14ac:dyDescent="0.2">
      <c r="A1142" s="1">
        <v>43960</v>
      </c>
      <c r="B1142" s="3" t="s">
        <v>5</v>
      </c>
      <c r="C1142" s="3" t="s">
        <v>6</v>
      </c>
      <c r="D1142" s="2">
        <v>56493</v>
      </c>
      <c r="E1142" s="2">
        <v>3680</v>
      </c>
      <c r="F1142" s="2">
        <f t="shared" si="57"/>
        <v>549</v>
      </c>
      <c r="G1142" s="2">
        <f t="shared" si="55"/>
        <v>21</v>
      </c>
      <c r="H1142" s="2">
        <f t="shared" si="56"/>
        <v>32225</v>
      </c>
      <c r="I1142" s="2">
        <v>1153768</v>
      </c>
    </row>
    <row r="1143" spans="1:9" x14ac:dyDescent="0.2">
      <c r="B1143" s="3"/>
      <c r="C1143" s="3" t="s">
        <v>7</v>
      </c>
      <c r="D1143" s="2">
        <v>49461</v>
      </c>
      <c r="E1143" s="2">
        <v>4049</v>
      </c>
      <c r="F1143" s="2">
        <f t="shared" si="57"/>
        <v>463</v>
      </c>
      <c r="G1143" s="2">
        <f t="shared" si="55"/>
        <v>37</v>
      </c>
    </row>
    <row r="1144" spans="1:9" x14ac:dyDescent="0.2">
      <c r="B1144" s="3"/>
      <c r="C1144" s="3" t="s">
        <v>8</v>
      </c>
      <c r="D1144" s="2">
        <v>38028</v>
      </c>
      <c r="E1144" s="2">
        <v>2388</v>
      </c>
      <c r="F1144" s="2">
        <f t="shared" si="57"/>
        <v>216</v>
      </c>
      <c r="G1144" s="2">
        <f t="shared" si="55"/>
        <v>26</v>
      </c>
    </row>
    <row r="1145" spans="1:9" x14ac:dyDescent="0.2">
      <c r="B1145" s="3"/>
      <c r="C1145" s="3" t="s">
        <v>35</v>
      </c>
      <c r="D1145" s="2">
        <v>40804</v>
      </c>
      <c r="E1145" s="2">
        <v>2723</v>
      </c>
      <c r="F1145" s="2">
        <f t="shared" si="57"/>
        <v>271</v>
      </c>
      <c r="G1145" s="2">
        <f t="shared" si="55"/>
        <v>21</v>
      </c>
    </row>
    <row r="1146" spans="1:9" x14ac:dyDescent="0.2">
      <c r="B1146" s="3"/>
      <c r="C1146" s="3" t="s">
        <v>14</v>
      </c>
      <c r="D1146" s="2">
        <v>36461</v>
      </c>
      <c r="E1146" s="2">
        <v>1647</v>
      </c>
      <c r="F1146" s="2">
        <f t="shared" si="57"/>
        <v>238</v>
      </c>
      <c r="G1146" s="2">
        <f t="shared" si="55"/>
        <v>31</v>
      </c>
    </row>
    <row r="1147" spans="1:9" x14ac:dyDescent="0.2">
      <c r="B1147" s="3" t="s">
        <v>9</v>
      </c>
      <c r="C1147" s="3" t="s">
        <v>10</v>
      </c>
      <c r="D1147" s="2">
        <v>16804</v>
      </c>
      <c r="E1147" s="2">
        <v>1348</v>
      </c>
      <c r="F1147" s="2">
        <f t="shared" si="57"/>
        <v>95</v>
      </c>
      <c r="G1147" s="2">
        <f t="shared" si="55"/>
        <v>19</v>
      </c>
      <c r="H1147" s="2">
        <f t="shared" si="56"/>
        <v>6447</v>
      </c>
      <c r="I1147" s="2">
        <f>SUM(137085+168121)</f>
        <v>305206</v>
      </c>
    </row>
    <row r="1148" spans="1:9" x14ac:dyDescent="0.2">
      <c r="B1148" s="3"/>
      <c r="C1148" s="3" t="s">
        <v>11</v>
      </c>
      <c r="D1148" s="2">
        <v>16675</v>
      </c>
      <c r="E1148" s="2">
        <v>954</v>
      </c>
      <c r="F1148" s="2">
        <f t="shared" si="57"/>
        <v>155</v>
      </c>
      <c r="G1148" s="2">
        <f t="shared" si="55"/>
        <v>14</v>
      </c>
    </row>
    <row r="1149" spans="1:9" x14ac:dyDescent="0.2">
      <c r="B1149" s="3"/>
      <c r="C1149" s="3" t="s">
        <v>12</v>
      </c>
      <c r="D1149" s="2">
        <v>15365</v>
      </c>
      <c r="E1149" s="2">
        <v>1414</v>
      </c>
      <c r="F1149" s="2">
        <f t="shared" si="57"/>
        <v>109</v>
      </c>
      <c r="G1149" s="2">
        <f t="shared" si="55"/>
        <v>16</v>
      </c>
    </row>
    <row r="1150" spans="1:9" x14ac:dyDescent="0.2">
      <c r="B1150" s="3"/>
      <c r="C1150" s="3" t="s">
        <v>36</v>
      </c>
      <c r="E1150" s="2">
        <v>852</v>
      </c>
      <c r="G1150" s="2">
        <f t="shared" si="55"/>
        <v>8</v>
      </c>
    </row>
    <row r="1151" spans="1:9" x14ac:dyDescent="0.2">
      <c r="B1151" s="3"/>
      <c r="C1151" s="3" t="s">
        <v>37</v>
      </c>
      <c r="D1151" s="2">
        <v>14428</v>
      </c>
      <c r="E1151" s="2">
        <v>734</v>
      </c>
      <c r="F1151" s="2">
        <f t="shared" si="57"/>
        <v>148</v>
      </c>
      <c r="G1151" s="2">
        <f t="shared" si="55"/>
        <v>19</v>
      </c>
    </row>
    <row r="1152" spans="1:9" x14ac:dyDescent="0.2">
      <c r="B1152" s="3" t="s">
        <v>13</v>
      </c>
      <c r="C1152" s="3" t="s">
        <v>14</v>
      </c>
      <c r="D1152" s="2">
        <v>15119</v>
      </c>
      <c r="E1152" s="2">
        <v>703</v>
      </c>
      <c r="F1152" s="2">
        <f t="shared" si="57"/>
        <v>175</v>
      </c>
      <c r="G1152" s="2">
        <f t="shared" si="55"/>
        <v>20</v>
      </c>
      <c r="H1152" s="2">
        <f t="shared" si="56"/>
        <v>10505</v>
      </c>
      <c r="I1152" s="2">
        <v>376537</v>
      </c>
    </row>
    <row r="1153" spans="2:9" x14ac:dyDescent="0.2">
      <c r="B1153" s="3"/>
      <c r="C1153" s="3" t="s">
        <v>15</v>
      </c>
      <c r="D1153" s="2">
        <v>17307</v>
      </c>
      <c r="E1153" s="2">
        <v>1169</v>
      </c>
      <c r="F1153" s="2">
        <f t="shared" si="57"/>
        <v>293</v>
      </c>
      <c r="G1153" s="2">
        <f t="shared" si="55"/>
        <v>37</v>
      </c>
    </row>
    <row r="1154" spans="2:9" x14ac:dyDescent="0.2">
      <c r="B1154" s="3"/>
      <c r="C1154" s="3" t="s">
        <v>12</v>
      </c>
      <c r="D1154" s="2">
        <v>11211</v>
      </c>
      <c r="E1154" s="2">
        <v>625</v>
      </c>
      <c r="F1154" s="2">
        <f t="shared" si="57"/>
        <v>216</v>
      </c>
      <c r="G1154" s="2">
        <f t="shared" si="55"/>
        <v>24</v>
      </c>
    </row>
    <row r="1155" spans="2:9" x14ac:dyDescent="0.2">
      <c r="B1155" s="3"/>
      <c r="C1155" s="3" t="s">
        <v>33</v>
      </c>
      <c r="D1155" s="2">
        <v>6887</v>
      </c>
      <c r="E1155" s="2">
        <v>635</v>
      </c>
      <c r="F1155" s="2">
        <f t="shared" si="57"/>
        <v>86</v>
      </c>
      <c r="G1155" s="2">
        <f t="shared" si="55"/>
        <v>12</v>
      </c>
    </row>
    <row r="1156" spans="2:9" x14ac:dyDescent="0.2">
      <c r="B1156" s="3"/>
      <c r="C1156" s="3" t="s">
        <v>34</v>
      </c>
      <c r="D1156" s="2">
        <v>7611</v>
      </c>
      <c r="E1156" s="2">
        <v>420</v>
      </c>
      <c r="F1156" s="2">
        <f t="shared" si="57"/>
        <v>201</v>
      </c>
      <c r="G1156" s="2">
        <f t="shared" si="55"/>
        <v>16</v>
      </c>
    </row>
    <row r="1157" spans="2:9" x14ac:dyDescent="0.2">
      <c r="B1157" s="3" t="s">
        <v>23</v>
      </c>
      <c r="C1157" s="3" t="s">
        <v>24</v>
      </c>
      <c r="D1157" s="2">
        <v>17960</v>
      </c>
      <c r="E1157" s="2">
        <v>2082</v>
      </c>
      <c r="F1157" s="2">
        <f t="shared" si="57"/>
        <v>136</v>
      </c>
      <c r="G1157" s="2">
        <f t="shared" si="55"/>
        <v>54</v>
      </c>
      <c r="H1157" s="2">
        <f t="shared" si="56"/>
        <v>13233</v>
      </c>
      <c r="I1157" s="2">
        <f>SUM(46756+226730)</f>
        <v>273486</v>
      </c>
    </row>
    <row r="1158" spans="2:9" x14ac:dyDescent="0.2">
      <c r="B1158" s="3"/>
      <c r="C1158" s="3" t="s">
        <v>25</v>
      </c>
      <c r="D1158" s="2">
        <v>7692</v>
      </c>
      <c r="E1158" s="2">
        <v>841</v>
      </c>
      <c r="F1158" s="2">
        <f t="shared" si="57"/>
        <v>28</v>
      </c>
      <c r="G1158" s="2">
        <f t="shared" si="55"/>
        <v>36</v>
      </c>
    </row>
    <row r="1159" spans="2:9" x14ac:dyDescent="0.2">
      <c r="B1159" s="3"/>
      <c r="C1159" s="3" t="s">
        <v>28</v>
      </c>
      <c r="D1159" s="2">
        <v>6019</v>
      </c>
      <c r="E1159" s="2">
        <v>697</v>
      </c>
      <c r="F1159" s="2">
        <f t="shared" si="57"/>
        <v>56</v>
      </c>
      <c r="G1159" s="2">
        <f t="shared" si="55"/>
        <v>15</v>
      </c>
    </row>
    <row r="1160" spans="2:9" x14ac:dyDescent="0.2">
      <c r="B1160" s="3"/>
      <c r="C1160" s="3" t="s">
        <v>38</v>
      </c>
      <c r="D1160" s="2">
        <v>1750</v>
      </c>
      <c r="E1160" s="2">
        <v>223</v>
      </c>
      <c r="F1160" s="2">
        <f t="shared" si="57"/>
        <v>11</v>
      </c>
      <c r="G1160" s="2">
        <f t="shared" si="55"/>
        <v>9</v>
      </c>
    </row>
    <row r="1161" spans="2:9" x14ac:dyDescent="0.2">
      <c r="B1161" s="3"/>
      <c r="C1161" s="3" t="s">
        <v>39</v>
      </c>
      <c r="D1161" s="2">
        <v>1176</v>
      </c>
      <c r="E1161" s="2">
        <v>81</v>
      </c>
      <c r="F1161" s="2">
        <f t="shared" si="57"/>
        <v>16</v>
      </c>
      <c r="G1161" s="2">
        <f t="shared" si="55"/>
        <v>1</v>
      </c>
    </row>
    <row r="1162" spans="2:9" x14ac:dyDescent="0.2">
      <c r="B1162" s="3" t="s">
        <v>16</v>
      </c>
      <c r="C1162" s="3" t="s">
        <v>17</v>
      </c>
      <c r="D1162" s="2">
        <v>14637</v>
      </c>
      <c r="E1162" s="2">
        <v>891</v>
      </c>
      <c r="F1162" s="2">
        <f t="shared" si="57"/>
        <v>253</v>
      </c>
      <c r="G1162" s="2">
        <f t="shared" si="55"/>
        <v>16</v>
      </c>
      <c r="H1162" s="2">
        <f t="shared" si="56"/>
        <v>6548</v>
      </c>
      <c r="I1162" s="2">
        <f>SUM(55316+221791)</f>
        <v>277107</v>
      </c>
    </row>
    <row r="1163" spans="2:9" x14ac:dyDescent="0.2">
      <c r="B1163" s="3"/>
      <c r="C1163" s="3" t="s">
        <v>18</v>
      </c>
      <c r="D1163" s="2">
        <v>5116</v>
      </c>
      <c r="E1163" s="2">
        <v>523</v>
      </c>
      <c r="F1163" s="2">
        <f t="shared" si="57"/>
        <v>79</v>
      </c>
      <c r="G1163" s="2">
        <f t="shared" si="55"/>
        <v>8</v>
      </c>
    </row>
    <row r="1164" spans="2:9" x14ac:dyDescent="0.2">
      <c r="B1164" s="3"/>
      <c r="C1164" s="3" t="s">
        <v>19</v>
      </c>
      <c r="D1164" s="2">
        <v>4836</v>
      </c>
      <c r="E1164" s="2">
        <v>394</v>
      </c>
      <c r="F1164" s="2">
        <f t="shared" si="57"/>
        <v>156</v>
      </c>
      <c r="G1164" s="2">
        <f t="shared" si="55"/>
        <v>12</v>
      </c>
    </row>
    <row r="1165" spans="2:9" x14ac:dyDescent="0.2">
      <c r="B1165" s="3"/>
      <c r="C1165" s="3" t="s">
        <v>40</v>
      </c>
      <c r="D1165" s="2">
        <v>3169</v>
      </c>
      <c r="E1165" s="2">
        <v>120</v>
      </c>
      <c r="F1165" s="2">
        <f t="shared" si="57"/>
        <v>29</v>
      </c>
      <c r="G1165" s="2">
        <f t="shared" si="55"/>
        <v>6</v>
      </c>
    </row>
    <row r="1166" spans="2:9" x14ac:dyDescent="0.2">
      <c r="B1166" s="3"/>
      <c r="C1166" s="3" t="s">
        <v>41</v>
      </c>
      <c r="D1166" s="2">
        <v>3257</v>
      </c>
      <c r="E1166" s="2">
        <v>169</v>
      </c>
      <c r="F1166" s="2">
        <f t="shared" si="57"/>
        <v>67</v>
      </c>
      <c r="G1166" s="2">
        <f t="shared" si="55"/>
        <v>1</v>
      </c>
    </row>
    <row r="1167" spans="2:9" x14ac:dyDescent="0.2">
      <c r="B1167" s="3" t="s">
        <v>20</v>
      </c>
      <c r="C1167" s="3" t="s">
        <v>22</v>
      </c>
      <c r="D1167" s="2">
        <v>31268</v>
      </c>
      <c r="E1167" s="2">
        <v>1512</v>
      </c>
      <c r="F1167" s="2">
        <f t="shared" si="57"/>
        <v>911</v>
      </c>
      <c r="G1167" s="2">
        <f t="shared" si="55"/>
        <v>44</v>
      </c>
      <c r="H1167" s="2">
        <f t="shared" si="56"/>
        <v>43094</v>
      </c>
      <c r="I1167" s="2">
        <v>955664</v>
      </c>
    </row>
    <row r="1168" spans="2:9" x14ac:dyDescent="0.2">
      <c r="B1168" s="3"/>
      <c r="C1168" s="3" t="s">
        <v>26</v>
      </c>
      <c r="D1168" s="2">
        <v>4778</v>
      </c>
      <c r="E1168" s="2">
        <v>194</v>
      </c>
      <c r="F1168" s="2">
        <f t="shared" si="57"/>
        <v>114</v>
      </c>
      <c r="G1168" s="2">
        <f t="shared" si="55"/>
        <v>0</v>
      </c>
    </row>
    <row r="1169" spans="1:9" x14ac:dyDescent="0.2">
      <c r="B1169" s="3"/>
      <c r="C1169" s="3" t="s">
        <v>27</v>
      </c>
      <c r="D1169" s="2">
        <v>4871</v>
      </c>
      <c r="E1169" s="2">
        <v>212</v>
      </c>
      <c r="F1169" s="2">
        <f t="shared" si="57"/>
        <v>199</v>
      </c>
      <c r="G1169" s="2">
        <f t="shared" si="55"/>
        <v>2</v>
      </c>
    </row>
    <row r="1170" spans="1:9" x14ac:dyDescent="0.2">
      <c r="C1170" s="3" t="s">
        <v>42</v>
      </c>
      <c r="D1170" s="2">
        <v>2317</v>
      </c>
      <c r="E1170" s="2">
        <v>130</v>
      </c>
      <c r="F1170" s="2">
        <f t="shared" si="57"/>
        <v>32</v>
      </c>
      <c r="G1170" s="2">
        <f t="shared" si="55"/>
        <v>0</v>
      </c>
    </row>
    <row r="1171" spans="1:9" x14ac:dyDescent="0.2">
      <c r="C1171" s="3" t="s">
        <v>43</v>
      </c>
      <c r="D1171" s="2">
        <v>3506</v>
      </c>
      <c r="E1171" s="2">
        <v>75</v>
      </c>
      <c r="F1171" s="2">
        <f t="shared" si="57"/>
        <v>111</v>
      </c>
      <c r="G1171" s="2">
        <f t="shared" si="55"/>
        <v>3</v>
      </c>
    </row>
    <row r="1172" spans="1:9" x14ac:dyDescent="0.2">
      <c r="A1172" s="1">
        <v>43961</v>
      </c>
      <c r="B1172" s="3" t="s">
        <v>5</v>
      </c>
      <c r="C1172" s="3" t="s">
        <v>6</v>
      </c>
      <c r="D1172" s="2">
        <v>56862</v>
      </c>
      <c r="E1172" s="2">
        <v>3708</v>
      </c>
      <c r="F1172" s="2">
        <f t="shared" si="57"/>
        <v>369</v>
      </c>
      <c r="G1172" s="2">
        <f t="shared" si="55"/>
        <v>28</v>
      </c>
      <c r="H1172" s="2">
        <f t="shared" si="56"/>
        <v>29230</v>
      </c>
      <c r="I1172" s="2">
        <v>1182998</v>
      </c>
    </row>
    <row r="1173" spans="1:9" x14ac:dyDescent="0.2">
      <c r="B1173" s="3"/>
      <c r="C1173" s="3" t="s">
        <v>7</v>
      </c>
      <c r="D1173" s="2">
        <v>49817</v>
      </c>
      <c r="E1173" s="2">
        <v>4081</v>
      </c>
      <c r="F1173" s="2">
        <f t="shared" si="57"/>
        <v>356</v>
      </c>
      <c r="G1173" s="2">
        <f t="shared" si="55"/>
        <v>32</v>
      </c>
    </row>
    <row r="1174" spans="1:9" x14ac:dyDescent="0.2">
      <c r="B1174" s="3"/>
      <c r="C1174" s="3" t="s">
        <v>8</v>
      </c>
      <c r="D1174" s="2">
        <v>38217</v>
      </c>
      <c r="E1174" s="2">
        <v>2413</v>
      </c>
      <c r="F1174" s="2">
        <f t="shared" si="57"/>
        <v>189</v>
      </c>
      <c r="G1174" s="2">
        <f t="shared" si="55"/>
        <v>25</v>
      </c>
    </row>
    <row r="1175" spans="1:9" x14ac:dyDescent="0.2">
      <c r="B1175" s="3"/>
      <c r="C1175" s="3" t="s">
        <v>35</v>
      </c>
      <c r="D1175" s="2">
        <v>41059</v>
      </c>
      <c r="E1175" s="2">
        <v>2740</v>
      </c>
      <c r="F1175" s="2">
        <f t="shared" si="57"/>
        <v>255</v>
      </c>
      <c r="G1175" s="2">
        <f t="shared" si="55"/>
        <v>17</v>
      </c>
    </row>
    <row r="1176" spans="1:9" x14ac:dyDescent="0.2">
      <c r="B1176" s="3"/>
      <c r="C1176" s="3" t="s">
        <v>14</v>
      </c>
      <c r="D1176" s="2">
        <v>36702</v>
      </c>
      <c r="E1176" s="2">
        <v>1667</v>
      </c>
      <c r="F1176" s="2">
        <f t="shared" si="57"/>
        <v>241</v>
      </c>
      <c r="G1176" s="2">
        <f t="shared" si="55"/>
        <v>20</v>
      </c>
    </row>
    <row r="1177" spans="1:9" x14ac:dyDescent="0.2">
      <c r="B1177" s="3" t="s">
        <v>9</v>
      </c>
      <c r="C1177" s="3" t="s">
        <v>10</v>
      </c>
      <c r="D1177" s="2">
        <v>16929</v>
      </c>
      <c r="E1177" s="2">
        <v>1355</v>
      </c>
      <c r="F1177" s="2">
        <f t="shared" si="57"/>
        <v>125</v>
      </c>
      <c r="G1177" s="2">
        <f t="shared" si="55"/>
        <v>7</v>
      </c>
      <c r="H1177" s="2">
        <f t="shared" si="56"/>
        <v>7241</v>
      </c>
      <c r="I1177" s="2">
        <f>SUM(138532+173915)</f>
        <v>312447</v>
      </c>
    </row>
    <row r="1178" spans="1:9" x14ac:dyDescent="0.2">
      <c r="B1178" s="3"/>
      <c r="C1178" s="3" t="s">
        <v>11</v>
      </c>
      <c r="D1178" s="2">
        <v>16822</v>
      </c>
      <c r="E1178" s="2">
        <v>969</v>
      </c>
      <c r="F1178" s="2">
        <f t="shared" si="57"/>
        <v>147</v>
      </c>
      <c r="G1178" s="2">
        <f t="shared" si="55"/>
        <v>15</v>
      </c>
    </row>
    <row r="1179" spans="1:9" x14ac:dyDescent="0.2">
      <c r="B1179" s="3"/>
      <c r="C1179" s="3" t="s">
        <v>12</v>
      </c>
      <c r="D1179" s="2">
        <v>15524</v>
      </c>
      <c r="E1179" s="2">
        <v>1423</v>
      </c>
      <c r="F1179" s="2">
        <f t="shared" si="57"/>
        <v>159</v>
      </c>
      <c r="G1179" s="2">
        <f t="shared" si="55"/>
        <v>9</v>
      </c>
    </row>
    <row r="1180" spans="1:9" x14ac:dyDescent="0.2">
      <c r="B1180" s="3"/>
      <c r="C1180" s="3" t="s">
        <v>36</v>
      </c>
      <c r="D1180" s="2">
        <v>14057</v>
      </c>
      <c r="E1180" s="2">
        <v>867</v>
      </c>
      <c r="G1180" s="2">
        <f t="shared" si="55"/>
        <v>15</v>
      </c>
    </row>
    <row r="1181" spans="1:9" x14ac:dyDescent="0.2">
      <c r="B1181" s="3"/>
      <c r="C1181" s="3" t="s">
        <v>37</v>
      </c>
      <c r="D1181" s="2">
        <v>14543</v>
      </c>
      <c r="E1181" s="2">
        <v>744</v>
      </c>
      <c r="F1181" s="2">
        <f t="shared" si="57"/>
        <v>115</v>
      </c>
      <c r="G1181" s="2">
        <f t="shared" si="55"/>
        <v>10</v>
      </c>
    </row>
    <row r="1182" spans="1:9" x14ac:dyDescent="0.2">
      <c r="B1182" s="3" t="s">
        <v>13</v>
      </c>
      <c r="C1182" s="3" t="s">
        <v>14</v>
      </c>
      <c r="D1182" s="2">
        <v>15279</v>
      </c>
      <c r="E1182" s="2">
        <v>718</v>
      </c>
      <c r="F1182" s="2">
        <f t="shared" si="57"/>
        <v>160</v>
      </c>
      <c r="G1182" s="2">
        <f t="shared" si="55"/>
        <v>15</v>
      </c>
      <c r="H1182" s="2">
        <f t="shared" si="56"/>
        <v>11852</v>
      </c>
      <c r="I1182" s="2">
        <v>388389</v>
      </c>
    </row>
    <row r="1183" spans="1:9" x14ac:dyDescent="0.2">
      <c r="B1183" s="3"/>
      <c r="C1183" s="3" t="s">
        <v>15</v>
      </c>
      <c r="D1183" s="2">
        <v>17589</v>
      </c>
      <c r="E1183" s="2">
        <v>1207</v>
      </c>
      <c r="F1183" s="2">
        <f t="shared" si="57"/>
        <v>282</v>
      </c>
      <c r="G1183" s="2">
        <f t="shared" si="55"/>
        <v>38</v>
      </c>
    </row>
    <row r="1184" spans="1:9" x14ac:dyDescent="0.2">
      <c r="B1184" s="3"/>
      <c r="C1184" s="3" t="s">
        <v>12</v>
      </c>
      <c r="D1184" s="2">
        <v>11353</v>
      </c>
      <c r="E1184" s="2">
        <v>644</v>
      </c>
      <c r="F1184" s="2">
        <f t="shared" si="57"/>
        <v>142</v>
      </c>
      <c r="G1184" s="2">
        <f t="shared" si="55"/>
        <v>19</v>
      </c>
    </row>
    <row r="1185" spans="2:9" x14ac:dyDescent="0.2">
      <c r="B1185" s="3"/>
      <c r="C1185" s="3" t="s">
        <v>33</v>
      </c>
      <c r="D1185" s="2">
        <v>6952</v>
      </c>
      <c r="E1185" s="2">
        <v>650</v>
      </c>
      <c r="F1185" s="2">
        <f t="shared" si="57"/>
        <v>65</v>
      </c>
      <c r="G1185" s="2">
        <f t="shared" ref="G1185:G1248" si="58">SUM(E1185-E1155)</f>
        <v>15</v>
      </c>
    </row>
    <row r="1186" spans="2:9" x14ac:dyDescent="0.2">
      <c r="B1186" s="3"/>
      <c r="C1186" s="3" t="s">
        <v>34</v>
      </c>
      <c r="D1186" s="2">
        <v>7743</v>
      </c>
      <c r="E1186" s="2">
        <v>444</v>
      </c>
      <c r="F1186" s="2">
        <f t="shared" si="57"/>
        <v>132</v>
      </c>
      <c r="G1186" s="2">
        <f t="shared" si="58"/>
        <v>24</v>
      </c>
    </row>
    <row r="1187" spans="2:9" x14ac:dyDescent="0.2">
      <c r="B1187" s="3" t="s">
        <v>23</v>
      </c>
      <c r="C1187" s="3" t="s">
        <v>24</v>
      </c>
      <c r="D1187" s="2">
        <v>18075</v>
      </c>
      <c r="E1187" s="2">
        <v>2097</v>
      </c>
      <c r="F1187" s="2">
        <f t="shared" si="57"/>
        <v>115</v>
      </c>
      <c r="G1187" s="2">
        <f t="shared" si="58"/>
        <v>15</v>
      </c>
      <c r="H1187" s="2">
        <f t="shared" ref="H1187:H1247" si="59">SUM(I1187-I1157)</f>
        <v>12192</v>
      </c>
      <c r="I1187" s="2">
        <f>SUM(47138+238540)</f>
        <v>285678</v>
      </c>
    </row>
    <row r="1188" spans="2:9" x14ac:dyDescent="0.2">
      <c r="B1188" s="3"/>
      <c r="C1188" s="3" t="s">
        <v>25</v>
      </c>
      <c r="D1188" s="2">
        <v>7736</v>
      </c>
      <c r="E1188" s="2">
        <v>843</v>
      </c>
      <c r="F1188" s="2">
        <f t="shared" si="57"/>
        <v>44</v>
      </c>
      <c r="G1188" s="2">
        <f t="shared" si="58"/>
        <v>2</v>
      </c>
    </row>
    <row r="1189" spans="2:9" x14ac:dyDescent="0.2">
      <c r="B1189" s="3"/>
      <c r="C1189" s="3" t="s">
        <v>28</v>
      </c>
      <c r="D1189" s="2">
        <v>6042</v>
      </c>
      <c r="E1189" s="2">
        <v>698</v>
      </c>
      <c r="F1189" s="2">
        <f t="shared" si="57"/>
        <v>23</v>
      </c>
      <c r="G1189" s="2">
        <f t="shared" si="58"/>
        <v>1</v>
      </c>
    </row>
    <row r="1190" spans="2:9" x14ac:dyDescent="0.2">
      <c r="B1190" s="3"/>
      <c r="C1190" s="3" t="s">
        <v>38</v>
      </c>
      <c r="D1190" s="2">
        <v>1758</v>
      </c>
      <c r="E1190" s="2">
        <v>224</v>
      </c>
      <c r="F1190" s="2">
        <f t="shared" si="57"/>
        <v>8</v>
      </c>
      <c r="G1190" s="2">
        <f t="shared" si="58"/>
        <v>1</v>
      </c>
    </row>
    <row r="1191" spans="2:9" x14ac:dyDescent="0.2">
      <c r="B1191" s="3"/>
      <c r="C1191" s="3" t="s">
        <v>39</v>
      </c>
      <c r="D1191" s="2">
        <v>1182</v>
      </c>
      <c r="E1191" s="2">
        <v>81</v>
      </c>
      <c r="F1191" s="2">
        <f t="shared" si="57"/>
        <v>6</v>
      </c>
      <c r="G1191" s="2">
        <f t="shared" si="58"/>
        <v>0</v>
      </c>
    </row>
    <row r="1192" spans="2:9" x14ac:dyDescent="0.2">
      <c r="B1192" s="3" t="s">
        <v>16</v>
      </c>
      <c r="C1192" s="3" t="s">
        <v>17</v>
      </c>
      <c r="D1192" s="2">
        <v>14883</v>
      </c>
      <c r="E1192" s="2">
        <v>894</v>
      </c>
      <c r="F1192" s="2">
        <f t="shared" si="57"/>
        <v>246</v>
      </c>
      <c r="G1192" s="2">
        <f t="shared" si="58"/>
        <v>3</v>
      </c>
      <c r="H1192" s="2">
        <f t="shared" si="59"/>
        <v>7276</v>
      </c>
      <c r="I1192" s="2">
        <f>SUM(56611+227772)</f>
        <v>284383</v>
      </c>
    </row>
    <row r="1193" spans="2:9" x14ac:dyDescent="0.2">
      <c r="B1193" s="3"/>
      <c r="C1193" s="3" t="s">
        <v>18</v>
      </c>
      <c r="D1193" s="2">
        <v>5260</v>
      </c>
      <c r="E1193" s="2">
        <v>525</v>
      </c>
      <c r="F1193" s="2">
        <f t="shared" si="57"/>
        <v>144</v>
      </c>
      <c r="G1193" s="2">
        <f t="shared" si="58"/>
        <v>2</v>
      </c>
    </row>
    <row r="1194" spans="2:9" x14ac:dyDescent="0.2">
      <c r="B1194" s="3"/>
      <c r="C1194" s="3" t="s">
        <v>19</v>
      </c>
      <c r="D1194" s="2">
        <v>4976</v>
      </c>
      <c r="E1194" s="2">
        <v>395</v>
      </c>
      <c r="F1194" s="2">
        <f t="shared" si="57"/>
        <v>140</v>
      </c>
      <c r="G1194" s="2">
        <f t="shared" si="58"/>
        <v>1</v>
      </c>
    </row>
    <row r="1195" spans="2:9" x14ac:dyDescent="0.2">
      <c r="B1195" s="3"/>
      <c r="C1195" s="3" t="s">
        <v>40</v>
      </c>
      <c r="D1195" s="2">
        <v>3241</v>
      </c>
      <c r="E1195" s="2">
        <v>121</v>
      </c>
      <c r="F1195" s="2">
        <f t="shared" si="57"/>
        <v>72</v>
      </c>
      <c r="G1195" s="2">
        <f t="shared" si="58"/>
        <v>1</v>
      </c>
    </row>
    <row r="1196" spans="2:9" x14ac:dyDescent="0.2">
      <c r="B1196" s="3"/>
      <c r="C1196" s="3" t="s">
        <v>41</v>
      </c>
      <c r="D1196" s="2">
        <v>3371</v>
      </c>
      <c r="E1196" s="2">
        <v>170</v>
      </c>
      <c r="F1196" s="2">
        <f t="shared" si="57"/>
        <v>114</v>
      </c>
      <c r="G1196" s="2">
        <f t="shared" si="58"/>
        <v>1</v>
      </c>
    </row>
    <row r="1197" spans="2:9" x14ac:dyDescent="0.2">
      <c r="B1197" s="3" t="s">
        <v>20</v>
      </c>
      <c r="C1197" s="3" t="s">
        <v>22</v>
      </c>
      <c r="D1197" s="2">
        <v>31711</v>
      </c>
      <c r="E1197" s="2">
        <v>1530</v>
      </c>
      <c r="F1197" s="2">
        <f t="shared" si="57"/>
        <v>443</v>
      </c>
      <c r="G1197" s="2">
        <f t="shared" si="58"/>
        <v>18</v>
      </c>
      <c r="H1197" s="2">
        <f t="shared" si="59"/>
        <v>36233</v>
      </c>
      <c r="I1197" s="2">
        <v>991897</v>
      </c>
    </row>
    <row r="1198" spans="2:9" x14ac:dyDescent="0.2">
      <c r="B1198" s="3"/>
      <c r="C1198" s="3" t="s">
        <v>26</v>
      </c>
      <c r="D1198" s="2">
        <v>4928</v>
      </c>
      <c r="E1198" s="2">
        <v>194</v>
      </c>
      <c r="F1198" s="2">
        <f t="shared" si="57"/>
        <v>150</v>
      </c>
      <c r="G1198" s="2">
        <f t="shared" si="58"/>
        <v>0</v>
      </c>
    </row>
    <row r="1199" spans="2:9" x14ac:dyDescent="0.2">
      <c r="B1199" s="3"/>
      <c r="C1199" s="3" t="s">
        <v>27</v>
      </c>
      <c r="D1199" s="2">
        <v>4951</v>
      </c>
      <c r="E1199" s="2">
        <v>215</v>
      </c>
      <c r="F1199" s="2">
        <f t="shared" ref="F1199:F1262" si="60">SUM(D1199-D1169)</f>
        <v>80</v>
      </c>
      <c r="G1199" s="2">
        <f t="shared" si="58"/>
        <v>3</v>
      </c>
    </row>
    <row r="1200" spans="2:9" x14ac:dyDescent="0.2">
      <c r="C1200" s="3" t="s">
        <v>42</v>
      </c>
      <c r="D1200" s="2">
        <v>2331</v>
      </c>
      <c r="E1200" s="2">
        <v>130</v>
      </c>
      <c r="F1200" s="2">
        <f t="shared" si="60"/>
        <v>14</v>
      </c>
      <c r="G1200" s="2">
        <f t="shared" si="58"/>
        <v>0</v>
      </c>
    </row>
    <row r="1201" spans="1:9" x14ac:dyDescent="0.2">
      <c r="C1201" s="3" t="s">
        <v>43</v>
      </c>
      <c r="D1201" s="2">
        <v>3627</v>
      </c>
      <c r="E1201" s="2">
        <v>76</v>
      </c>
      <c r="F1201" s="2">
        <f t="shared" si="60"/>
        <v>121</v>
      </c>
      <c r="G1201" s="2">
        <f t="shared" si="58"/>
        <v>1</v>
      </c>
    </row>
    <row r="1202" spans="1:9" x14ac:dyDescent="0.2">
      <c r="A1202" s="1">
        <v>43962</v>
      </c>
      <c r="B1202" s="3" t="s">
        <v>5</v>
      </c>
      <c r="C1202" s="3" t="s">
        <v>6</v>
      </c>
      <c r="D1202" s="2">
        <v>57180</v>
      </c>
      <c r="E1202" s="2">
        <v>3724</v>
      </c>
      <c r="F1202" s="2">
        <f t="shared" si="60"/>
        <v>318</v>
      </c>
      <c r="G1202" s="2">
        <f t="shared" si="58"/>
        <v>16</v>
      </c>
      <c r="H1202" s="2">
        <f t="shared" si="59"/>
        <v>21652</v>
      </c>
      <c r="I1202" s="2">
        <v>1204650</v>
      </c>
    </row>
    <row r="1203" spans="1:9" x14ac:dyDescent="0.2">
      <c r="B1203" s="3"/>
      <c r="C1203" s="3" t="s">
        <v>7</v>
      </c>
      <c r="D1203" s="2">
        <v>50072</v>
      </c>
      <c r="E1203" s="2">
        <v>4108</v>
      </c>
      <c r="F1203" s="2">
        <f t="shared" si="60"/>
        <v>255</v>
      </c>
      <c r="G1203" s="2">
        <f t="shared" si="58"/>
        <v>27</v>
      </c>
    </row>
    <row r="1204" spans="1:9" x14ac:dyDescent="0.2">
      <c r="B1204" s="3"/>
      <c r="C1204" s="3" t="s">
        <v>8</v>
      </c>
      <c r="D1204" s="2">
        <v>38337</v>
      </c>
      <c r="E1204" s="2">
        <v>2425</v>
      </c>
      <c r="F1204" s="2">
        <f t="shared" si="60"/>
        <v>120</v>
      </c>
      <c r="G1204" s="2">
        <f t="shared" si="58"/>
        <v>12</v>
      </c>
    </row>
    <row r="1205" spans="1:9" x14ac:dyDescent="0.2">
      <c r="B1205" s="3"/>
      <c r="C1205" s="3" t="s">
        <v>35</v>
      </c>
      <c r="E1205" s="2">
        <v>2758</v>
      </c>
      <c r="G1205" s="2">
        <f t="shared" si="58"/>
        <v>18</v>
      </c>
    </row>
    <row r="1206" spans="1:9" x14ac:dyDescent="0.2">
      <c r="B1206" s="3"/>
      <c r="C1206" s="3" t="s">
        <v>14</v>
      </c>
      <c r="D1206" s="2">
        <v>36911</v>
      </c>
      <c r="E1206" s="2">
        <v>1689</v>
      </c>
      <c r="F1206" s="2">
        <f t="shared" si="60"/>
        <v>209</v>
      </c>
      <c r="G1206" s="2">
        <f t="shared" si="58"/>
        <v>22</v>
      </c>
    </row>
    <row r="1207" spans="1:9" x14ac:dyDescent="0.2">
      <c r="B1207" s="3" t="s">
        <v>9</v>
      </c>
      <c r="C1207" s="3" t="s">
        <v>10</v>
      </c>
      <c r="D1207" s="2">
        <v>17028</v>
      </c>
      <c r="E1207" s="2">
        <v>1358</v>
      </c>
      <c r="F1207" s="2">
        <f t="shared" si="60"/>
        <v>99</v>
      </c>
      <c r="G1207" s="2">
        <f t="shared" si="58"/>
        <v>3</v>
      </c>
      <c r="H1207" s="2">
        <f t="shared" si="59"/>
        <v>113486</v>
      </c>
      <c r="I1207" s="2">
        <f>SUM(139945+285988)</f>
        <v>425933</v>
      </c>
    </row>
    <row r="1208" spans="1:9" x14ac:dyDescent="0.2">
      <c r="B1208" s="3"/>
      <c r="C1208" s="3" t="s">
        <v>11</v>
      </c>
      <c r="D1208" s="2">
        <v>16936</v>
      </c>
      <c r="E1208" s="2">
        <v>971</v>
      </c>
      <c r="F1208" s="2">
        <f t="shared" si="60"/>
        <v>114</v>
      </c>
      <c r="G1208" s="2">
        <f t="shared" si="58"/>
        <v>2</v>
      </c>
    </row>
    <row r="1209" spans="1:9" x14ac:dyDescent="0.2">
      <c r="B1209" s="3"/>
      <c r="C1209" s="3" t="s">
        <v>12</v>
      </c>
      <c r="D1209" s="2">
        <v>15602</v>
      </c>
      <c r="E1209" s="2">
        <v>1426</v>
      </c>
      <c r="F1209" s="2">
        <f t="shared" si="60"/>
        <v>78</v>
      </c>
      <c r="G1209" s="2">
        <f t="shared" si="58"/>
        <v>3</v>
      </c>
    </row>
    <row r="1210" spans="1:9" x14ac:dyDescent="0.2">
      <c r="B1210" s="3"/>
      <c r="C1210" s="3" t="s">
        <v>36</v>
      </c>
      <c r="D1210" s="2">
        <v>14164</v>
      </c>
      <c r="E1210" s="2">
        <v>875</v>
      </c>
      <c r="F1210" s="2">
        <f t="shared" si="60"/>
        <v>107</v>
      </c>
      <c r="G1210" s="2">
        <f t="shared" si="58"/>
        <v>8</v>
      </c>
    </row>
    <row r="1211" spans="1:9" x14ac:dyDescent="0.2">
      <c r="B1211" s="3"/>
      <c r="C1211" s="3" t="s">
        <v>37</v>
      </c>
      <c r="D1211" s="2">
        <v>14645</v>
      </c>
      <c r="E1211" s="2">
        <v>747</v>
      </c>
      <c r="F1211" s="2">
        <f t="shared" si="60"/>
        <v>102</v>
      </c>
      <c r="G1211" s="2">
        <f t="shared" si="58"/>
        <v>3</v>
      </c>
    </row>
    <row r="1212" spans="1:9" x14ac:dyDescent="0.2">
      <c r="B1212" s="3" t="s">
        <v>13</v>
      </c>
      <c r="C1212" s="3" t="s">
        <v>14</v>
      </c>
      <c r="D1212" s="2">
        <v>15356</v>
      </c>
      <c r="E1212" s="2">
        <v>731</v>
      </c>
      <c r="F1212" s="2">
        <f t="shared" si="60"/>
        <v>77</v>
      </c>
      <c r="G1212" s="2">
        <f t="shared" si="58"/>
        <v>13</v>
      </c>
      <c r="H1212" s="2">
        <f t="shared" si="59"/>
        <v>6339</v>
      </c>
      <c r="I1212" s="2">
        <v>394728</v>
      </c>
    </row>
    <row r="1213" spans="1:9" x14ac:dyDescent="0.2">
      <c r="B1213" s="3"/>
      <c r="C1213" s="3" t="s">
        <v>15</v>
      </c>
      <c r="D1213" s="2">
        <v>17774</v>
      </c>
      <c r="E1213" s="2">
        <v>1235</v>
      </c>
      <c r="F1213" s="2">
        <f t="shared" si="60"/>
        <v>185</v>
      </c>
      <c r="G1213" s="2">
        <f t="shared" si="58"/>
        <v>28</v>
      </c>
    </row>
    <row r="1214" spans="1:9" x14ac:dyDescent="0.2">
      <c r="B1214" s="3"/>
      <c r="C1214" s="3" t="s">
        <v>12</v>
      </c>
      <c r="D1214" s="2">
        <v>11432</v>
      </c>
      <c r="E1214" s="2">
        <v>669</v>
      </c>
      <c r="F1214" s="2">
        <f t="shared" si="60"/>
        <v>79</v>
      </c>
      <c r="G1214" s="2">
        <f t="shared" si="58"/>
        <v>25</v>
      </c>
    </row>
    <row r="1215" spans="1:9" x14ac:dyDescent="0.2">
      <c r="B1215" s="3"/>
      <c r="C1215" s="3" t="s">
        <v>33</v>
      </c>
      <c r="D1215" s="2">
        <v>7004</v>
      </c>
      <c r="E1215" s="2">
        <v>661</v>
      </c>
      <c r="F1215" s="2">
        <f t="shared" si="60"/>
        <v>52</v>
      </c>
      <c r="G1215" s="2">
        <f t="shared" si="58"/>
        <v>11</v>
      </c>
    </row>
    <row r="1216" spans="1:9" x14ac:dyDescent="0.2">
      <c r="B1216" s="3"/>
      <c r="C1216" s="3" t="s">
        <v>34</v>
      </c>
      <c r="D1216" s="2">
        <v>7818</v>
      </c>
      <c r="E1216" s="2">
        <v>457</v>
      </c>
      <c r="F1216" s="2">
        <f t="shared" si="60"/>
        <v>75</v>
      </c>
      <c r="G1216" s="2">
        <f t="shared" si="58"/>
        <v>13</v>
      </c>
    </row>
    <row r="1217" spans="1:9" x14ac:dyDescent="0.2">
      <c r="B1217" s="3" t="s">
        <v>23</v>
      </c>
      <c r="C1217" s="3" t="s">
        <v>24</v>
      </c>
      <c r="D1217" s="2">
        <v>18194</v>
      </c>
      <c r="E1217" s="2">
        <v>2105</v>
      </c>
      <c r="F1217" s="2">
        <f t="shared" si="60"/>
        <v>119</v>
      </c>
      <c r="G1217" s="2">
        <f t="shared" si="58"/>
        <v>8</v>
      </c>
      <c r="H1217" s="2">
        <f t="shared" si="59"/>
        <v>13270</v>
      </c>
      <c r="I1217" s="2">
        <f>SUM(47552+251396)</f>
        <v>298948</v>
      </c>
    </row>
    <row r="1218" spans="1:9" x14ac:dyDescent="0.2">
      <c r="B1218" s="3"/>
      <c r="C1218" s="3" t="s">
        <v>25</v>
      </c>
      <c r="D1218" s="2">
        <v>7752</v>
      </c>
      <c r="E1218" s="2">
        <v>849</v>
      </c>
      <c r="F1218" s="2">
        <f t="shared" si="60"/>
        <v>16</v>
      </c>
      <c r="G1218" s="2">
        <f t="shared" si="58"/>
        <v>6</v>
      </c>
    </row>
    <row r="1219" spans="1:9" x14ac:dyDescent="0.2">
      <c r="B1219" s="3"/>
      <c r="C1219" s="3" t="s">
        <v>28</v>
      </c>
      <c r="D1219" s="2">
        <v>6064</v>
      </c>
      <c r="E1219" s="2">
        <v>699</v>
      </c>
      <c r="F1219" s="2">
        <f t="shared" si="60"/>
        <v>22</v>
      </c>
      <c r="G1219" s="2">
        <f t="shared" si="58"/>
        <v>1</v>
      </c>
    </row>
    <row r="1220" spans="1:9" x14ac:dyDescent="0.2">
      <c r="B1220" s="3"/>
      <c r="C1220" s="3" t="s">
        <v>38</v>
      </c>
      <c r="D1220" s="2">
        <v>1765</v>
      </c>
      <c r="E1220" s="2">
        <v>224</v>
      </c>
      <c r="F1220" s="2">
        <f t="shared" si="60"/>
        <v>7</v>
      </c>
      <c r="G1220" s="2">
        <f t="shared" si="58"/>
        <v>0</v>
      </c>
    </row>
    <row r="1221" spans="1:9" x14ac:dyDescent="0.2">
      <c r="B1221" s="3"/>
      <c r="C1221" s="3" t="s">
        <v>39</v>
      </c>
      <c r="D1221" s="2">
        <v>1192</v>
      </c>
      <c r="E1221" s="2">
        <v>81</v>
      </c>
      <c r="F1221" s="2">
        <f t="shared" si="60"/>
        <v>10</v>
      </c>
      <c r="G1221" s="2">
        <f t="shared" si="58"/>
        <v>0</v>
      </c>
    </row>
    <row r="1222" spans="1:9" x14ac:dyDescent="0.2">
      <c r="B1222" s="3" t="s">
        <v>16</v>
      </c>
      <c r="C1222" s="3" t="s">
        <v>17</v>
      </c>
      <c r="D1222" s="2">
        <v>15008</v>
      </c>
      <c r="F1222" s="2">
        <f t="shared" si="60"/>
        <v>125</v>
      </c>
      <c r="H1222" s="2">
        <f t="shared" si="59"/>
        <v>4475</v>
      </c>
      <c r="I1222" s="2">
        <f>SUM(57154+231704)</f>
        <v>288858</v>
      </c>
    </row>
    <row r="1223" spans="1:9" x14ac:dyDescent="0.2">
      <c r="B1223" s="3"/>
      <c r="C1223" s="3" t="s">
        <v>18</v>
      </c>
      <c r="D1223" s="2">
        <v>5292</v>
      </c>
      <c r="E1223" s="2">
        <v>525</v>
      </c>
      <c r="F1223" s="2">
        <f t="shared" si="60"/>
        <v>32</v>
      </c>
      <c r="G1223" s="2">
        <f t="shared" si="58"/>
        <v>0</v>
      </c>
    </row>
    <row r="1224" spans="1:9" x14ac:dyDescent="0.2">
      <c r="B1224" s="3"/>
      <c r="C1224" s="3" t="s">
        <v>19</v>
      </c>
      <c r="D1224" s="2">
        <v>5046</v>
      </c>
      <c r="E1224" s="2">
        <v>399</v>
      </c>
      <c r="F1224" s="2">
        <f t="shared" si="60"/>
        <v>70</v>
      </c>
      <c r="G1224" s="2">
        <f t="shared" si="58"/>
        <v>4</v>
      </c>
    </row>
    <row r="1225" spans="1:9" x14ac:dyDescent="0.2">
      <c r="B1225" s="3"/>
      <c r="C1225" s="3" t="s">
        <v>40</v>
      </c>
      <c r="D1225" s="2">
        <v>3259</v>
      </c>
      <c r="E1225" s="2">
        <v>121</v>
      </c>
      <c r="F1225" s="2">
        <f t="shared" si="60"/>
        <v>18</v>
      </c>
      <c r="G1225" s="2">
        <f t="shared" si="58"/>
        <v>0</v>
      </c>
    </row>
    <row r="1226" spans="1:9" x14ac:dyDescent="0.2">
      <c r="B1226" s="3"/>
      <c r="C1226" s="3" t="s">
        <v>41</v>
      </c>
      <c r="D1226" s="2">
        <v>3417</v>
      </c>
      <c r="E1226" s="2">
        <v>171</v>
      </c>
      <c r="F1226" s="2">
        <f t="shared" si="60"/>
        <v>46</v>
      </c>
      <c r="G1226" s="2">
        <f t="shared" si="58"/>
        <v>1</v>
      </c>
    </row>
    <row r="1227" spans="1:9" x14ac:dyDescent="0.2">
      <c r="B1227" s="3" t="s">
        <v>20</v>
      </c>
      <c r="C1227" s="3" t="s">
        <v>22</v>
      </c>
      <c r="D1227" s="2">
        <v>32279</v>
      </c>
      <c r="E1227" s="2">
        <v>1569</v>
      </c>
      <c r="F1227" s="2">
        <f t="shared" si="60"/>
        <v>568</v>
      </c>
      <c r="G1227" s="2">
        <f t="shared" si="58"/>
        <v>39</v>
      </c>
      <c r="H1227" s="2">
        <f t="shared" si="59"/>
        <v>41473</v>
      </c>
      <c r="I1227" s="2">
        <v>1033370</v>
      </c>
    </row>
    <row r="1228" spans="1:9" x14ac:dyDescent="0.2">
      <c r="B1228" s="3"/>
      <c r="C1228" s="3" t="s">
        <v>26</v>
      </c>
      <c r="D1228" s="2">
        <v>5067</v>
      </c>
      <c r="E1228" s="2">
        <v>204</v>
      </c>
      <c r="F1228" s="2">
        <f t="shared" si="60"/>
        <v>139</v>
      </c>
      <c r="G1228" s="2">
        <f t="shared" si="58"/>
        <v>10</v>
      </c>
    </row>
    <row r="1229" spans="1:9" x14ac:dyDescent="0.2">
      <c r="B1229" s="3"/>
      <c r="C1229" s="3" t="s">
        <v>27</v>
      </c>
      <c r="D1229" s="2">
        <v>5082</v>
      </c>
      <c r="E1229" s="2">
        <v>228</v>
      </c>
      <c r="F1229" s="2">
        <f t="shared" si="60"/>
        <v>131</v>
      </c>
      <c r="G1229" s="2">
        <f t="shared" si="58"/>
        <v>13</v>
      </c>
    </row>
    <row r="1230" spans="1:9" x14ac:dyDescent="0.2">
      <c r="C1230" s="3" t="s">
        <v>42</v>
      </c>
      <c r="D1230" s="2">
        <v>2340</v>
      </c>
      <c r="E1230" s="2">
        <v>133</v>
      </c>
      <c r="F1230" s="2">
        <f t="shared" si="60"/>
        <v>9</v>
      </c>
      <c r="G1230" s="2">
        <f t="shared" si="58"/>
        <v>3</v>
      </c>
    </row>
    <row r="1231" spans="1:9" x14ac:dyDescent="0.2">
      <c r="C1231" s="3" t="s">
        <v>43</v>
      </c>
      <c r="D1231" s="2">
        <v>3699</v>
      </c>
      <c r="E1231" s="2">
        <v>78</v>
      </c>
      <c r="F1231" s="2">
        <f t="shared" si="60"/>
        <v>72</v>
      </c>
      <c r="G1231" s="2">
        <f t="shared" si="58"/>
        <v>2</v>
      </c>
    </row>
    <row r="1232" spans="1:9" x14ac:dyDescent="0.2">
      <c r="A1232" s="1">
        <v>43963</v>
      </c>
      <c r="B1232" s="3" t="s">
        <v>5</v>
      </c>
      <c r="C1232" s="3" t="s">
        <v>6</v>
      </c>
      <c r="D1232" s="2">
        <v>57391</v>
      </c>
      <c r="E1232" s="2">
        <v>3746</v>
      </c>
      <c r="F1232" s="2">
        <f t="shared" si="60"/>
        <v>211</v>
      </c>
      <c r="G1232" s="2">
        <f t="shared" si="58"/>
        <v>22</v>
      </c>
      <c r="H1232" s="2">
        <f t="shared" si="59"/>
        <v>20463</v>
      </c>
      <c r="I1232" s="2">
        <v>1225113</v>
      </c>
    </row>
    <row r="1233" spans="2:9" x14ac:dyDescent="0.2">
      <c r="B1233" s="3"/>
      <c r="C1233" s="3" t="s">
        <v>7</v>
      </c>
      <c r="D1233" s="2">
        <v>50331</v>
      </c>
      <c r="E1233" s="2">
        <v>4132</v>
      </c>
      <c r="F1233" s="2">
        <f t="shared" si="60"/>
        <v>259</v>
      </c>
      <c r="G1233" s="2">
        <f t="shared" si="58"/>
        <v>24</v>
      </c>
    </row>
    <row r="1234" spans="2:9" x14ac:dyDescent="0.2">
      <c r="B1234" s="3"/>
      <c r="C1234" s="3" t="s">
        <v>8</v>
      </c>
      <c r="D1234" s="2">
        <v>38434</v>
      </c>
      <c r="E1234" s="2">
        <v>2453</v>
      </c>
      <c r="F1234" s="2">
        <f t="shared" si="60"/>
        <v>97</v>
      </c>
      <c r="G1234" s="2">
        <f t="shared" si="58"/>
        <v>28</v>
      </c>
    </row>
    <row r="1235" spans="2:9" x14ac:dyDescent="0.2">
      <c r="B1235" s="3"/>
      <c r="C1235" s="3" t="s">
        <v>35</v>
      </c>
      <c r="D1235" s="2">
        <v>41441</v>
      </c>
      <c r="E1235" s="2">
        <v>2777</v>
      </c>
      <c r="G1235" s="2">
        <f t="shared" si="58"/>
        <v>19</v>
      </c>
    </row>
    <row r="1236" spans="2:9" x14ac:dyDescent="0.2">
      <c r="B1236" s="3"/>
      <c r="C1236" s="3" t="s">
        <v>14</v>
      </c>
      <c r="D1236" s="2">
        <v>37062</v>
      </c>
      <c r="E1236" s="2">
        <v>1704</v>
      </c>
      <c r="F1236" s="2">
        <f t="shared" si="60"/>
        <v>151</v>
      </c>
      <c r="G1236" s="2">
        <f t="shared" si="58"/>
        <v>15</v>
      </c>
    </row>
    <row r="1237" spans="2:9" x14ac:dyDescent="0.2">
      <c r="B1237" s="3" t="s">
        <v>9</v>
      </c>
      <c r="C1237" s="3" t="s">
        <v>10</v>
      </c>
      <c r="D1237" s="2">
        <v>17091</v>
      </c>
      <c r="E1237" s="2">
        <v>1388</v>
      </c>
      <c r="F1237" s="2">
        <f t="shared" si="60"/>
        <v>63</v>
      </c>
      <c r="G1237" s="2">
        <f t="shared" si="58"/>
        <v>30</v>
      </c>
      <c r="H1237" s="2">
        <f t="shared" si="59"/>
        <v>7127</v>
      </c>
      <c r="I1237" s="2">
        <f>SUM(140743+292317)</f>
        <v>433060</v>
      </c>
    </row>
    <row r="1238" spans="2:9" x14ac:dyDescent="0.2">
      <c r="B1238" s="3"/>
      <c r="C1238" s="3" t="s">
        <v>11</v>
      </c>
      <c r="D1238" s="2">
        <v>16975</v>
      </c>
      <c r="E1238" s="2">
        <v>981</v>
      </c>
      <c r="F1238" s="2">
        <f t="shared" si="60"/>
        <v>39</v>
      </c>
      <c r="G1238" s="2">
        <f t="shared" si="58"/>
        <v>10</v>
      </c>
      <c r="H1238"/>
      <c r="I1238"/>
    </row>
    <row r="1239" spans="2:9" x14ac:dyDescent="0.2">
      <c r="B1239" s="3"/>
      <c r="C1239" s="3" t="s">
        <v>12</v>
      </c>
      <c r="D1239" s="2">
        <v>15685</v>
      </c>
      <c r="E1239" s="2">
        <v>1444</v>
      </c>
      <c r="F1239" s="2">
        <f t="shared" si="60"/>
        <v>83</v>
      </c>
      <c r="G1239" s="2">
        <f t="shared" si="58"/>
        <v>18</v>
      </c>
      <c r="H1239"/>
      <c r="I1239"/>
    </row>
    <row r="1240" spans="2:9" x14ac:dyDescent="0.2">
      <c r="B1240" s="3"/>
      <c r="C1240" s="3" t="s">
        <v>36</v>
      </c>
      <c r="D1240" s="2">
        <v>14203</v>
      </c>
      <c r="E1240" s="2">
        <v>899</v>
      </c>
      <c r="F1240" s="2">
        <f t="shared" si="60"/>
        <v>39</v>
      </c>
      <c r="G1240" s="2">
        <f t="shared" si="58"/>
        <v>24</v>
      </c>
      <c r="H1240"/>
      <c r="I1240"/>
    </row>
    <row r="1241" spans="2:9" x14ac:dyDescent="0.2">
      <c r="B1241" s="3"/>
      <c r="C1241" s="3" t="s">
        <v>37</v>
      </c>
      <c r="D1241" s="2">
        <v>14716</v>
      </c>
      <c r="E1241" s="2">
        <v>765</v>
      </c>
      <c r="F1241" s="2">
        <f t="shared" si="60"/>
        <v>71</v>
      </c>
      <c r="G1241" s="2">
        <f t="shared" si="58"/>
        <v>18</v>
      </c>
      <c r="H1241"/>
      <c r="I1241"/>
    </row>
    <row r="1242" spans="2:9" x14ac:dyDescent="0.2">
      <c r="B1242" s="3" t="s">
        <v>13</v>
      </c>
      <c r="C1242" s="3" t="s">
        <v>14</v>
      </c>
      <c r="D1242" s="2">
        <v>15454</v>
      </c>
      <c r="E1242" s="2">
        <v>732</v>
      </c>
      <c r="F1242" s="2">
        <f t="shared" si="60"/>
        <v>98</v>
      </c>
      <c r="G1242" s="2">
        <f t="shared" si="58"/>
        <v>1</v>
      </c>
      <c r="H1242" s="2">
        <f t="shared" si="59"/>
        <v>6768</v>
      </c>
      <c r="I1242" s="2">
        <v>401496</v>
      </c>
    </row>
    <row r="1243" spans="2:9" x14ac:dyDescent="0.2">
      <c r="B1243" s="3"/>
      <c r="C1243" s="3" t="s">
        <v>15</v>
      </c>
      <c r="D1243" s="2">
        <v>17953</v>
      </c>
      <c r="E1243" s="2">
        <v>1244</v>
      </c>
      <c r="F1243" s="2">
        <f t="shared" si="60"/>
        <v>179</v>
      </c>
      <c r="G1243" s="2">
        <f t="shared" si="58"/>
        <v>9</v>
      </c>
      <c r="H1243"/>
      <c r="I1243"/>
    </row>
    <row r="1244" spans="2:9" x14ac:dyDescent="0.2">
      <c r="B1244" s="3"/>
      <c r="C1244" s="3" t="s">
        <v>12</v>
      </c>
      <c r="D1244" s="2">
        <v>11572</v>
      </c>
      <c r="E1244" s="2">
        <v>678</v>
      </c>
      <c r="F1244" s="2">
        <f t="shared" si="60"/>
        <v>140</v>
      </c>
      <c r="G1244" s="2">
        <f t="shared" si="58"/>
        <v>9</v>
      </c>
      <c r="H1244"/>
      <c r="I1244"/>
    </row>
    <row r="1245" spans="2:9" x14ac:dyDescent="0.2">
      <c r="B1245" s="3"/>
      <c r="C1245" s="3" t="s">
        <v>33</v>
      </c>
      <c r="D1245" s="2">
        <v>7046</v>
      </c>
      <c r="E1245" s="2">
        <v>663</v>
      </c>
      <c r="F1245" s="2">
        <f t="shared" si="60"/>
        <v>42</v>
      </c>
      <c r="G1245" s="2">
        <f t="shared" si="58"/>
        <v>2</v>
      </c>
      <c r="H1245"/>
      <c r="I1245"/>
    </row>
    <row r="1246" spans="2:9" x14ac:dyDescent="0.2">
      <c r="B1246" s="3"/>
      <c r="C1246" s="3" t="s">
        <v>34</v>
      </c>
      <c r="D1246" s="2">
        <v>7959</v>
      </c>
      <c r="E1246" s="2">
        <v>459</v>
      </c>
      <c r="F1246" s="2">
        <f t="shared" si="60"/>
        <v>141</v>
      </c>
      <c r="G1246" s="2">
        <f t="shared" si="58"/>
        <v>2</v>
      </c>
      <c r="H1246"/>
      <c r="I1246"/>
    </row>
    <row r="1247" spans="2:9" x14ac:dyDescent="0.2">
      <c r="B1247" s="3" t="s">
        <v>23</v>
      </c>
      <c r="C1247" s="3" t="s">
        <v>24</v>
      </c>
      <c r="D1247" s="2">
        <v>18274</v>
      </c>
      <c r="E1247" s="2">
        <v>2140</v>
      </c>
      <c r="F1247" s="2">
        <f t="shared" si="60"/>
        <v>80</v>
      </c>
      <c r="G1247" s="2">
        <f t="shared" si="58"/>
        <v>35</v>
      </c>
      <c r="H1247" s="2">
        <f t="shared" si="59"/>
        <v>8942</v>
      </c>
      <c r="I1247" s="2">
        <f>SUM(48021+259869)</f>
        <v>307890</v>
      </c>
    </row>
    <row r="1248" spans="2:9" x14ac:dyDescent="0.2">
      <c r="B1248" s="3"/>
      <c r="C1248" s="3" t="s">
        <v>25</v>
      </c>
      <c r="D1248" s="2">
        <v>7784</v>
      </c>
      <c r="E1248" s="2">
        <v>872</v>
      </c>
      <c r="F1248" s="2">
        <f t="shared" si="60"/>
        <v>32</v>
      </c>
      <c r="G1248" s="2">
        <f t="shared" si="58"/>
        <v>23</v>
      </c>
      <c r="H1248"/>
      <c r="I1248"/>
    </row>
    <row r="1249" spans="1:9" x14ac:dyDescent="0.2">
      <c r="B1249" s="3"/>
      <c r="C1249" s="3" t="s">
        <v>28</v>
      </c>
      <c r="D1249" s="2">
        <v>6097</v>
      </c>
      <c r="E1249" s="2">
        <v>710</v>
      </c>
      <c r="F1249" s="2">
        <f t="shared" si="60"/>
        <v>33</v>
      </c>
      <c r="G1249" s="2">
        <f t="shared" ref="G1249:G1312" si="61">SUM(E1249-E1219)</f>
        <v>11</v>
      </c>
      <c r="H1249"/>
      <c r="I1249"/>
    </row>
    <row r="1250" spans="1:9" x14ac:dyDescent="0.2">
      <c r="B1250" s="3"/>
      <c r="C1250" s="3" t="s">
        <v>38</v>
      </c>
      <c r="D1250" s="2">
        <v>1782</v>
      </c>
      <c r="E1250" s="2">
        <v>225</v>
      </c>
      <c r="F1250" s="2">
        <f t="shared" si="60"/>
        <v>17</v>
      </c>
      <c r="G1250" s="2">
        <f t="shared" si="61"/>
        <v>1</v>
      </c>
      <c r="H1250"/>
      <c r="I1250"/>
    </row>
    <row r="1251" spans="1:9" x14ac:dyDescent="0.2">
      <c r="B1251" s="3"/>
      <c r="C1251" s="3" t="s">
        <v>39</v>
      </c>
      <c r="D1251" s="2">
        <v>1206</v>
      </c>
      <c r="E1251" s="2">
        <v>82</v>
      </c>
      <c r="F1251" s="2">
        <f t="shared" si="60"/>
        <v>14</v>
      </c>
      <c r="G1251" s="2">
        <f t="shared" si="61"/>
        <v>1</v>
      </c>
      <c r="H1251"/>
      <c r="I1251"/>
    </row>
    <row r="1252" spans="1:9" x14ac:dyDescent="0.2">
      <c r="B1252" s="3" t="s">
        <v>16</v>
      </c>
      <c r="C1252" s="3" t="s">
        <v>17</v>
      </c>
      <c r="D1252" s="2">
        <v>15218</v>
      </c>
      <c r="E1252" s="2">
        <v>908</v>
      </c>
      <c r="F1252" s="2">
        <f t="shared" si="60"/>
        <v>210</v>
      </c>
      <c r="H1252" s="2">
        <f t="shared" ref="H1252:H1312" si="62">SUM(I1252-I1222)</f>
        <v>7122</v>
      </c>
      <c r="I1252" s="2">
        <f>SUM(57991+237989)</f>
        <v>295980</v>
      </c>
    </row>
    <row r="1253" spans="1:9" x14ac:dyDescent="0.2">
      <c r="B1253" s="3"/>
      <c r="C1253" s="3" t="s">
        <v>18</v>
      </c>
      <c r="D1253" s="2">
        <v>5442</v>
      </c>
      <c r="E1253" s="2">
        <v>534</v>
      </c>
      <c r="F1253" s="2">
        <f t="shared" si="60"/>
        <v>150</v>
      </c>
      <c r="G1253" s="2">
        <f t="shared" si="61"/>
        <v>9</v>
      </c>
      <c r="H1253"/>
      <c r="I1253"/>
    </row>
    <row r="1254" spans="1:9" x14ac:dyDescent="0.2">
      <c r="B1254" s="3"/>
      <c r="C1254" s="3" t="s">
        <v>19</v>
      </c>
      <c r="D1254" s="2">
        <v>5084</v>
      </c>
      <c r="E1254" s="2">
        <v>405</v>
      </c>
      <c r="F1254" s="2">
        <f t="shared" si="60"/>
        <v>38</v>
      </c>
      <c r="G1254" s="2">
        <f t="shared" si="61"/>
        <v>6</v>
      </c>
      <c r="H1254"/>
      <c r="I1254"/>
    </row>
    <row r="1255" spans="1:9" x14ac:dyDescent="0.2">
      <c r="B1255" s="3"/>
      <c r="C1255" s="3" t="s">
        <v>40</v>
      </c>
      <c r="D1255" s="2">
        <v>3286</v>
      </c>
      <c r="E1255" s="2">
        <v>123</v>
      </c>
      <c r="F1255" s="2">
        <f t="shared" si="60"/>
        <v>27</v>
      </c>
      <c r="G1255" s="2">
        <f t="shared" si="61"/>
        <v>2</v>
      </c>
      <c r="H1255"/>
      <c r="I1255"/>
    </row>
    <row r="1256" spans="1:9" x14ac:dyDescent="0.2">
      <c r="B1256" s="3"/>
      <c r="C1256" s="3" t="s">
        <v>41</v>
      </c>
      <c r="D1256" s="2">
        <v>3453</v>
      </c>
      <c r="E1256" s="2">
        <v>172</v>
      </c>
      <c r="F1256" s="2">
        <f t="shared" si="60"/>
        <v>36</v>
      </c>
      <c r="G1256" s="2">
        <f t="shared" si="61"/>
        <v>1</v>
      </c>
      <c r="H1256"/>
      <c r="I1256"/>
    </row>
    <row r="1257" spans="1:9" x14ac:dyDescent="0.2">
      <c r="B1257" s="3" t="s">
        <v>20</v>
      </c>
      <c r="C1257" s="3" t="s">
        <v>22</v>
      </c>
      <c r="D1257" s="2">
        <v>33281</v>
      </c>
      <c r="E1257" s="2">
        <v>1613</v>
      </c>
      <c r="F1257" s="2">
        <f t="shared" si="60"/>
        <v>1002</v>
      </c>
      <c r="G1257" s="2">
        <f t="shared" si="61"/>
        <v>44</v>
      </c>
      <c r="H1257" s="2">
        <f t="shared" si="62"/>
        <v>32222</v>
      </c>
      <c r="I1257" s="2">
        <v>1065592</v>
      </c>
    </row>
    <row r="1258" spans="1:9" x14ac:dyDescent="0.2">
      <c r="B1258" s="3"/>
      <c r="C1258" s="3" t="s">
        <v>26</v>
      </c>
      <c r="D1258" s="2">
        <v>5163</v>
      </c>
      <c r="E1258" s="2">
        <v>217</v>
      </c>
      <c r="F1258" s="2">
        <f t="shared" si="60"/>
        <v>96</v>
      </c>
      <c r="G1258" s="2">
        <f t="shared" si="61"/>
        <v>13</v>
      </c>
      <c r="H1258"/>
      <c r="I1258"/>
    </row>
    <row r="1259" spans="1:9" x14ac:dyDescent="0.2">
      <c r="B1259" s="3"/>
      <c r="C1259" s="3" t="s">
        <v>27</v>
      </c>
      <c r="D1259" s="2">
        <v>5134</v>
      </c>
      <c r="E1259" s="2">
        <v>238</v>
      </c>
      <c r="F1259" s="2">
        <f t="shared" si="60"/>
        <v>52</v>
      </c>
      <c r="G1259" s="2">
        <f t="shared" si="61"/>
        <v>10</v>
      </c>
      <c r="H1259"/>
      <c r="I1259"/>
    </row>
    <row r="1260" spans="1:9" x14ac:dyDescent="0.2">
      <c r="C1260" s="3" t="s">
        <v>42</v>
      </c>
      <c r="D1260" s="2">
        <v>2362</v>
      </c>
      <c r="E1260" s="2">
        <v>133</v>
      </c>
      <c r="F1260" s="2">
        <f t="shared" si="60"/>
        <v>22</v>
      </c>
      <c r="G1260" s="2">
        <f t="shared" si="61"/>
        <v>0</v>
      </c>
      <c r="H1260"/>
      <c r="I1260"/>
    </row>
    <row r="1261" spans="1:9" x14ac:dyDescent="0.2">
      <c r="C1261" s="3" t="s">
        <v>43</v>
      </c>
      <c r="D1261" s="2">
        <v>3843</v>
      </c>
      <c r="E1261" s="2">
        <v>78</v>
      </c>
      <c r="F1261" s="2">
        <f t="shared" si="60"/>
        <v>144</v>
      </c>
      <c r="G1261" s="2">
        <f t="shared" si="61"/>
        <v>0</v>
      </c>
      <c r="H1261"/>
      <c r="I1261"/>
    </row>
    <row r="1262" spans="1:9" x14ac:dyDescent="0.2">
      <c r="A1262" s="1">
        <v>43964</v>
      </c>
      <c r="B1262" s="3" t="s">
        <v>5</v>
      </c>
      <c r="C1262" s="3" t="s">
        <v>6</v>
      </c>
      <c r="D1262" s="2">
        <v>57748</v>
      </c>
      <c r="E1262" s="2">
        <v>3762</v>
      </c>
      <c r="F1262" s="2">
        <f t="shared" si="60"/>
        <v>357</v>
      </c>
      <c r="G1262" s="2">
        <f t="shared" si="61"/>
        <v>16</v>
      </c>
      <c r="H1262" s="2">
        <f t="shared" si="62"/>
        <v>33794</v>
      </c>
      <c r="I1262" s="2">
        <v>1258907</v>
      </c>
    </row>
    <row r="1263" spans="1:9" x14ac:dyDescent="0.2">
      <c r="B1263" s="3"/>
      <c r="C1263" s="3" t="s">
        <v>7</v>
      </c>
      <c r="D1263" s="2">
        <v>50667</v>
      </c>
      <c r="E1263" s="2">
        <v>4155</v>
      </c>
      <c r="F1263" s="2">
        <f t="shared" ref="F1263:F1326" si="63">SUM(D1263-D1233)</f>
        <v>336</v>
      </c>
      <c r="G1263" s="2">
        <f t="shared" si="61"/>
        <v>23</v>
      </c>
      <c r="H1263"/>
      <c r="I1263"/>
    </row>
    <row r="1264" spans="1:9" x14ac:dyDescent="0.2">
      <c r="B1264" s="3"/>
      <c r="C1264" s="3" t="s">
        <v>8</v>
      </c>
      <c r="D1264" s="2">
        <v>38587</v>
      </c>
      <c r="E1264" s="2">
        <v>2468</v>
      </c>
      <c r="F1264" s="2">
        <f t="shared" si="63"/>
        <v>153</v>
      </c>
      <c r="G1264" s="2">
        <f t="shared" si="61"/>
        <v>15</v>
      </c>
      <c r="H1264"/>
      <c r="I1264"/>
    </row>
    <row r="1265" spans="2:9" x14ac:dyDescent="0.2">
      <c r="B1265" s="3"/>
      <c r="C1265" s="3" t="s">
        <v>35</v>
      </c>
      <c r="D1265" s="2">
        <v>41677</v>
      </c>
      <c r="E1265" s="2">
        <v>2797</v>
      </c>
      <c r="F1265" s="2">
        <f t="shared" si="63"/>
        <v>236</v>
      </c>
      <c r="G1265" s="2">
        <f t="shared" si="61"/>
        <v>20</v>
      </c>
      <c r="H1265"/>
      <c r="I1265"/>
    </row>
    <row r="1266" spans="2:9" x14ac:dyDescent="0.2">
      <c r="B1266" s="3"/>
      <c r="C1266" s="3" t="s">
        <v>14</v>
      </c>
      <c r="D1266" s="2">
        <v>37305</v>
      </c>
      <c r="E1266" s="2">
        <v>1729</v>
      </c>
      <c r="F1266" s="2">
        <f t="shared" si="63"/>
        <v>243</v>
      </c>
      <c r="G1266" s="2">
        <f t="shared" si="61"/>
        <v>25</v>
      </c>
      <c r="H1266"/>
      <c r="I1266"/>
    </row>
    <row r="1267" spans="2:9" x14ac:dyDescent="0.2">
      <c r="B1267" s="3" t="s">
        <v>9</v>
      </c>
      <c r="C1267" s="3" t="s">
        <v>10</v>
      </c>
      <c r="D1267" s="2">
        <v>17150</v>
      </c>
      <c r="E1267" s="2">
        <v>1409</v>
      </c>
      <c r="F1267" s="2">
        <f t="shared" si="63"/>
        <v>59</v>
      </c>
      <c r="G1267" s="2">
        <f t="shared" si="61"/>
        <v>21</v>
      </c>
      <c r="H1267" s="2">
        <f t="shared" si="62"/>
        <v>8390</v>
      </c>
      <c r="I1267" s="2">
        <f>SUM(141560+299890)</f>
        <v>441450</v>
      </c>
    </row>
    <row r="1268" spans="2:9" x14ac:dyDescent="0.2">
      <c r="B1268" s="3"/>
      <c r="C1268" s="3" t="s">
        <v>11</v>
      </c>
      <c r="D1268" s="2">
        <v>17035</v>
      </c>
      <c r="E1268" s="2">
        <v>1007</v>
      </c>
      <c r="F1268" s="2">
        <f t="shared" si="63"/>
        <v>60</v>
      </c>
      <c r="G1268" s="2">
        <f t="shared" si="61"/>
        <v>26</v>
      </c>
      <c r="H1268"/>
      <c r="I1268"/>
    </row>
    <row r="1269" spans="2:9" x14ac:dyDescent="0.2">
      <c r="B1269" s="3"/>
      <c r="C1269" s="3" t="s">
        <v>12</v>
      </c>
      <c r="D1269" s="2">
        <v>15749</v>
      </c>
      <c r="E1269" s="2">
        <v>1471</v>
      </c>
      <c r="F1269" s="2">
        <f t="shared" si="63"/>
        <v>64</v>
      </c>
      <c r="G1269" s="2">
        <f t="shared" si="61"/>
        <v>27</v>
      </c>
      <c r="H1269"/>
      <c r="I1269"/>
    </row>
    <row r="1270" spans="2:9" x14ac:dyDescent="0.2">
      <c r="B1270" s="3"/>
      <c r="C1270" s="3" t="s">
        <v>36</v>
      </c>
      <c r="D1270" s="2">
        <v>14306</v>
      </c>
      <c r="E1270" s="2">
        <v>908</v>
      </c>
      <c r="F1270" s="2">
        <f t="shared" si="63"/>
        <v>103</v>
      </c>
      <c r="G1270" s="2">
        <f t="shared" si="61"/>
        <v>9</v>
      </c>
      <c r="H1270"/>
      <c r="I1270"/>
    </row>
    <row r="1271" spans="2:9" x14ac:dyDescent="0.2">
      <c r="B1271" s="3"/>
      <c r="C1271" s="3" t="s">
        <v>37</v>
      </c>
      <c r="D1271" s="2">
        <v>14757</v>
      </c>
      <c r="E1271" s="2">
        <v>785</v>
      </c>
      <c r="F1271" s="2">
        <f t="shared" si="63"/>
        <v>41</v>
      </c>
      <c r="G1271" s="2">
        <f t="shared" si="61"/>
        <v>20</v>
      </c>
      <c r="H1271"/>
      <c r="I1271"/>
    </row>
    <row r="1272" spans="2:9" x14ac:dyDescent="0.2">
      <c r="B1272" s="3" t="s">
        <v>13</v>
      </c>
      <c r="C1272" s="3" t="s">
        <v>14</v>
      </c>
      <c r="D1272" s="2">
        <v>15587</v>
      </c>
      <c r="E1272" s="2">
        <v>749</v>
      </c>
      <c r="F1272" s="2">
        <f t="shared" si="63"/>
        <v>133</v>
      </c>
      <c r="G1272" s="2">
        <f t="shared" si="61"/>
        <v>17</v>
      </c>
      <c r="H1272" s="2">
        <f t="shared" si="62"/>
        <v>8536</v>
      </c>
      <c r="I1272" s="2">
        <v>410032</v>
      </c>
    </row>
    <row r="1273" spans="2:9" x14ac:dyDescent="0.2">
      <c r="B1273" s="3"/>
      <c r="C1273" s="3" t="s">
        <v>15</v>
      </c>
      <c r="D1273" s="2">
        <v>18201</v>
      </c>
      <c r="E1273" s="2">
        <v>1282</v>
      </c>
      <c r="F1273" s="2">
        <f t="shared" si="63"/>
        <v>248</v>
      </c>
      <c r="G1273" s="2">
        <f t="shared" si="61"/>
        <v>38</v>
      </c>
      <c r="H1273"/>
      <c r="I1273"/>
    </row>
    <row r="1274" spans="2:9" x14ac:dyDescent="0.2">
      <c r="B1274" s="3"/>
      <c r="C1274" s="3" t="s">
        <v>12</v>
      </c>
      <c r="D1274" s="2">
        <v>11703</v>
      </c>
      <c r="E1274" s="2">
        <v>704</v>
      </c>
      <c r="F1274" s="2">
        <f t="shared" si="63"/>
        <v>131</v>
      </c>
      <c r="G1274" s="2">
        <f t="shared" si="61"/>
        <v>26</v>
      </c>
      <c r="H1274"/>
      <c r="I1274"/>
    </row>
    <row r="1275" spans="2:9" x14ac:dyDescent="0.2">
      <c r="B1275" s="3"/>
      <c r="C1275" s="3" t="s">
        <v>33</v>
      </c>
      <c r="D1275" s="2">
        <v>7129</v>
      </c>
      <c r="E1275" s="2">
        <v>676</v>
      </c>
      <c r="F1275" s="2">
        <f t="shared" si="63"/>
        <v>83</v>
      </c>
      <c r="G1275" s="2">
        <f t="shared" si="61"/>
        <v>13</v>
      </c>
      <c r="H1275"/>
      <c r="I1275"/>
    </row>
    <row r="1276" spans="2:9" x14ac:dyDescent="0.2">
      <c r="B1276" s="3"/>
      <c r="C1276" s="3" t="s">
        <v>34</v>
      </c>
      <c r="D1276" s="2">
        <v>8241</v>
      </c>
      <c r="E1276" s="2">
        <v>489</v>
      </c>
      <c r="F1276" s="2">
        <f t="shared" si="63"/>
        <v>282</v>
      </c>
      <c r="G1276" s="2">
        <f t="shared" si="61"/>
        <v>30</v>
      </c>
      <c r="H1276"/>
      <c r="I1276"/>
    </row>
    <row r="1277" spans="2:9" x14ac:dyDescent="0.2">
      <c r="B1277" s="3" t="s">
        <v>23</v>
      </c>
      <c r="C1277" s="3" t="s">
        <v>24</v>
      </c>
      <c r="D1277" s="2">
        <v>18389</v>
      </c>
      <c r="E1277" s="2">
        <v>2156</v>
      </c>
      <c r="F1277" s="2">
        <f t="shared" si="63"/>
        <v>115</v>
      </c>
      <c r="G1277" s="2">
        <f t="shared" si="61"/>
        <v>16</v>
      </c>
      <c r="H1277" s="2">
        <f t="shared" si="62"/>
        <v>370</v>
      </c>
      <c r="I1277" s="2">
        <f>SUM(48391+259869)</f>
        <v>308260</v>
      </c>
    </row>
    <row r="1278" spans="2:9" x14ac:dyDescent="0.2">
      <c r="B1278" s="3"/>
      <c r="C1278" s="3" t="s">
        <v>25</v>
      </c>
      <c r="D1278" s="2">
        <v>7830</v>
      </c>
      <c r="E1278" s="2">
        <v>874</v>
      </c>
      <c r="F1278" s="2">
        <f t="shared" si="63"/>
        <v>46</v>
      </c>
      <c r="G1278" s="2">
        <f t="shared" si="61"/>
        <v>2</v>
      </c>
      <c r="H1278"/>
      <c r="I1278"/>
    </row>
    <row r="1279" spans="2:9" x14ac:dyDescent="0.2">
      <c r="B1279" s="3"/>
      <c r="C1279" s="3" t="s">
        <v>28</v>
      </c>
      <c r="D1279" s="2">
        <v>6137</v>
      </c>
      <c r="E1279" s="2">
        <v>717</v>
      </c>
      <c r="F1279" s="2">
        <f t="shared" si="63"/>
        <v>40</v>
      </c>
      <c r="G1279" s="2">
        <f t="shared" si="61"/>
        <v>7</v>
      </c>
      <c r="H1279"/>
      <c r="I1279"/>
    </row>
    <row r="1280" spans="2:9" x14ac:dyDescent="0.2">
      <c r="B1280" s="3"/>
      <c r="C1280" s="3" t="s">
        <v>38</v>
      </c>
      <c r="D1280" s="2">
        <v>1784</v>
      </c>
      <c r="E1280" s="2">
        <v>227</v>
      </c>
      <c r="F1280" s="2">
        <f t="shared" si="63"/>
        <v>2</v>
      </c>
      <c r="G1280" s="2">
        <f t="shared" si="61"/>
        <v>2</v>
      </c>
      <c r="H1280"/>
      <c r="I1280"/>
    </row>
    <row r="1281" spans="1:9" x14ac:dyDescent="0.2">
      <c r="B1281" s="3"/>
      <c r="C1281" s="3" t="s">
        <v>39</v>
      </c>
      <c r="D1281" s="2">
        <v>1210</v>
      </c>
      <c r="E1281" s="2">
        <v>83</v>
      </c>
      <c r="F1281" s="2">
        <f t="shared" si="63"/>
        <v>4</v>
      </c>
      <c r="G1281" s="2">
        <f t="shared" si="61"/>
        <v>1</v>
      </c>
      <c r="H1281"/>
      <c r="I1281"/>
    </row>
    <row r="1282" spans="1:9" x14ac:dyDescent="0.2">
      <c r="B1282" s="3" t="s">
        <v>16</v>
      </c>
      <c r="C1282" s="3" t="s">
        <v>17</v>
      </c>
      <c r="D1282" s="2">
        <v>15376</v>
      </c>
      <c r="E1282" s="2">
        <v>986</v>
      </c>
      <c r="F1282" s="2">
        <f t="shared" si="63"/>
        <v>158</v>
      </c>
      <c r="G1282" s="2">
        <f t="shared" si="61"/>
        <v>78</v>
      </c>
      <c r="H1282" s="2">
        <f t="shared" si="62"/>
        <v>6889</v>
      </c>
      <c r="I1282" s="2">
        <f>SUM(58698+244171)</f>
        <v>302869</v>
      </c>
    </row>
    <row r="1283" spans="1:9" x14ac:dyDescent="0.2">
      <c r="B1283" s="3"/>
      <c r="C1283" s="3" t="s">
        <v>18</v>
      </c>
      <c r="D1283" s="2">
        <v>5513</v>
      </c>
      <c r="E1283" s="2">
        <v>556</v>
      </c>
      <c r="F1283" s="2">
        <f t="shared" si="63"/>
        <v>71</v>
      </c>
      <c r="G1283" s="2">
        <f t="shared" si="61"/>
        <v>22</v>
      </c>
      <c r="H1283"/>
      <c r="I1283"/>
    </row>
    <row r="1284" spans="1:9" x14ac:dyDescent="0.2">
      <c r="B1284" s="3"/>
      <c r="C1284" s="3" t="s">
        <v>19</v>
      </c>
      <c r="D1284" s="2">
        <v>5157</v>
      </c>
      <c r="E1284" s="2">
        <v>419</v>
      </c>
      <c r="F1284" s="2">
        <f t="shared" si="63"/>
        <v>73</v>
      </c>
      <c r="G1284" s="2">
        <f t="shared" si="61"/>
        <v>14</v>
      </c>
      <c r="H1284"/>
      <c r="I1284"/>
    </row>
    <row r="1285" spans="1:9" x14ac:dyDescent="0.2">
      <c r="B1285" s="3"/>
      <c r="C1285" s="3" t="s">
        <v>40</v>
      </c>
      <c r="D1285" s="2">
        <v>3318</v>
      </c>
      <c r="E1285" s="2">
        <v>129</v>
      </c>
      <c r="F1285" s="2">
        <f t="shared" si="63"/>
        <v>32</v>
      </c>
      <c r="G1285" s="2">
        <f t="shared" si="61"/>
        <v>6</v>
      </c>
      <c r="H1285"/>
      <c r="I1285"/>
    </row>
    <row r="1286" spans="1:9" x14ac:dyDescent="0.2">
      <c r="B1286" s="3"/>
      <c r="C1286" s="3" t="s">
        <v>41</v>
      </c>
      <c r="D1286" s="2">
        <v>3485</v>
      </c>
      <c r="E1286" s="2">
        <v>179</v>
      </c>
      <c r="F1286" s="2">
        <f t="shared" si="63"/>
        <v>32</v>
      </c>
      <c r="G1286" s="2">
        <f t="shared" si="61"/>
        <v>7</v>
      </c>
      <c r="H1286"/>
      <c r="I1286"/>
    </row>
    <row r="1287" spans="1:9" x14ac:dyDescent="0.2">
      <c r="B1287" s="3" t="s">
        <v>20</v>
      </c>
      <c r="C1287" s="3" t="s">
        <v>22</v>
      </c>
      <c r="D1287" s="2">
        <v>34574</v>
      </c>
      <c r="E1287" s="2">
        <v>1659</v>
      </c>
      <c r="F1287" s="2">
        <f t="shared" si="63"/>
        <v>1293</v>
      </c>
      <c r="G1287" s="2">
        <f t="shared" si="61"/>
        <v>46</v>
      </c>
      <c r="H1287" s="2">
        <f t="shared" si="62"/>
        <v>39059</v>
      </c>
      <c r="I1287" s="2">
        <v>1104651</v>
      </c>
    </row>
    <row r="1288" spans="1:9" x14ac:dyDescent="0.2">
      <c r="B1288" s="3"/>
      <c r="C1288" s="3" t="s">
        <v>26</v>
      </c>
      <c r="D1288" s="2">
        <v>5280</v>
      </c>
      <c r="E1288" s="2">
        <v>223</v>
      </c>
      <c r="F1288" s="2">
        <f t="shared" si="63"/>
        <v>117</v>
      </c>
      <c r="G1288" s="2">
        <f t="shared" si="61"/>
        <v>6</v>
      </c>
      <c r="H1288"/>
      <c r="I1288"/>
    </row>
    <row r="1289" spans="1:9" x14ac:dyDescent="0.2">
      <c r="B1289" s="3"/>
      <c r="C1289" s="3" t="s">
        <v>27</v>
      </c>
      <c r="D1289" s="2">
        <v>5204</v>
      </c>
      <c r="E1289" s="2">
        <v>246</v>
      </c>
      <c r="F1289" s="2">
        <f t="shared" si="63"/>
        <v>70</v>
      </c>
      <c r="G1289" s="2">
        <f t="shared" si="61"/>
        <v>8</v>
      </c>
      <c r="H1289"/>
      <c r="I1289"/>
    </row>
    <row r="1290" spans="1:9" x14ac:dyDescent="0.2">
      <c r="C1290" s="3" t="s">
        <v>42</v>
      </c>
      <c r="D1290" s="2">
        <v>2370</v>
      </c>
      <c r="E1290" s="2">
        <v>135</v>
      </c>
      <c r="F1290" s="2">
        <f t="shared" si="63"/>
        <v>8</v>
      </c>
      <c r="G1290" s="2">
        <f t="shared" si="61"/>
        <v>2</v>
      </c>
      <c r="H1290"/>
      <c r="I1290"/>
    </row>
    <row r="1291" spans="1:9" x14ac:dyDescent="0.2">
      <c r="C1291" s="3" t="s">
        <v>43</v>
      </c>
      <c r="D1291" s="2">
        <v>4025</v>
      </c>
      <c r="E1291" s="2">
        <v>80</v>
      </c>
      <c r="F1291" s="2">
        <f t="shared" si="63"/>
        <v>182</v>
      </c>
      <c r="G1291" s="2">
        <f t="shared" si="61"/>
        <v>2</v>
      </c>
      <c r="H1291"/>
      <c r="I1291"/>
    </row>
    <row r="1292" spans="1:9" x14ac:dyDescent="0.2">
      <c r="A1292" s="1">
        <v>43965</v>
      </c>
      <c r="B1292" s="3" t="s">
        <v>5</v>
      </c>
      <c r="C1292" s="3" t="s">
        <v>6</v>
      </c>
      <c r="D1292" s="2">
        <v>58084</v>
      </c>
      <c r="E1292" s="2">
        <v>3770</v>
      </c>
      <c r="F1292" s="2">
        <f t="shared" si="63"/>
        <v>336</v>
      </c>
      <c r="G1292" s="2">
        <f t="shared" si="61"/>
        <v>8</v>
      </c>
      <c r="H1292" s="2">
        <f t="shared" si="62"/>
        <v>39850</v>
      </c>
      <c r="I1292" s="2">
        <v>1298757</v>
      </c>
    </row>
    <row r="1293" spans="1:9" x14ac:dyDescent="0.2">
      <c r="B1293" s="3"/>
      <c r="C1293" s="3" t="s">
        <v>7</v>
      </c>
      <c r="D1293" s="2">
        <v>51095</v>
      </c>
      <c r="E1293" s="2">
        <v>4183</v>
      </c>
      <c r="F1293" s="2">
        <f t="shared" si="63"/>
        <v>428</v>
      </c>
      <c r="G1293" s="2">
        <f t="shared" si="61"/>
        <v>28</v>
      </c>
      <c r="H1293"/>
      <c r="I1293"/>
    </row>
    <row r="1294" spans="1:9" x14ac:dyDescent="0.2">
      <c r="B1294" s="3"/>
      <c r="C1294" s="3" t="s">
        <v>8</v>
      </c>
      <c r="D1294" s="2">
        <v>38743</v>
      </c>
      <c r="E1294" s="2">
        <v>2485</v>
      </c>
      <c r="F1294" s="2">
        <f t="shared" si="63"/>
        <v>156</v>
      </c>
      <c r="G1294" s="2">
        <f t="shared" si="61"/>
        <v>17</v>
      </c>
      <c r="H1294"/>
      <c r="I1294"/>
    </row>
    <row r="1295" spans="1:9" x14ac:dyDescent="0.2">
      <c r="B1295" s="3"/>
      <c r="C1295" s="3" t="s">
        <v>35</v>
      </c>
      <c r="D1295" s="2">
        <v>41980</v>
      </c>
      <c r="E1295" s="2">
        <v>2819</v>
      </c>
      <c r="F1295" s="2">
        <f t="shared" si="63"/>
        <v>303</v>
      </c>
      <c r="G1295" s="2">
        <f t="shared" si="61"/>
        <v>22</v>
      </c>
      <c r="H1295"/>
      <c r="I1295"/>
    </row>
    <row r="1296" spans="1:9" x14ac:dyDescent="0.2">
      <c r="B1296" s="3"/>
      <c r="C1296" s="3" t="s">
        <v>14</v>
      </c>
      <c r="D1296" s="2">
        <v>37544</v>
      </c>
      <c r="E1296" s="2">
        <v>1745</v>
      </c>
      <c r="F1296" s="2">
        <f t="shared" si="63"/>
        <v>239</v>
      </c>
      <c r="G1296" s="2">
        <f t="shared" si="61"/>
        <v>16</v>
      </c>
      <c r="H1296"/>
      <c r="I1296"/>
    </row>
    <row r="1297" spans="2:9" x14ac:dyDescent="0.2">
      <c r="B1297" s="3" t="s">
        <v>9</v>
      </c>
      <c r="C1297" s="3" t="s">
        <v>10</v>
      </c>
      <c r="E1297" s="2">
        <v>1423</v>
      </c>
      <c r="G1297" s="2">
        <f t="shared" si="61"/>
        <v>14</v>
      </c>
      <c r="H1297" s="2">
        <f t="shared" si="62"/>
        <v>10246</v>
      </c>
      <c r="I1297" s="2">
        <f>SUM(142704+308992)</f>
        <v>451696</v>
      </c>
    </row>
    <row r="1298" spans="2:9" x14ac:dyDescent="0.2">
      <c r="B1298" s="3"/>
      <c r="C1298" s="3" t="s">
        <v>11</v>
      </c>
      <c r="D1298" s="2">
        <v>17134</v>
      </c>
      <c r="E1298" s="2">
        <v>1032</v>
      </c>
      <c r="F1298" s="2">
        <f t="shared" si="63"/>
        <v>99</v>
      </c>
      <c r="G1298" s="2">
        <f t="shared" si="61"/>
        <v>25</v>
      </c>
      <c r="H1298"/>
      <c r="I1298"/>
    </row>
    <row r="1299" spans="2:9" x14ac:dyDescent="0.2">
      <c r="B1299" s="3"/>
      <c r="C1299" s="3" t="s">
        <v>12</v>
      </c>
      <c r="D1299" s="2">
        <v>15824</v>
      </c>
      <c r="E1299" s="2">
        <v>1496</v>
      </c>
      <c r="F1299" s="2">
        <f t="shared" si="63"/>
        <v>75</v>
      </c>
      <c r="G1299" s="2">
        <f t="shared" si="61"/>
        <v>25</v>
      </c>
      <c r="H1299"/>
      <c r="I1299"/>
    </row>
    <row r="1300" spans="2:9" x14ac:dyDescent="0.2">
      <c r="B1300" s="3"/>
      <c r="C1300" s="3" t="s">
        <v>36</v>
      </c>
      <c r="D1300" s="2">
        <v>14385</v>
      </c>
      <c r="E1300" s="2">
        <v>930</v>
      </c>
      <c r="F1300" s="2">
        <f t="shared" si="63"/>
        <v>79</v>
      </c>
      <c r="G1300" s="2">
        <f t="shared" si="61"/>
        <v>22</v>
      </c>
      <c r="H1300"/>
      <c r="I1300"/>
    </row>
    <row r="1301" spans="2:9" x14ac:dyDescent="0.2">
      <c r="B1301" s="3"/>
      <c r="C1301" s="3" t="s">
        <v>37</v>
      </c>
      <c r="D1301" s="2">
        <v>14887</v>
      </c>
      <c r="E1301" s="2">
        <v>802</v>
      </c>
      <c r="F1301" s="2">
        <f t="shared" si="63"/>
        <v>130</v>
      </c>
      <c r="G1301" s="2">
        <f t="shared" si="61"/>
        <v>17</v>
      </c>
      <c r="H1301"/>
      <c r="I1301"/>
    </row>
    <row r="1302" spans="2:9" x14ac:dyDescent="0.2">
      <c r="B1302" s="3" t="s">
        <v>13</v>
      </c>
      <c r="C1302" s="3" t="s">
        <v>14</v>
      </c>
      <c r="D1302" s="2">
        <v>15881</v>
      </c>
      <c r="E1302" s="2">
        <v>759</v>
      </c>
      <c r="F1302" s="2">
        <f t="shared" si="63"/>
        <v>294</v>
      </c>
      <c r="G1302" s="2">
        <f t="shared" si="61"/>
        <v>10</v>
      </c>
      <c r="H1302" s="2">
        <f t="shared" si="62"/>
        <v>14329</v>
      </c>
      <c r="I1302" s="2">
        <v>424361</v>
      </c>
    </row>
    <row r="1303" spans="2:9" x14ac:dyDescent="0.2">
      <c r="B1303" s="3"/>
      <c r="C1303" s="3" t="s">
        <v>15</v>
      </c>
      <c r="D1303" s="2">
        <v>18381</v>
      </c>
      <c r="E1303" s="2">
        <v>1327</v>
      </c>
      <c r="F1303" s="2">
        <f t="shared" si="63"/>
        <v>180</v>
      </c>
      <c r="G1303" s="2">
        <f t="shared" si="61"/>
        <v>45</v>
      </c>
      <c r="H1303"/>
      <c r="I1303"/>
    </row>
    <row r="1304" spans="2:9" x14ac:dyDescent="0.2">
      <c r="B1304" s="3"/>
      <c r="C1304" s="3" t="s">
        <v>12</v>
      </c>
      <c r="D1304" s="2">
        <v>11950</v>
      </c>
      <c r="E1304" s="2">
        <v>725</v>
      </c>
      <c r="F1304" s="2">
        <f t="shared" si="63"/>
        <v>247</v>
      </c>
      <c r="G1304" s="2">
        <f t="shared" si="61"/>
        <v>21</v>
      </c>
      <c r="H1304"/>
      <c r="I1304"/>
    </row>
    <row r="1305" spans="2:9" x14ac:dyDescent="0.2">
      <c r="B1305" s="3"/>
      <c r="C1305" s="3" t="s">
        <v>33</v>
      </c>
      <c r="D1305" s="2">
        <v>7258</v>
      </c>
      <c r="E1305" s="2">
        <v>696</v>
      </c>
      <c r="F1305" s="2">
        <f t="shared" si="63"/>
        <v>129</v>
      </c>
      <c r="G1305" s="2">
        <f t="shared" si="61"/>
        <v>20</v>
      </c>
      <c r="H1305"/>
      <c r="I1305"/>
    </row>
    <row r="1306" spans="2:9" x14ac:dyDescent="0.2">
      <c r="B1306" s="3"/>
      <c r="C1306" s="3" t="s">
        <v>34</v>
      </c>
      <c r="D1306" s="2">
        <v>8555</v>
      </c>
      <c r="E1306" s="2">
        <v>524</v>
      </c>
      <c r="F1306" s="2">
        <f t="shared" si="63"/>
        <v>314</v>
      </c>
      <c r="G1306" s="2">
        <f t="shared" si="61"/>
        <v>35</v>
      </c>
      <c r="H1306"/>
      <c r="I1306"/>
    </row>
    <row r="1307" spans="2:9" x14ac:dyDescent="0.2">
      <c r="B1307" s="3" t="s">
        <v>23</v>
      </c>
      <c r="C1307" s="3" t="s">
        <v>24</v>
      </c>
      <c r="D1307" s="2">
        <v>18770</v>
      </c>
      <c r="E1307" s="2">
        <v>2183</v>
      </c>
      <c r="F1307" s="2">
        <f t="shared" si="63"/>
        <v>381</v>
      </c>
      <c r="G1307" s="2">
        <f t="shared" si="61"/>
        <v>27</v>
      </c>
      <c r="H1307" s="2">
        <f t="shared" si="62"/>
        <v>27623</v>
      </c>
      <c r="I1307" s="2">
        <f>SUM(49582+286301)</f>
        <v>335883</v>
      </c>
    </row>
    <row r="1308" spans="2:9" x14ac:dyDescent="0.2">
      <c r="B1308" s="3"/>
      <c r="C1308" s="3" t="s">
        <v>25</v>
      </c>
      <c r="D1308" s="2">
        <v>7952</v>
      </c>
      <c r="E1308" s="2">
        <v>888</v>
      </c>
      <c r="F1308" s="2">
        <f t="shared" si="63"/>
        <v>122</v>
      </c>
      <c r="G1308" s="2">
        <f t="shared" si="61"/>
        <v>14</v>
      </c>
      <c r="H1308"/>
      <c r="I1308"/>
    </row>
    <row r="1309" spans="2:9" x14ac:dyDescent="0.2">
      <c r="B1309" s="3"/>
      <c r="C1309" s="3" t="s">
        <v>28</v>
      </c>
      <c r="D1309" s="2">
        <v>6232</v>
      </c>
      <c r="E1309" s="2">
        <v>728</v>
      </c>
      <c r="F1309" s="2">
        <f t="shared" si="63"/>
        <v>95</v>
      </c>
      <c r="G1309" s="2">
        <f t="shared" si="61"/>
        <v>11</v>
      </c>
      <c r="H1309"/>
      <c r="I1309"/>
    </row>
    <row r="1310" spans="2:9" x14ac:dyDescent="0.2">
      <c r="B1310" s="3"/>
      <c r="C1310" s="3" t="s">
        <v>38</v>
      </c>
      <c r="D1310" s="2">
        <v>1813</v>
      </c>
      <c r="E1310" s="2">
        <v>228</v>
      </c>
      <c r="F1310" s="2">
        <f t="shared" si="63"/>
        <v>29</v>
      </c>
      <c r="G1310" s="2">
        <f t="shared" si="61"/>
        <v>1</v>
      </c>
      <c r="H1310"/>
      <c r="I1310"/>
    </row>
    <row r="1311" spans="2:9" x14ac:dyDescent="0.2">
      <c r="B1311" s="3"/>
      <c r="C1311" s="3" t="s">
        <v>39</v>
      </c>
      <c r="D1311" s="2">
        <v>1231</v>
      </c>
      <c r="E1311" s="2">
        <v>86</v>
      </c>
      <c r="F1311" s="2">
        <f t="shared" si="63"/>
        <v>21</v>
      </c>
      <c r="G1311" s="2">
        <f t="shared" si="61"/>
        <v>3</v>
      </c>
      <c r="H1311"/>
      <c r="I1311"/>
    </row>
    <row r="1312" spans="2:9" x14ac:dyDescent="0.2">
      <c r="B1312" s="3" t="s">
        <v>16</v>
      </c>
      <c r="C1312" s="3" t="s">
        <v>17</v>
      </c>
      <c r="D1312" s="2">
        <v>15624</v>
      </c>
      <c r="E1312" s="2">
        <v>1008</v>
      </c>
      <c r="F1312" s="2">
        <f t="shared" si="63"/>
        <v>248</v>
      </c>
      <c r="G1312" s="2">
        <f t="shared" si="61"/>
        <v>22</v>
      </c>
      <c r="H1312" s="2">
        <f t="shared" si="62"/>
        <v>8326</v>
      </c>
      <c r="I1312" s="2">
        <f>SUM(59636+251559)</f>
        <v>311195</v>
      </c>
    </row>
    <row r="1313" spans="1:9" x14ac:dyDescent="0.2">
      <c r="B1313" s="3"/>
      <c r="C1313" s="3" t="s">
        <v>18</v>
      </c>
      <c r="D1313" s="2">
        <v>5583</v>
      </c>
      <c r="E1313" s="2">
        <v>587</v>
      </c>
      <c r="F1313" s="2">
        <f t="shared" si="63"/>
        <v>70</v>
      </c>
      <c r="G1313" s="2">
        <f t="shared" ref="G1313:G1376" si="64">SUM(E1313-E1283)</f>
        <v>31</v>
      </c>
      <c r="H1313"/>
      <c r="I1313"/>
    </row>
    <row r="1314" spans="1:9" x14ac:dyDescent="0.2">
      <c r="B1314" s="3"/>
      <c r="C1314" s="3" t="s">
        <v>19</v>
      </c>
      <c r="D1314" s="2">
        <v>5252</v>
      </c>
      <c r="E1314" s="2">
        <v>448</v>
      </c>
      <c r="F1314" s="2">
        <f t="shared" si="63"/>
        <v>95</v>
      </c>
      <c r="G1314" s="2">
        <f t="shared" si="64"/>
        <v>29</v>
      </c>
      <c r="H1314"/>
      <c r="I1314"/>
    </row>
    <row r="1315" spans="1:9" x14ac:dyDescent="0.2">
      <c r="B1315" s="3"/>
      <c r="C1315" s="3" t="s">
        <v>40</v>
      </c>
      <c r="D1315" s="2">
        <v>3378</v>
      </c>
      <c r="E1315" s="2">
        <v>133</v>
      </c>
      <c r="F1315" s="2">
        <f t="shared" si="63"/>
        <v>60</v>
      </c>
      <c r="G1315" s="2">
        <f t="shared" si="64"/>
        <v>4</v>
      </c>
      <c r="H1315"/>
      <c r="I1315"/>
    </row>
    <row r="1316" spans="1:9" x14ac:dyDescent="0.2">
      <c r="B1316" s="3"/>
      <c r="C1316" s="3" t="s">
        <v>41</v>
      </c>
      <c r="D1316" s="2">
        <v>3530</v>
      </c>
      <c r="E1316" s="2">
        <v>196</v>
      </c>
      <c r="F1316" s="2">
        <f t="shared" si="63"/>
        <v>45</v>
      </c>
      <c r="G1316" s="2">
        <f t="shared" si="64"/>
        <v>17</v>
      </c>
      <c r="H1316"/>
      <c r="I1316"/>
    </row>
    <row r="1317" spans="1:9" x14ac:dyDescent="0.2">
      <c r="B1317" s="3" t="s">
        <v>20</v>
      </c>
      <c r="C1317" s="3" t="s">
        <v>22</v>
      </c>
      <c r="D1317" s="2">
        <v>35427</v>
      </c>
      <c r="E1317" s="2">
        <v>1709</v>
      </c>
      <c r="F1317" s="2">
        <f t="shared" si="63"/>
        <v>853</v>
      </c>
      <c r="G1317" s="2">
        <f t="shared" si="64"/>
        <v>50</v>
      </c>
      <c r="H1317" s="2">
        <f t="shared" ref="H1317:H1372" si="65">SUM(I1317-I1287)</f>
        <v>29255</v>
      </c>
      <c r="I1317" s="2">
        <v>1133906</v>
      </c>
    </row>
    <row r="1318" spans="1:9" x14ac:dyDescent="0.2">
      <c r="B1318" s="3"/>
      <c r="C1318" s="3" t="s">
        <v>26</v>
      </c>
      <c r="D1318" s="2">
        <v>5393</v>
      </c>
      <c r="E1318" s="2">
        <v>231</v>
      </c>
      <c r="F1318" s="2">
        <f t="shared" si="63"/>
        <v>113</v>
      </c>
      <c r="G1318" s="2">
        <f t="shared" si="64"/>
        <v>8</v>
      </c>
      <c r="H1318"/>
      <c r="I1318"/>
    </row>
    <row r="1319" spans="1:9" x14ac:dyDescent="0.2">
      <c r="B1319" s="3"/>
      <c r="C1319" s="3" t="s">
        <v>27</v>
      </c>
      <c r="D1319" s="2">
        <v>5339</v>
      </c>
      <c r="E1319" s="2">
        <v>249</v>
      </c>
      <c r="F1319" s="2">
        <f t="shared" si="63"/>
        <v>135</v>
      </c>
      <c r="G1319" s="2">
        <f t="shared" si="64"/>
        <v>3</v>
      </c>
      <c r="H1319"/>
      <c r="I1319"/>
    </row>
    <row r="1320" spans="1:9" x14ac:dyDescent="0.2">
      <c r="C1320" s="3" t="s">
        <v>42</v>
      </c>
      <c r="D1320" s="2">
        <v>2380</v>
      </c>
      <c r="E1320" s="2">
        <v>135</v>
      </c>
      <c r="F1320" s="2">
        <f t="shared" si="63"/>
        <v>10</v>
      </c>
      <c r="G1320" s="2">
        <f t="shared" si="64"/>
        <v>0</v>
      </c>
      <c r="H1320"/>
      <c r="I1320"/>
    </row>
    <row r="1321" spans="1:9" x14ac:dyDescent="0.2">
      <c r="C1321" s="3" t="s">
        <v>43</v>
      </c>
      <c r="D1321" s="2">
        <v>4163</v>
      </c>
      <c r="E1321" s="2">
        <v>80</v>
      </c>
      <c r="F1321" s="2">
        <f t="shared" si="63"/>
        <v>138</v>
      </c>
      <c r="G1321" s="2">
        <f t="shared" si="64"/>
        <v>0</v>
      </c>
      <c r="H1321"/>
      <c r="I1321"/>
    </row>
    <row r="1322" spans="1:9" x14ac:dyDescent="0.2">
      <c r="A1322" s="1">
        <v>43966</v>
      </c>
      <c r="B1322" s="3" t="s">
        <v>5</v>
      </c>
      <c r="C1322" s="3" t="s">
        <v>6</v>
      </c>
      <c r="D1322" s="2">
        <v>58516</v>
      </c>
      <c r="E1322" s="2">
        <v>3781</v>
      </c>
      <c r="F1322" s="2">
        <f t="shared" si="63"/>
        <v>432</v>
      </c>
      <c r="G1322" s="2">
        <f t="shared" si="64"/>
        <v>11</v>
      </c>
      <c r="H1322" s="2">
        <f t="shared" si="65"/>
        <v>39291</v>
      </c>
      <c r="I1322" s="2">
        <v>1338048</v>
      </c>
    </row>
    <row r="1323" spans="1:9" x14ac:dyDescent="0.2">
      <c r="B1323" s="3"/>
      <c r="C1323" s="3" t="s">
        <v>7</v>
      </c>
      <c r="D1323" s="2">
        <v>51581</v>
      </c>
      <c r="E1323" s="2">
        <v>4200</v>
      </c>
      <c r="F1323" s="2">
        <f t="shared" si="63"/>
        <v>486</v>
      </c>
      <c r="G1323" s="2">
        <f t="shared" si="64"/>
        <v>17</v>
      </c>
      <c r="H1323"/>
      <c r="I1323"/>
    </row>
    <row r="1324" spans="1:9" x14ac:dyDescent="0.2">
      <c r="B1324" s="3"/>
      <c r="C1324" s="3" t="s">
        <v>8</v>
      </c>
      <c r="D1324" s="2">
        <v>38864</v>
      </c>
      <c r="E1324" s="2">
        <v>2499</v>
      </c>
      <c r="F1324" s="2">
        <f t="shared" si="63"/>
        <v>121</v>
      </c>
      <c r="G1324" s="2">
        <f t="shared" si="64"/>
        <v>14</v>
      </c>
      <c r="H1324"/>
      <c r="I1324"/>
    </row>
    <row r="1325" spans="1:9" x14ac:dyDescent="0.2">
      <c r="B1325" s="3"/>
      <c r="C1325" s="3" t="s">
        <v>35</v>
      </c>
      <c r="D1325" s="2">
        <v>42519</v>
      </c>
      <c r="E1325" s="2">
        <v>2832</v>
      </c>
      <c r="F1325" s="2">
        <f t="shared" si="63"/>
        <v>539</v>
      </c>
      <c r="G1325" s="2">
        <f t="shared" si="64"/>
        <v>13</v>
      </c>
      <c r="H1325"/>
      <c r="I1325"/>
    </row>
    <row r="1326" spans="1:9" x14ac:dyDescent="0.2">
      <c r="B1326" s="3"/>
      <c r="C1326" s="3" t="s">
        <v>14</v>
      </c>
      <c r="D1326" s="2">
        <v>37719</v>
      </c>
      <c r="E1326" s="2">
        <v>1757</v>
      </c>
      <c r="F1326" s="2">
        <f t="shared" si="63"/>
        <v>175</v>
      </c>
      <c r="G1326" s="2">
        <f t="shared" si="64"/>
        <v>12</v>
      </c>
      <c r="H1326"/>
      <c r="I1326"/>
    </row>
    <row r="1327" spans="1:9" x14ac:dyDescent="0.2">
      <c r="B1327" s="3" t="s">
        <v>9</v>
      </c>
      <c r="C1327" s="3" t="s">
        <v>10</v>
      </c>
      <c r="D1327" s="2">
        <v>17195</v>
      </c>
      <c r="E1327" s="2">
        <v>1443</v>
      </c>
      <c r="G1327" s="2">
        <f t="shared" si="64"/>
        <v>20</v>
      </c>
      <c r="H1327" s="2">
        <f t="shared" si="65"/>
        <v>11276</v>
      </c>
      <c r="I1327" s="2">
        <f>SUM(143905+319067)</f>
        <v>462972</v>
      </c>
    </row>
    <row r="1328" spans="1:9" x14ac:dyDescent="0.2">
      <c r="B1328" s="3"/>
      <c r="C1328" s="3" t="s">
        <v>11</v>
      </c>
      <c r="D1328" s="2">
        <v>17237</v>
      </c>
      <c r="E1328" s="2">
        <v>1042</v>
      </c>
      <c r="F1328" s="2">
        <f t="shared" ref="F1328:F1390" si="66">SUM(D1328-D1298)</f>
        <v>103</v>
      </c>
      <c r="G1328" s="2">
        <f t="shared" si="64"/>
        <v>10</v>
      </c>
      <c r="H1328"/>
      <c r="I1328"/>
    </row>
    <row r="1329" spans="2:9" x14ac:dyDescent="0.2">
      <c r="B1329" s="3"/>
      <c r="C1329" s="3" t="s">
        <v>12</v>
      </c>
      <c r="D1329" s="2">
        <v>15953</v>
      </c>
      <c r="E1329" s="2">
        <v>1510</v>
      </c>
      <c r="F1329" s="2">
        <f t="shared" si="66"/>
        <v>129</v>
      </c>
      <c r="G1329" s="2">
        <f t="shared" si="64"/>
        <v>14</v>
      </c>
      <c r="H1329"/>
      <c r="I1329"/>
    </row>
    <row r="1330" spans="2:9" x14ac:dyDescent="0.2">
      <c r="B1330" s="3"/>
      <c r="C1330" s="3" t="s">
        <v>36</v>
      </c>
      <c r="D1330" s="2">
        <v>14492</v>
      </c>
      <c r="E1330" s="2">
        <v>939</v>
      </c>
      <c r="F1330" s="2">
        <f t="shared" si="66"/>
        <v>107</v>
      </c>
      <c r="G1330" s="2">
        <f t="shared" si="64"/>
        <v>9</v>
      </c>
      <c r="H1330"/>
      <c r="I1330"/>
    </row>
    <row r="1331" spans="2:9" x14ac:dyDescent="0.2">
      <c r="B1331" s="3"/>
      <c r="C1331" s="3" t="s">
        <v>37</v>
      </c>
      <c r="D1331" s="2">
        <v>14930</v>
      </c>
      <c r="E1331" s="2">
        <v>816</v>
      </c>
      <c r="F1331" s="2">
        <f t="shared" si="66"/>
        <v>43</v>
      </c>
      <c r="G1331" s="2">
        <f t="shared" si="64"/>
        <v>14</v>
      </c>
      <c r="H1331"/>
      <c r="I1331"/>
    </row>
    <row r="1332" spans="2:9" x14ac:dyDescent="0.2">
      <c r="B1332" s="3" t="s">
        <v>13</v>
      </c>
      <c r="C1332" s="3" t="s">
        <v>14</v>
      </c>
      <c r="D1332" s="2">
        <v>15996</v>
      </c>
      <c r="E1332" s="2">
        <v>768</v>
      </c>
      <c r="F1332" s="2">
        <f t="shared" si="66"/>
        <v>115</v>
      </c>
      <c r="G1332" s="2">
        <f t="shared" si="64"/>
        <v>9</v>
      </c>
      <c r="H1332" s="2">
        <f t="shared" si="65"/>
        <v>11318</v>
      </c>
      <c r="I1332" s="2">
        <v>435679</v>
      </c>
    </row>
    <row r="1333" spans="2:9" x14ac:dyDescent="0.2">
      <c r="B1333" s="3"/>
      <c r="C1333" s="3" t="s">
        <v>15</v>
      </c>
      <c r="D1333" s="2">
        <v>18683</v>
      </c>
      <c r="E1333" s="2">
        <v>1347</v>
      </c>
      <c r="F1333" s="2">
        <f t="shared" si="66"/>
        <v>302</v>
      </c>
      <c r="G1333" s="2">
        <f t="shared" si="64"/>
        <v>20</v>
      </c>
      <c r="H1333"/>
      <c r="I1333"/>
    </row>
    <row r="1334" spans="2:9" x14ac:dyDescent="0.2">
      <c r="B1334" s="3"/>
      <c r="C1334" s="3" t="s">
        <v>12</v>
      </c>
      <c r="D1334" s="2">
        <v>12131</v>
      </c>
      <c r="E1334" s="2">
        <v>751</v>
      </c>
      <c r="F1334" s="2">
        <f t="shared" si="66"/>
        <v>181</v>
      </c>
      <c r="G1334" s="2">
        <f t="shared" si="64"/>
        <v>26</v>
      </c>
      <c r="H1334"/>
      <c r="I1334"/>
    </row>
    <row r="1335" spans="2:9" x14ac:dyDescent="0.2">
      <c r="B1335" s="3"/>
      <c r="C1335" s="3" t="s">
        <v>33</v>
      </c>
      <c r="D1335" s="2">
        <v>7331</v>
      </c>
      <c r="E1335" s="2">
        <v>710</v>
      </c>
      <c r="F1335" s="2">
        <f t="shared" si="66"/>
        <v>73</v>
      </c>
      <c r="G1335" s="2">
        <f t="shared" si="64"/>
        <v>14</v>
      </c>
      <c r="H1335"/>
      <c r="I1335"/>
    </row>
    <row r="1336" spans="2:9" x14ac:dyDescent="0.2">
      <c r="B1336" s="3"/>
      <c r="C1336" s="3" t="s">
        <v>34</v>
      </c>
      <c r="D1336" s="2">
        <v>8786</v>
      </c>
      <c r="E1336" s="2">
        <v>538</v>
      </c>
      <c r="F1336" s="2">
        <f t="shared" si="66"/>
        <v>231</v>
      </c>
      <c r="G1336" s="2">
        <f t="shared" si="64"/>
        <v>14</v>
      </c>
      <c r="H1336"/>
      <c r="I1336"/>
    </row>
    <row r="1337" spans="2:9" x14ac:dyDescent="0.2">
      <c r="B1337" s="3" t="s">
        <v>23</v>
      </c>
      <c r="C1337" s="3" t="s">
        <v>24</v>
      </c>
      <c r="D1337" s="2">
        <v>18882</v>
      </c>
      <c r="E1337" s="2">
        <v>2192</v>
      </c>
      <c r="F1337" s="2">
        <f t="shared" si="66"/>
        <v>112</v>
      </c>
      <c r="G1337" s="2">
        <f t="shared" si="64"/>
        <v>9</v>
      </c>
      <c r="H1337" s="2">
        <f t="shared" si="65"/>
        <v>21613</v>
      </c>
      <c r="I1337" s="2">
        <f>SUM(50079+307417)</f>
        <v>357496</v>
      </c>
    </row>
    <row r="1338" spans="2:9" x14ac:dyDescent="0.2">
      <c r="B1338" s="3"/>
      <c r="C1338" s="3" t="s">
        <v>25</v>
      </c>
      <c r="D1338" s="2">
        <v>7994</v>
      </c>
      <c r="E1338" s="2">
        <v>896</v>
      </c>
      <c r="F1338" s="2">
        <f t="shared" si="66"/>
        <v>42</v>
      </c>
      <c r="G1338" s="2">
        <f t="shared" si="64"/>
        <v>8</v>
      </c>
      <c r="H1338"/>
      <c r="I1338"/>
    </row>
    <row r="1339" spans="2:9" x14ac:dyDescent="0.2">
      <c r="B1339" s="3"/>
      <c r="C1339" s="3" t="s">
        <v>28</v>
      </c>
      <c r="D1339" s="2">
        <v>6274</v>
      </c>
      <c r="E1339" s="2">
        <v>729</v>
      </c>
      <c r="F1339" s="2">
        <f t="shared" si="66"/>
        <v>42</v>
      </c>
      <c r="G1339" s="2">
        <f t="shared" si="64"/>
        <v>1</v>
      </c>
      <c r="H1339"/>
      <c r="I1339"/>
    </row>
    <row r="1340" spans="2:9" x14ac:dyDescent="0.2">
      <c r="B1340" s="3"/>
      <c r="C1340" s="3" t="s">
        <v>38</v>
      </c>
      <c r="D1340" s="2">
        <v>1835</v>
      </c>
      <c r="E1340" s="2">
        <v>229</v>
      </c>
      <c r="F1340" s="2">
        <f t="shared" si="66"/>
        <v>22</v>
      </c>
      <c r="G1340" s="2">
        <f t="shared" si="64"/>
        <v>1</v>
      </c>
      <c r="H1340"/>
      <c r="I1340"/>
    </row>
    <row r="1341" spans="2:9" x14ac:dyDescent="0.2">
      <c r="B1341" s="3"/>
      <c r="C1341" s="3" t="s">
        <v>39</v>
      </c>
      <c r="D1341" s="2">
        <v>1236</v>
      </c>
      <c r="E1341" s="2">
        <v>87</v>
      </c>
      <c r="F1341" s="2">
        <f t="shared" si="66"/>
        <v>5</v>
      </c>
      <c r="G1341" s="2">
        <f t="shared" si="64"/>
        <v>1</v>
      </c>
      <c r="H1341"/>
      <c r="I1341"/>
    </row>
    <row r="1342" spans="2:9" x14ac:dyDescent="0.2">
      <c r="B1342" s="3" t="s">
        <v>16</v>
      </c>
      <c r="C1342" s="3" t="s">
        <v>17</v>
      </c>
      <c r="D1342" s="2">
        <v>15835</v>
      </c>
      <c r="E1342" s="2">
        <v>1021</v>
      </c>
      <c r="F1342" s="2">
        <f t="shared" si="66"/>
        <v>211</v>
      </c>
      <c r="G1342" s="2">
        <f t="shared" si="64"/>
        <v>13</v>
      </c>
      <c r="H1342" s="2">
        <f t="shared" si="65"/>
        <v>8637</v>
      </c>
      <c r="I1342" s="2">
        <f>SUM(60622+259210)</f>
        <v>319832</v>
      </c>
    </row>
    <row r="1343" spans="2:9" x14ac:dyDescent="0.2">
      <c r="B1343" s="3"/>
      <c r="C1343" s="3" t="s">
        <v>18</v>
      </c>
      <c r="D1343" s="2">
        <v>5697</v>
      </c>
      <c r="E1343" s="2">
        <v>608</v>
      </c>
      <c r="F1343" s="2">
        <f t="shared" si="66"/>
        <v>114</v>
      </c>
      <c r="G1343" s="2">
        <f t="shared" si="64"/>
        <v>21</v>
      </c>
      <c r="H1343"/>
      <c r="I1343"/>
    </row>
    <row r="1344" spans="2:9" x14ac:dyDescent="0.2">
      <c r="B1344" s="3"/>
      <c r="C1344" s="3" t="s">
        <v>19</v>
      </c>
      <c r="D1344" s="2">
        <v>5409</v>
      </c>
      <c r="E1344" s="2">
        <v>466</v>
      </c>
      <c r="F1344" s="2">
        <f t="shared" si="66"/>
        <v>157</v>
      </c>
      <c r="G1344" s="2">
        <f t="shared" si="64"/>
        <v>18</v>
      </c>
      <c r="H1344"/>
      <c r="I1344"/>
    </row>
    <row r="1345" spans="1:9" x14ac:dyDescent="0.2">
      <c r="B1345" s="3"/>
      <c r="C1345" s="3" t="s">
        <v>40</v>
      </c>
      <c r="D1345" s="2">
        <v>3396</v>
      </c>
      <c r="E1345" s="2">
        <v>136</v>
      </c>
      <c r="F1345" s="2">
        <f t="shared" si="66"/>
        <v>18</v>
      </c>
      <c r="G1345" s="2">
        <f t="shared" si="64"/>
        <v>3</v>
      </c>
      <c r="H1345"/>
      <c r="I1345"/>
    </row>
    <row r="1346" spans="1:9" x14ac:dyDescent="0.2">
      <c r="B1346" s="3"/>
      <c r="C1346" s="3" t="s">
        <v>41</v>
      </c>
      <c r="D1346" s="2">
        <v>3593</v>
      </c>
      <c r="E1346" s="2">
        <v>207</v>
      </c>
      <c r="F1346" s="2">
        <f t="shared" si="66"/>
        <v>63</v>
      </c>
      <c r="G1346" s="2">
        <f t="shared" si="64"/>
        <v>11</v>
      </c>
      <c r="H1346"/>
      <c r="I1346"/>
    </row>
    <row r="1347" spans="1:9" x14ac:dyDescent="0.2">
      <c r="B1347" s="3" t="s">
        <v>20</v>
      </c>
      <c r="C1347" s="3" t="s">
        <v>22</v>
      </c>
      <c r="D1347" s="2">
        <v>36317</v>
      </c>
      <c r="E1347" s="2">
        <v>1755</v>
      </c>
      <c r="F1347" s="2">
        <f t="shared" si="66"/>
        <v>890</v>
      </c>
      <c r="G1347" s="2">
        <f t="shared" si="64"/>
        <v>46</v>
      </c>
      <c r="H1347" s="2">
        <f t="shared" si="65"/>
        <v>45220</v>
      </c>
      <c r="I1347" s="2">
        <v>1179126</v>
      </c>
    </row>
    <row r="1348" spans="1:9" x14ac:dyDescent="0.2">
      <c r="B1348" s="3"/>
      <c r="C1348" s="3" t="s">
        <v>26</v>
      </c>
      <c r="D1348" s="2">
        <v>5525</v>
      </c>
      <c r="E1348" s="2">
        <v>235</v>
      </c>
      <c r="F1348" s="2">
        <f t="shared" si="66"/>
        <v>132</v>
      </c>
      <c r="G1348" s="2">
        <f t="shared" si="64"/>
        <v>4</v>
      </c>
      <c r="H1348"/>
      <c r="I1348"/>
    </row>
    <row r="1349" spans="1:9" x14ac:dyDescent="0.2">
      <c r="B1349" s="3"/>
      <c r="C1349" s="3" t="s">
        <v>27</v>
      </c>
      <c r="D1349" s="2">
        <v>5496</v>
      </c>
      <c r="E1349" s="2">
        <v>255</v>
      </c>
      <c r="F1349" s="2">
        <f t="shared" si="66"/>
        <v>157</v>
      </c>
      <c r="G1349" s="2">
        <f t="shared" si="64"/>
        <v>6</v>
      </c>
      <c r="H1349"/>
      <c r="I1349"/>
    </row>
    <row r="1350" spans="1:9" x14ac:dyDescent="0.2">
      <c r="C1350" s="3" t="s">
        <v>42</v>
      </c>
      <c r="D1350" s="2">
        <v>2395</v>
      </c>
      <c r="E1350" s="2">
        <v>136</v>
      </c>
      <c r="F1350" s="2">
        <f t="shared" si="66"/>
        <v>15</v>
      </c>
      <c r="G1350" s="2">
        <f t="shared" si="64"/>
        <v>1</v>
      </c>
      <c r="H1350"/>
      <c r="I1350"/>
    </row>
    <row r="1351" spans="1:9" x14ac:dyDescent="0.2">
      <c r="C1351" s="3" t="s">
        <v>43</v>
      </c>
      <c r="D1351" s="2">
        <v>4281</v>
      </c>
      <c r="E1351" s="2">
        <v>84</v>
      </c>
      <c r="F1351" s="2">
        <f t="shared" si="66"/>
        <v>118</v>
      </c>
      <c r="G1351" s="2">
        <f t="shared" si="64"/>
        <v>4</v>
      </c>
      <c r="H1351"/>
      <c r="I1351"/>
    </row>
    <row r="1352" spans="1:9" x14ac:dyDescent="0.2">
      <c r="A1352" s="1">
        <v>43967</v>
      </c>
      <c r="B1352" s="3" t="s">
        <v>5</v>
      </c>
      <c r="C1352" s="3" t="s">
        <v>6</v>
      </c>
      <c r="D1352" s="2">
        <v>58841</v>
      </c>
      <c r="E1352" s="2">
        <v>3800</v>
      </c>
      <c r="F1352" s="2">
        <f t="shared" si="66"/>
        <v>325</v>
      </c>
      <c r="G1352" s="2">
        <f t="shared" si="64"/>
        <v>19</v>
      </c>
      <c r="H1352" s="2">
        <f t="shared" si="65"/>
        <v>40669</v>
      </c>
      <c r="I1352" s="2">
        <v>1378717</v>
      </c>
    </row>
    <row r="1353" spans="1:9" x14ac:dyDescent="0.2">
      <c r="B1353" s="3"/>
      <c r="C1353" s="3" t="s">
        <v>7</v>
      </c>
      <c r="D1353" s="2">
        <v>51991</v>
      </c>
      <c r="E1353" s="2">
        <v>4222</v>
      </c>
      <c r="F1353" s="2">
        <f t="shared" si="66"/>
        <v>410</v>
      </c>
      <c r="G1353" s="2">
        <f t="shared" si="64"/>
        <v>22</v>
      </c>
      <c r="H1353"/>
      <c r="I1353"/>
    </row>
    <row r="1354" spans="1:9" x14ac:dyDescent="0.2">
      <c r="B1354" s="3"/>
      <c r="C1354" s="3" t="s">
        <v>8</v>
      </c>
      <c r="D1354" s="2">
        <v>39033</v>
      </c>
      <c r="E1354" s="2">
        <v>2507</v>
      </c>
      <c r="F1354" s="2">
        <f t="shared" si="66"/>
        <v>169</v>
      </c>
      <c r="G1354" s="2">
        <f t="shared" si="64"/>
        <v>8</v>
      </c>
      <c r="H1354"/>
      <c r="I1354"/>
    </row>
    <row r="1355" spans="1:9" x14ac:dyDescent="0.2">
      <c r="B1355" s="3"/>
      <c r="C1355" s="3" t="s">
        <v>35</v>
      </c>
      <c r="D1355" s="2">
        <v>42812</v>
      </c>
      <c r="E1355" s="2">
        <v>2843</v>
      </c>
      <c r="F1355" s="2">
        <f t="shared" si="66"/>
        <v>293</v>
      </c>
      <c r="G1355" s="2">
        <f t="shared" si="64"/>
        <v>11</v>
      </c>
      <c r="H1355"/>
      <c r="I1355"/>
    </row>
    <row r="1356" spans="1:9" x14ac:dyDescent="0.2">
      <c r="B1356" s="3"/>
      <c r="C1356" s="3" t="s">
        <v>14</v>
      </c>
      <c r="D1356" s="2">
        <v>37942</v>
      </c>
      <c r="E1356" s="2">
        <v>1783</v>
      </c>
      <c r="F1356" s="2">
        <f t="shared" si="66"/>
        <v>223</v>
      </c>
      <c r="G1356" s="2">
        <f t="shared" si="64"/>
        <v>26</v>
      </c>
      <c r="H1356"/>
      <c r="I1356"/>
    </row>
    <row r="1357" spans="1:9" x14ac:dyDescent="0.2">
      <c r="B1357" s="3" t="s">
        <v>9</v>
      </c>
      <c r="C1357" s="3" t="s">
        <v>10</v>
      </c>
      <c r="D1357" s="2">
        <v>17246</v>
      </c>
      <c r="E1357" s="2">
        <v>1450</v>
      </c>
      <c r="F1357" s="2">
        <f t="shared" si="66"/>
        <v>51</v>
      </c>
      <c r="G1357" s="2">
        <f t="shared" si="64"/>
        <v>7</v>
      </c>
      <c r="H1357" s="2">
        <f t="shared" si="65"/>
        <v>12252</v>
      </c>
      <c r="I1357" s="2">
        <f>SUM(145089+330135)</f>
        <v>475224</v>
      </c>
    </row>
    <row r="1358" spans="1:9" x14ac:dyDescent="0.2">
      <c r="B1358" s="3"/>
      <c r="C1358" s="3" t="s">
        <v>11</v>
      </c>
      <c r="D1358" s="2">
        <v>17326</v>
      </c>
      <c r="E1358" s="2">
        <v>1045</v>
      </c>
      <c r="F1358" s="2">
        <f t="shared" si="66"/>
        <v>89</v>
      </c>
      <c r="G1358" s="2">
        <f t="shared" si="64"/>
        <v>3</v>
      </c>
      <c r="H1358"/>
      <c r="I1358"/>
    </row>
    <row r="1359" spans="1:9" x14ac:dyDescent="0.2">
      <c r="B1359" s="3"/>
      <c r="C1359" s="3" t="s">
        <v>12</v>
      </c>
      <c r="D1359" s="2">
        <v>16032</v>
      </c>
      <c r="E1359" s="2">
        <v>1522</v>
      </c>
      <c r="F1359" s="2">
        <f t="shared" si="66"/>
        <v>79</v>
      </c>
      <c r="G1359" s="2">
        <f t="shared" si="64"/>
        <v>12</v>
      </c>
      <c r="H1359"/>
      <c r="I1359"/>
    </row>
    <row r="1360" spans="1:9" x14ac:dyDescent="0.2">
      <c r="B1360" s="3"/>
      <c r="C1360" s="3" t="s">
        <v>36</v>
      </c>
      <c r="D1360" s="2">
        <v>14569</v>
      </c>
      <c r="E1360" s="2">
        <v>946</v>
      </c>
      <c r="F1360" s="2">
        <f t="shared" si="66"/>
        <v>77</v>
      </c>
      <c r="G1360" s="2">
        <f t="shared" si="64"/>
        <v>7</v>
      </c>
      <c r="H1360"/>
      <c r="I1360"/>
    </row>
    <row r="1361" spans="2:9" x14ac:dyDescent="0.2">
      <c r="B1361" s="3"/>
      <c r="C1361" s="3" t="s">
        <v>37</v>
      </c>
      <c r="D1361" s="2">
        <v>15031</v>
      </c>
      <c r="E1361" s="2">
        <v>831</v>
      </c>
      <c r="F1361" s="2">
        <f t="shared" si="66"/>
        <v>101</v>
      </c>
      <c r="G1361" s="2">
        <f t="shared" si="64"/>
        <v>15</v>
      </c>
      <c r="H1361"/>
      <c r="I1361"/>
    </row>
    <row r="1362" spans="2:9" x14ac:dyDescent="0.2">
      <c r="B1362" s="3" t="s">
        <v>13</v>
      </c>
      <c r="C1362" s="3" t="s">
        <v>14</v>
      </c>
      <c r="D1362" s="2">
        <v>16346</v>
      </c>
      <c r="E1362" s="2">
        <v>778</v>
      </c>
      <c r="F1362" s="2">
        <f t="shared" si="66"/>
        <v>350</v>
      </c>
      <c r="G1362" s="2">
        <f t="shared" si="64"/>
        <v>10</v>
      </c>
      <c r="H1362" s="2">
        <f t="shared" si="65"/>
        <v>12410</v>
      </c>
      <c r="I1362" s="2">
        <v>448089</v>
      </c>
    </row>
    <row r="1363" spans="2:9" x14ac:dyDescent="0.2">
      <c r="B1363" s="3"/>
      <c r="C1363" s="3" t="s">
        <v>15</v>
      </c>
      <c r="D1363" s="2">
        <v>18883</v>
      </c>
      <c r="E1363" s="2">
        <v>1370</v>
      </c>
      <c r="F1363" s="2">
        <f t="shared" si="66"/>
        <v>200</v>
      </c>
      <c r="G1363" s="2">
        <f t="shared" si="64"/>
        <v>23</v>
      </c>
      <c r="H1363"/>
      <c r="I1363"/>
    </row>
    <row r="1364" spans="2:9" x14ac:dyDescent="0.2">
      <c r="B1364" s="3"/>
      <c r="C1364" s="3" t="s">
        <v>12</v>
      </c>
      <c r="D1364" s="2">
        <v>12314</v>
      </c>
      <c r="E1364" s="2">
        <v>766</v>
      </c>
      <c r="F1364" s="2">
        <f t="shared" si="66"/>
        <v>183</v>
      </c>
      <c r="G1364" s="2">
        <f t="shared" si="64"/>
        <v>15</v>
      </c>
      <c r="H1364"/>
      <c r="I1364"/>
    </row>
    <row r="1365" spans="2:9" x14ac:dyDescent="0.2">
      <c r="B1365" s="3"/>
      <c r="C1365" s="3" t="s">
        <v>33</v>
      </c>
      <c r="D1365" s="2">
        <v>7412</v>
      </c>
      <c r="E1365" s="2">
        <v>719</v>
      </c>
      <c r="F1365" s="2">
        <f t="shared" si="66"/>
        <v>81</v>
      </c>
      <c r="G1365" s="2">
        <f t="shared" si="64"/>
        <v>9</v>
      </c>
      <c r="H1365"/>
      <c r="I1365"/>
    </row>
    <row r="1366" spans="2:9" x14ac:dyDescent="0.2">
      <c r="B1366" s="3"/>
      <c r="C1366" s="3" t="s">
        <v>34</v>
      </c>
      <c r="D1366" s="2">
        <v>9067</v>
      </c>
      <c r="E1366" s="2">
        <v>554</v>
      </c>
      <c r="F1366" s="2">
        <f t="shared" si="66"/>
        <v>281</v>
      </c>
      <c r="G1366" s="2">
        <f t="shared" si="64"/>
        <v>16</v>
      </c>
      <c r="H1366"/>
      <c r="I1366"/>
    </row>
    <row r="1367" spans="2:9" x14ac:dyDescent="0.2">
      <c r="B1367" s="3" t="s">
        <v>23</v>
      </c>
      <c r="C1367" s="3" t="s">
        <v>24</v>
      </c>
      <c r="D1367" s="2">
        <f>SUM(10327+8689)</f>
        <v>19016</v>
      </c>
      <c r="E1367" s="2">
        <f>SUM(957+1255)</f>
        <v>2212</v>
      </c>
      <c r="F1367" s="2">
        <f t="shared" si="66"/>
        <v>134</v>
      </c>
      <c r="G1367" s="2">
        <f t="shared" si="64"/>
        <v>20</v>
      </c>
      <c r="H1367" s="2">
        <f t="shared" si="65"/>
        <v>425</v>
      </c>
      <c r="I1367" s="2">
        <f>SUM(50504+307417)</f>
        <v>357921</v>
      </c>
    </row>
    <row r="1368" spans="2:9" x14ac:dyDescent="0.2">
      <c r="B1368" s="3"/>
      <c r="C1368" s="3" t="s">
        <v>25</v>
      </c>
      <c r="D1368" s="2">
        <v>8023</v>
      </c>
      <c r="E1368" s="2">
        <v>910</v>
      </c>
      <c r="F1368" s="2">
        <f t="shared" si="66"/>
        <v>29</v>
      </c>
      <c r="G1368" s="2">
        <f t="shared" si="64"/>
        <v>14</v>
      </c>
      <c r="H1368"/>
      <c r="I1368"/>
    </row>
    <row r="1369" spans="2:9" x14ac:dyDescent="0.2">
      <c r="B1369" s="3"/>
      <c r="C1369" s="3" t="s">
        <v>28</v>
      </c>
      <c r="D1369" s="2">
        <v>6304</v>
      </c>
      <c r="E1369" s="2">
        <v>739</v>
      </c>
      <c r="F1369" s="2">
        <f t="shared" si="66"/>
        <v>30</v>
      </c>
      <c r="G1369" s="2">
        <f t="shared" si="64"/>
        <v>10</v>
      </c>
      <c r="H1369"/>
      <c r="I1369"/>
    </row>
    <row r="1370" spans="2:9" x14ac:dyDescent="0.2">
      <c r="B1370" s="3"/>
      <c r="C1370" s="3" t="s">
        <v>38</v>
      </c>
      <c r="D1370" s="2">
        <v>1845</v>
      </c>
      <c r="E1370" s="2">
        <v>230</v>
      </c>
      <c r="F1370" s="2">
        <f t="shared" si="66"/>
        <v>10</v>
      </c>
      <c r="G1370" s="2">
        <f t="shared" si="64"/>
        <v>1</v>
      </c>
      <c r="H1370"/>
      <c r="I1370"/>
    </row>
    <row r="1371" spans="2:9" x14ac:dyDescent="0.2">
      <c r="B1371" s="3"/>
      <c r="C1371" s="3" t="s">
        <v>39</v>
      </c>
      <c r="D1371" s="2">
        <v>1241</v>
      </c>
      <c r="E1371" s="2">
        <v>88</v>
      </c>
      <c r="F1371" s="2">
        <f t="shared" si="66"/>
        <v>5</v>
      </c>
      <c r="G1371" s="2">
        <f t="shared" si="64"/>
        <v>1</v>
      </c>
      <c r="H1371"/>
      <c r="I1371"/>
    </row>
    <row r="1372" spans="2:9" x14ac:dyDescent="0.2">
      <c r="B1372" s="3" t="s">
        <v>16</v>
      </c>
      <c r="C1372" s="3" t="s">
        <v>17</v>
      </c>
      <c r="D1372" s="2">
        <v>16032</v>
      </c>
      <c r="E1372" s="2">
        <v>1031</v>
      </c>
      <c r="F1372" s="2">
        <f t="shared" si="66"/>
        <v>197</v>
      </c>
      <c r="G1372" s="2">
        <f t="shared" si="64"/>
        <v>10</v>
      </c>
      <c r="H1372" s="2">
        <f t="shared" si="65"/>
        <v>8004</v>
      </c>
      <c r="I1372" s="2">
        <f>SUM(61611+266225)</f>
        <v>327836</v>
      </c>
    </row>
    <row r="1373" spans="2:9" x14ac:dyDescent="0.2">
      <c r="B1373" s="3"/>
      <c r="C1373" s="3" t="s">
        <v>18</v>
      </c>
      <c r="D1373" s="2">
        <v>5797</v>
      </c>
      <c r="E1373" s="2">
        <v>614</v>
      </c>
      <c r="F1373" s="2">
        <f t="shared" si="66"/>
        <v>100</v>
      </c>
      <c r="G1373" s="2">
        <f t="shared" si="64"/>
        <v>6</v>
      </c>
      <c r="H1373"/>
      <c r="I1373"/>
    </row>
    <row r="1374" spans="2:9" x14ac:dyDescent="0.2">
      <c r="B1374" s="3"/>
      <c r="C1374" s="3" t="s">
        <v>19</v>
      </c>
      <c r="D1374" s="2">
        <v>5555</v>
      </c>
      <c r="E1374" s="2">
        <v>478</v>
      </c>
      <c r="F1374" s="2">
        <f t="shared" si="66"/>
        <v>146</v>
      </c>
      <c r="G1374" s="2">
        <f t="shared" si="64"/>
        <v>12</v>
      </c>
      <c r="H1374"/>
      <c r="I1374"/>
    </row>
    <row r="1375" spans="2:9" x14ac:dyDescent="0.2">
      <c r="B1375" s="3"/>
      <c r="C1375" s="3" t="s">
        <v>40</v>
      </c>
      <c r="D1375" s="2">
        <v>3440</v>
      </c>
      <c r="E1375" s="2">
        <v>139</v>
      </c>
      <c r="F1375" s="2">
        <f t="shared" si="66"/>
        <v>44</v>
      </c>
      <c r="G1375" s="2">
        <f t="shared" si="64"/>
        <v>3</v>
      </c>
      <c r="H1375"/>
      <c r="I1375"/>
    </row>
    <row r="1376" spans="2:9" x14ac:dyDescent="0.2">
      <c r="B1376" s="3"/>
      <c r="C1376" s="3" t="s">
        <v>41</v>
      </c>
      <c r="D1376" s="2">
        <v>3643</v>
      </c>
      <c r="E1376" s="2">
        <v>208</v>
      </c>
      <c r="F1376" s="2">
        <f t="shared" si="66"/>
        <v>50</v>
      </c>
      <c r="G1376" s="2">
        <f t="shared" si="64"/>
        <v>1</v>
      </c>
      <c r="H1376"/>
      <c r="I1376"/>
    </row>
    <row r="1377" spans="1:9" x14ac:dyDescent="0.2">
      <c r="B1377" s="3" t="s">
        <v>20</v>
      </c>
      <c r="C1377" s="3" t="s">
        <v>22</v>
      </c>
      <c r="D1377" s="2">
        <v>37352</v>
      </c>
      <c r="E1377" s="2">
        <v>1793</v>
      </c>
      <c r="F1377" s="2">
        <f t="shared" si="66"/>
        <v>1035</v>
      </c>
      <c r="G1377" s="2">
        <f t="shared" ref="G1377:G1440" si="67">SUM(E1377-E1347)</f>
        <v>38</v>
      </c>
      <c r="H1377" s="2">
        <f t="shared" ref="H1377:H1437" si="68">SUM(I1377-I1347)</f>
        <v>56117</v>
      </c>
      <c r="I1377" s="2">
        <v>1235243</v>
      </c>
    </row>
    <row r="1378" spans="1:9" x14ac:dyDescent="0.2">
      <c r="B1378" s="3"/>
      <c r="C1378" s="3" t="s">
        <v>26</v>
      </c>
      <c r="D1378" s="2">
        <v>5664</v>
      </c>
      <c r="E1378" s="2">
        <v>235</v>
      </c>
      <c r="F1378" s="2">
        <f t="shared" si="66"/>
        <v>139</v>
      </c>
      <c r="G1378" s="2">
        <f t="shared" si="67"/>
        <v>0</v>
      </c>
      <c r="H1378"/>
      <c r="I1378"/>
    </row>
    <row r="1379" spans="1:9" x14ac:dyDescent="0.2">
      <c r="B1379" s="3"/>
      <c r="C1379" s="3" t="s">
        <v>27</v>
      </c>
      <c r="D1379" s="2">
        <v>5633</v>
      </c>
      <c r="E1379" s="2">
        <v>259</v>
      </c>
      <c r="F1379" s="2">
        <f t="shared" si="66"/>
        <v>137</v>
      </c>
      <c r="G1379" s="2">
        <f t="shared" si="67"/>
        <v>4</v>
      </c>
      <c r="H1379"/>
      <c r="I1379"/>
    </row>
    <row r="1380" spans="1:9" x14ac:dyDescent="0.2">
      <c r="C1380" s="3" t="s">
        <v>42</v>
      </c>
      <c r="D1380" s="2">
        <v>2420</v>
      </c>
      <c r="E1380" s="2">
        <v>136</v>
      </c>
      <c r="F1380" s="2">
        <f t="shared" si="66"/>
        <v>25</v>
      </c>
      <c r="G1380" s="2">
        <f t="shared" si="67"/>
        <v>0</v>
      </c>
      <c r="H1380"/>
      <c r="I1380"/>
    </row>
    <row r="1381" spans="1:9" x14ac:dyDescent="0.2">
      <c r="C1381" s="3" t="s">
        <v>43</v>
      </c>
      <c r="D1381" s="2">
        <v>4396</v>
      </c>
      <c r="E1381" s="2">
        <v>87</v>
      </c>
      <c r="F1381" s="2">
        <f t="shared" si="66"/>
        <v>115</v>
      </c>
      <c r="G1381" s="2">
        <f t="shared" si="67"/>
        <v>3</v>
      </c>
      <c r="H1381"/>
      <c r="I1381"/>
    </row>
    <row r="1382" spans="1:9" x14ac:dyDescent="0.2">
      <c r="A1382" s="1">
        <v>43968</v>
      </c>
      <c r="B1382" s="3" t="s">
        <v>5</v>
      </c>
      <c r="C1382" s="3" t="s">
        <v>6</v>
      </c>
      <c r="D1382" s="2">
        <v>59132</v>
      </c>
      <c r="E1382" s="2">
        <v>3816</v>
      </c>
      <c r="F1382" s="2">
        <f t="shared" si="66"/>
        <v>291</v>
      </c>
      <c r="G1382" s="2">
        <f t="shared" si="67"/>
        <v>16</v>
      </c>
      <c r="H1382" s="2">
        <f t="shared" si="68"/>
        <v>34679</v>
      </c>
      <c r="I1382" s="2">
        <v>1413396</v>
      </c>
    </row>
    <row r="1383" spans="1:9" x14ac:dyDescent="0.2">
      <c r="B1383" s="3"/>
      <c r="C1383" s="3" t="s">
        <v>7</v>
      </c>
      <c r="D1383" s="2">
        <v>52298</v>
      </c>
      <c r="E1383" s="2">
        <v>4241</v>
      </c>
      <c r="F1383" s="2">
        <f t="shared" si="66"/>
        <v>307</v>
      </c>
      <c r="G1383" s="2">
        <f t="shared" si="67"/>
        <v>19</v>
      </c>
      <c r="H1383"/>
      <c r="I1383"/>
    </row>
    <row r="1384" spans="1:9" x14ac:dyDescent="0.2">
      <c r="B1384" s="3"/>
      <c r="C1384" s="3" t="s">
        <v>8</v>
      </c>
      <c r="D1384" s="2">
        <v>39136</v>
      </c>
      <c r="E1384" s="2">
        <v>2517</v>
      </c>
      <c r="F1384" s="2">
        <f t="shared" si="66"/>
        <v>103</v>
      </c>
      <c r="G1384" s="2">
        <f t="shared" si="67"/>
        <v>10</v>
      </c>
      <c r="H1384"/>
      <c r="I1384"/>
    </row>
    <row r="1385" spans="1:9" x14ac:dyDescent="0.2">
      <c r="B1385" s="3"/>
      <c r="C1385" s="3" t="s">
        <v>35</v>
      </c>
      <c r="D1385" s="2">
        <v>43022</v>
      </c>
      <c r="E1385" s="2">
        <v>2854</v>
      </c>
      <c r="F1385" s="2">
        <f t="shared" si="66"/>
        <v>210</v>
      </c>
      <c r="G1385" s="2">
        <f t="shared" si="67"/>
        <v>11</v>
      </c>
      <c r="H1385"/>
      <c r="I1385"/>
    </row>
    <row r="1386" spans="1:9" x14ac:dyDescent="0.2">
      <c r="B1386" s="3"/>
      <c r="C1386" s="3" t="s">
        <v>14</v>
      </c>
      <c r="D1386" s="2">
        <v>38117</v>
      </c>
      <c r="E1386" s="2">
        <v>1799</v>
      </c>
      <c r="F1386" s="2">
        <f t="shared" si="66"/>
        <v>175</v>
      </c>
      <c r="G1386" s="2">
        <f t="shared" si="67"/>
        <v>16</v>
      </c>
      <c r="H1386"/>
      <c r="I1386"/>
    </row>
    <row r="1387" spans="1:9" x14ac:dyDescent="0.2">
      <c r="B1387" s="3" t="s">
        <v>9</v>
      </c>
      <c r="C1387" s="3" t="s">
        <v>10</v>
      </c>
      <c r="D1387" s="2">
        <v>17361</v>
      </c>
      <c r="E1387" s="2">
        <v>1455</v>
      </c>
      <c r="F1387" s="2">
        <f t="shared" si="66"/>
        <v>115</v>
      </c>
      <c r="G1387" s="2">
        <f t="shared" si="67"/>
        <v>5</v>
      </c>
      <c r="H1387" s="2">
        <f t="shared" si="68"/>
        <v>12341</v>
      </c>
      <c r="I1387" s="2">
        <v>487565</v>
      </c>
    </row>
    <row r="1388" spans="1:9" x14ac:dyDescent="0.2">
      <c r="B1388" s="3"/>
      <c r="C1388" s="3" t="s">
        <v>11</v>
      </c>
      <c r="D1388" s="2">
        <v>17447</v>
      </c>
      <c r="E1388" s="2">
        <v>1057</v>
      </c>
      <c r="F1388" s="2">
        <f t="shared" si="66"/>
        <v>121</v>
      </c>
      <c r="G1388" s="2">
        <f t="shared" si="67"/>
        <v>12</v>
      </c>
      <c r="H1388"/>
      <c r="I1388"/>
    </row>
    <row r="1389" spans="1:9" x14ac:dyDescent="0.2">
      <c r="B1389" s="3"/>
      <c r="C1389" s="3" t="s">
        <v>12</v>
      </c>
      <c r="D1389" s="2">
        <v>16140</v>
      </c>
      <c r="E1389" s="2">
        <v>1528</v>
      </c>
      <c r="F1389" s="2">
        <f t="shared" si="66"/>
        <v>108</v>
      </c>
      <c r="G1389" s="2">
        <f t="shared" si="67"/>
        <v>6</v>
      </c>
      <c r="H1389"/>
      <c r="I1389"/>
    </row>
    <row r="1390" spans="1:9" x14ac:dyDescent="0.2">
      <c r="B1390" s="3"/>
      <c r="C1390" s="3" t="s">
        <v>36</v>
      </c>
      <c r="D1390" s="2">
        <v>14702</v>
      </c>
      <c r="E1390" s="2">
        <v>957</v>
      </c>
      <c r="F1390" s="2">
        <f t="shared" si="66"/>
        <v>133</v>
      </c>
      <c r="G1390" s="2">
        <f t="shared" si="67"/>
        <v>11</v>
      </c>
      <c r="H1390"/>
      <c r="I1390"/>
    </row>
    <row r="1391" spans="1:9" x14ac:dyDescent="0.2">
      <c r="B1391" s="3"/>
      <c r="C1391" s="3" t="s">
        <v>37</v>
      </c>
      <c r="D1391" s="2">
        <v>15205</v>
      </c>
      <c r="E1391" s="2">
        <v>838</v>
      </c>
      <c r="F1391" s="2">
        <f t="shared" ref="F1391:F1454" si="69">SUM(D1391-D1361)</f>
        <v>174</v>
      </c>
      <c r="G1391" s="2">
        <f t="shared" si="67"/>
        <v>7</v>
      </c>
      <c r="H1391"/>
      <c r="I1391"/>
    </row>
    <row r="1392" spans="1:9" x14ac:dyDescent="0.2">
      <c r="B1392" s="3" t="s">
        <v>13</v>
      </c>
      <c r="C1392" s="3" t="s">
        <v>14</v>
      </c>
      <c r="D1392" s="2">
        <v>16479</v>
      </c>
      <c r="E1392" s="2">
        <v>787</v>
      </c>
      <c r="F1392" s="2">
        <f t="shared" si="69"/>
        <v>133</v>
      </c>
      <c r="G1392" s="2">
        <f t="shared" si="67"/>
        <v>9</v>
      </c>
      <c r="H1392" s="2">
        <f t="shared" si="68"/>
        <v>12737</v>
      </c>
      <c r="I1392" s="2">
        <v>460826</v>
      </c>
    </row>
    <row r="1393" spans="2:9" x14ac:dyDescent="0.2">
      <c r="B1393" s="3"/>
      <c r="C1393" s="3" t="s">
        <v>15</v>
      </c>
      <c r="D1393" s="2">
        <v>19129</v>
      </c>
      <c r="E1393" s="2">
        <v>1394</v>
      </c>
      <c r="F1393" s="2">
        <f t="shared" si="69"/>
        <v>246</v>
      </c>
      <c r="G1393" s="2">
        <f t="shared" si="67"/>
        <v>24</v>
      </c>
      <c r="H1393"/>
      <c r="I1393"/>
    </row>
    <row r="1394" spans="2:9" x14ac:dyDescent="0.2">
      <c r="B1394" s="3"/>
      <c r="C1394" s="3" t="s">
        <v>12</v>
      </c>
      <c r="D1394" s="2">
        <v>12462</v>
      </c>
      <c r="E1394" s="2">
        <v>776</v>
      </c>
      <c r="F1394" s="2">
        <f t="shared" si="69"/>
        <v>148</v>
      </c>
      <c r="G1394" s="2">
        <f t="shared" si="67"/>
        <v>10</v>
      </c>
      <c r="H1394"/>
      <c r="I1394"/>
    </row>
    <row r="1395" spans="2:9" x14ac:dyDescent="0.2">
      <c r="B1395" s="3"/>
      <c r="C1395" s="3" t="s">
        <v>33</v>
      </c>
      <c r="D1395" s="2">
        <v>7474</v>
      </c>
      <c r="E1395" s="2">
        <v>725</v>
      </c>
      <c r="F1395" s="2">
        <f t="shared" si="69"/>
        <v>62</v>
      </c>
      <c r="G1395" s="2">
        <f t="shared" si="67"/>
        <v>6</v>
      </c>
      <c r="H1395"/>
      <c r="I1395"/>
    </row>
    <row r="1396" spans="2:9" x14ac:dyDescent="0.2">
      <c r="B1396" s="3"/>
      <c r="C1396" s="3" t="s">
        <v>34</v>
      </c>
      <c r="D1396" s="2">
        <v>9252</v>
      </c>
      <c r="E1396" s="2">
        <v>569</v>
      </c>
      <c r="F1396" s="2">
        <f t="shared" si="69"/>
        <v>185</v>
      </c>
      <c r="G1396" s="2">
        <f t="shared" si="67"/>
        <v>15</v>
      </c>
      <c r="H1396"/>
      <c r="I1396"/>
    </row>
    <row r="1397" spans="2:9" x14ac:dyDescent="0.2">
      <c r="B1397" s="3" t="s">
        <v>23</v>
      </c>
      <c r="C1397" s="3" t="s">
        <v>24</v>
      </c>
      <c r="D1397" s="2">
        <v>19065</v>
      </c>
      <c r="E1397" s="2">
        <v>2213</v>
      </c>
      <c r="F1397" s="2">
        <f t="shared" si="69"/>
        <v>49</v>
      </c>
      <c r="G1397" s="2">
        <f t="shared" si="67"/>
        <v>1</v>
      </c>
      <c r="H1397" s="2">
        <f t="shared" si="68"/>
        <v>39037</v>
      </c>
      <c r="I1397" s="2">
        <f>SUM(51142+345816)</f>
        <v>396958</v>
      </c>
    </row>
    <row r="1398" spans="2:9" x14ac:dyDescent="0.2">
      <c r="B1398" s="3"/>
      <c r="C1398" s="3" t="s">
        <v>25</v>
      </c>
      <c r="D1398" s="2">
        <v>8043</v>
      </c>
      <c r="E1398" s="2">
        <v>912</v>
      </c>
      <c r="F1398" s="2">
        <f t="shared" si="69"/>
        <v>20</v>
      </c>
      <c r="G1398" s="2">
        <f t="shared" si="67"/>
        <v>2</v>
      </c>
      <c r="H1398"/>
      <c r="I1398"/>
    </row>
    <row r="1399" spans="2:9" x14ac:dyDescent="0.2">
      <c r="B1399" s="3"/>
      <c r="C1399" s="3" t="s">
        <v>28</v>
      </c>
      <c r="D1399" s="2">
        <v>6345</v>
      </c>
      <c r="E1399" s="2">
        <v>740</v>
      </c>
      <c r="F1399" s="2">
        <f t="shared" si="69"/>
        <v>41</v>
      </c>
      <c r="G1399" s="2">
        <f t="shared" si="67"/>
        <v>1</v>
      </c>
      <c r="H1399"/>
      <c r="I1399"/>
    </row>
    <row r="1400" spans="2:9" x14ac:dyDescent="0.2">
      <c r="B1400" s="3"/>
      <c r="C1400" s="3" t="s">
        <v>38</v>
      </c>
      <c r="D1400" s="2">
        <v>1866</v>
      </c>
      <c r="E1400" s="2">
        <v>230</v>
      </c>
      <c r="F1400" s="2">
        <f t="shared" si="69"/>
        <v>21</v>
      </c>
      <c r="G1400" s="2">
        <f t="shared" si="67"/>
        <v>0</v>
      </c>
      <c r="H1400"/>
      <c r="I1400"/>
    </row>
    <row r="1401" spans="2:9" x14ac:dyDescent="0.2">
      <c r="B1401" s="3"/>
      <c r="C1401" s="3" t="s">
        <v>39</v>
      </c>
      <c r="D1401" s="2">
        <v>1242</v>
      </c>
      <c r="E1401" s="2">
        <v>88</v>
      </c>
      <c r="F1401" s="2">
        <f t="shared" si="69"/>
        <v>1</v>
      </c>
      <c r="G1401" s="2">
        <f t="shared" si="67"/>
        <v>0</v>
      </c>
      <c r="H1401"/>
      <c r="I1401"/>
    </row>
    <row r="1402" spans="2:9" x14ac:dyDescent="0.2">
      <c r="B1402" s="3" t="s">
        <v>16</v>
      </c>
      <c r="C1402" s="3" t="s">
        <v>17</v>
      </c>
      <c r="D1402" s="2">
        <v>16140</v>
      </c>
      <c r="E1402" s="2">
        <v>1031</v>
      </c>
      <c r="F1402" s="2">
        <f t="shared" si="69"/>
        <v>108</v>
      </c>
      <c r="G1402" s="2">
        <f t="shared" si="67"/>
        <v>0</v>
      </c>
      <c r="H1402" s="2">
        <f t="shared" si="68"/>
        <v>5068</v>
      </c>
      <c r="I1402" s="2">
        <f>SUM(62234+270670)</f>
        <v>332904</v>
      </c>
    </row>
    <row r="1403" spans="2:9" x14ac:dyDescent="0.2">
      <c r="B1403" s="3"/>
      <c r="C1403" s="3" t="s">
        <v>18</v>
      </c>
      <c r="D1403" s="2">
        <v>5872</v>
      </c>
      <c r="E1403" s="2">
        <v>620</v>
      </c>
      <c r="F1403" s="2">
        <f t="shared" si="69"/>
        <v>75</v>
      </c>
      <c r="G1403" s="2">
        <f t="shared" si="67"/>
        <v>6</v>
      </c>
      <c r="H1403"/>
      <c r="I1403"/>
    </row>
    <row r="1404" spans="2:9" x14ac:dyDescent="0.2">
      <c r="B1404" s="3"/>
      <c r="C1404" s="3" t="s">
        <v>19</v>
      </c>
      <c r="D1404" s="2">
        <v>5619</v>
      </c>
      <c r="E1404" s="2">
        <v>478</v>
      </c>
      <c r="F1404" s="2">
        <f t="shared" si="69"/>
        <v>64</v>
      </c>
      <c r="G1404" s="2">
        <f t="shared" si="67"/>
        <v>0</v>
      </c>
      <c r="H1404"/>
      <c r="I1404"/>
    </row>
    <row r="1405" spans="2:9" x14ac:dyDescent="0.2">
      <c r="B1405" s="3"/>
      <c r="C1405" s="3" t="s">
        <v>40</v>
      </c>
      <c r="D1405" s="2">
        <v>3470</v>
      </c>
      <c r="E1405" s="2">
        <v>139</v>
      </c>
      <c r="F1405" s="2">
        <f t="shared" si="69"/>
        <v>30</v>
      </c>
      <c r="G1405" s="2">
        <f t="shared" si="67"/>
        <v>0</v>
      </c>
      <c r="H1405"/>
      <c r="I1405"/>
    </row>
    <row r="1406" spans="2:9" x14ac:dyDescent="0.2">
      <c r="B1406" s="3"/>
      <c r="C1406" s="3" t="s">
        <v>41</v>
      </c>
      <c r="D1406" s="2">
        <v>3677</v>
      </c>
      <c r="E1406" s="2">
        <v>208</v>
      </c>
      <c r="F1406" s="2">
        <f t="shared" si="69"/>
        <v>34</v>
      </c>
      <c r="G1406" s="2">
        <f t="shared" si="67"/>
        <v>0</v>
      </c>
      <c r="H1406"/>
      <c r="I1406"/>
    </row>
    <row r="1407" spans="2:9" x14ac:dyDescent="0.2">
      <c r="B1407" s="3" t="s">
        <v>20</v>
      </c>
      <c r="C1407" s="3" t="s">
        <v>22</v>
      </c>
      <c r="D1407" s="2">
        <v>37996</v>
      </c>
      <c r="E1407" s="2">
        <v>1821</v>
      </c>
      <c r="F1407" s="2">
        <f t="shared" si="69"/>
        <v>644</v>
      </c>
      <c r="G1407" s="2">
        <f t="shared" si="67"/>
        <v>28</v>
      </c>
      <c r="H1407" s="2">
        <f t="shared" si="68"/>
        <v>57429</v>
      </c>
      <c r="I1407" s="2">
        <v>1292672</v>
      </c>
    </row>
    <row r="1408" spans="2:9" x14ac:dyDescent="0.2">
      <c r="B1408" s="3"/>
      <c r="C1408" s="3" t="s">
        <v>26</v>
      </c>
      <c r="D1408" s="2">
        <v>5838</v>
      </c>
      <c r="E1408" s="2">
        <v>242</v>
      </c>
      <c r="F1408" s="2">
        <f t="shared" si="69"/>
        <v>174</v>
      </c>
      <c r="G1408" s="2">
        <f t="shared" si="67"/>
        <v>7</v>
      </c>
      <c r="H1408"/>
      <c r="I1408"/>
    </row>
    <row r="1409" spans="1:9" x14ac:dyDescent="0.2">
      <c r="B1409" s="3"/>
      <c r="C1409" s="3" t="s">
        <v>27</v>
      </c>
      <c r="D1409" s="2">
        <v>5776</v>
      </c>
      <c r="E1409" s="2">
        <v>263</v>
      </c>
      <c r="F1409" s="2">
        <f t="shared" si="69"/>
        <v>143</v>
      </c>
      <c r="G1409" s="2">
        <f t="shared" si="67"/>
        <v>4</v>
      </c>
      <c r="H1409"/>
      <c r="I1409"/>
    </row>
    <row r="1410" spans="1:9" x14ac:dyDescent="0.2">
      <c r="C1410" s="3" t="s">
        <v>42</v>
      </c>
      <c r="D1410" s="2">
        <v>2453</v>
      </c>
      <c r="E1410" s="2">
        <v>136</v>
      </c>
      <c r="F1410" s="2">
        <f t="shared" si="69"/>
        <v>33</v>
      </c>
      <c r="G1410" s="2">
        <f t="shared" si="67"/>
        <v>0</v>
      </c>
      <c r="H1410"/>
      <c r="I1410"/>
    </row>
    <row r="1411" spans="1:9" x14ac:dyDescent="0.2">
      <c r="C1411" s="3" t="s">
        <v>43</v>
      </c>
      <c r="D1411" s="2">
        <v>4466</v>
      </c>
      <c r="E1411" s="2">
        <v>88</v>
      </c>
      <c r="F1411" s="2">
        <f t="shared" si="69"/>
        <v>70</v>
      </c>
      <c r="G1411" s="2">
        <f t="shared" si="67"/>
        <v>1</v>
      </c>
      <c r="H1411"/>
      <c r="I1411"/>
    </row>
    <row r="1412" spans="1:9" x14ac:dyDescent="0.2">
      <c r="A1412" s="1">
        <v>43969</v>
      </c>
      <c r="B1412" s="3" t="s">
        <v>5</v>
      </c>
      <c r="C1412" s="3" t="s">
        <v>6</v>
      </c>
      <c r="D1412" s="2">
        <v>59324</v>
      </c>
      <c r="E1412" s="2">
        <v>3826</v>
      </c>
      <c r="F1412" s="2">
        <f t="shared" si="69"/>
        <v>192</v>
      </c>
      <c r="G1412" s="2">
        <f t="shared" si="67"/>
        <v>10</v>
      </c>
      <c r="H1412" s="2">
        <f t="shared" si="68"/>
        <v>26161</v>
      </c>
      <c r="I1412" s="2">
        <v>1439557</v>
      </c>
    </row>
    <row r="1413" spans="1:9" x14ac:dyDescent="0.2">
      <c r="B1413" s="3"/>
      <c r="C1413" s="3" t="s">
        <v>7</v>
      </c>
      <c r="D1413" s="2">
        <v>52485</v>
      </c>
      <c r="E1413" s="2">
        <v>4261</v>
      </c>
      <c r="F1413" s="2">
        <f t="shared" si="69"/>
        <v>187</v>
      </c>
      <c r="G1413" s="2">
        <f t="shared" si="67"/>
        <v>20</v>
      </c>
      <c r="H1413"/>
      <c r="I1413"/>
    </row>
    <row r="1414" spans="1:9" x14ac:dyDescent="0.2">
      <c r="B1414" s="3"/>
      <c r="C1414" s="3" t="s">
        <v>8</v>
      </c>
      <c r="D1414" s="2">
        <v>39225</v>
      </c>
      <c r="E1414" s="2">
        <v>2530</v>
      </c>
      <c r="F1414" s="2">
        <f t="shared" si="69"/>
        <v>89</v>
      </c>
      <c r="G1414" s="2">
        <f t="shared" si="67"/>
        <v>13</v>
      </c>
      <c r="H1414"/>
      <c r="I1414"/>
    </row>
    <row r="1415" spans="1:9" x14ac:dyDescent="0.2">
      <c r="B1415" s="3"/>
      <c r="C1415" s="3" t="s">
        <v>35</v>
      </c>
      <c r="D1415" s="2">
        <v>43158</v>
      </c>
      <c r="E1415" s="2">
        <v>2871</v>
      </c>
      <c r="F1415" s="2">
        <f t="shared" si="69"/>
        <v>136</v>
      </c>
      <c r="G1415" s="2">
        <f t="shared" si="67"/>
        <v>17</v>
      </c>
      <c r="H1415"/>
      <c r="I1415"/>
    </row>
    <row r="1416" spans="1:9" x14ac:dyDescent="0.2">
      <c r="B1416" s="3"/>
      <c r="C1416" s="3" t="s">
        <v>14</v>
      </c>
      <c r="D1416" s="2">
        <v>38224</v>
      </c>
      <c r="E1416" s="2">
        <v>1804</v>
      </c>
      <c r="F1416" s="2">
        <f t="shared" si="69"/>
        <v>107</v>
      </c>
      <c r="G1416" s="2">
        <f t="shared" si="67"/>
        <v>5</v>
      </c>
      <c r="H1416"/>
      <c r="I1416"/>
    </row>
    <row r="1417" spans="1:9" x14ac:dyDescent="0.2">
      <c r="B1417" s="3" t="s">
        <v>9</v>
      </c>
      <c r="C1417" s="3" t="s">
        <v>10</v>
      </c>
      <c r="D1417" s="2">
        <v>17459</v>
      </c>
      <c r="E1417" s="2">
        <v>1460</v>
      </c>
      <c r="F1417" s="2">
        <f t="shared" si="69"/>
        <v>98</v>
      </c>
      <c r="G1417" s="2">
        <f t="shared" si="67"/>
        <v>5</v>
      </c>
      <c r="H1417" s="2">
        <f t="shared" si="68"/>
        <v>18004</v>
      </c>
      <c r="I1417" s="2">
        <f>SUM(148039+357530)</f>
        <v>505569</v>
      </c>
    </row>
    <row r="1418" spans="1:9" x14ac:dyDescent="0.2">
      <c r="B1418" s="3"/>
      <c r="C1418" s="3" t="s">
        <v>11</v>
      </c>
      <c r="D1418" s="2">
        <v>27574</v>
      </c>
      <c r="E1418" s="2">
        <v>1068</v>
      </c>
      <c r="F1418" s="2">
        <f t="shared" si="69"/>
        <v>10127</v>
      </c>
      <c r="G1418" s="2">
        <f t="shared" si="67"/>
        <v>11</v>
      </c>
      <c r="H1418"/>
      <c r="I1418"/>
    </row>
    <row r="1419" spans="1:9" x14ac:dyDescent="0.2">
      <c r="B1419" s="3"/>
      <c r="C1419" s="3" t="s">
        <v>12</v>
      </c>
      <c r="D1419" s="2">
        <v>16600</v>
      </c>
      <c r="E1419" s="2">
        <v>1546</v>
      </c>
      <c r="F1419" s="2">
        <f t="shared" si="69"/>
        <v>460</v>
      </c>
      <c r="G1419" s="2">
        <f t="shared" si="67"/>
        <v>18</v>
      </c>
      <c r="H1419"/>
      <c r="I1419"/>
    </row>
    <row r="1420" spans="1:9" x14ac:dyDescent="0.2">
      <c r="B1420" s="3"/>
      <c r="C1420" s="3" t="s">
        <v>36</v>
      </c>
      <c r="D1420" s="2">
        <v>14903</v>
      </c>
      <c r="E1420" s="2">
        <v>962</v>
      </c>
      <c r="F1420" s="2">
        <f t="shared" si="69"/>
        <v>201</v>
      </c>
      <c r="G1420" s="2">
        <f t="shared" si="67"/>
        <v>5</v>
      </c>
      <c r="H1420"/>
      <c r="I1420"/>
    </row>
    <row r="1421" spans="1:9" x14ac:dyDescent="0.2">
      <c r="B1421" s="3"/>
      <c r="C1421" s="3" t="s">
        <v>37</v>
      </c>
      <c r="D1421" s="2">
        <v>15278</v>
      </c>
      <c r="E1421" s="2">
        <v>839</v>
      </c>
      <c r="F1421" s="2">
        <f t="shared" si="69"/>
        <v>73</v>
      </c>
      <c r="G1421" s="2">
        <f t="shared" si="67"/>
        <v>1</v>
      </c>
      <c r="H1421"/>
      <c r="I1421"/>
    </row>
    <row r="1422" spans="1:9" x14ac:dyDescent="0.2">
      <c r="B1422" s="3" t="s">
        <v>13</v>
      </c>
      <c r="C1422" s="3" t="s">
        <v>14</v>
      </c>
      <c r="D1422" s="2">
        <v>16671</v>
      </c>
      <c r="E1422" s="2">
        <v>793</v>
      </c>
      <c r="F1422" s="2">
        <f t="shared" si="69"/>
        <v>192</v>
      </c>
      <c r="G1422" s="2">
        <f t="shared" si="67"/>
        <v>6</v>
      </c>
      <c r="H1422" s="2">
        <f t="shared" si="68"/>
        <v>8373</v>
      </c>
      <c r="I1422" s="2">
        <v>469199</v>
      </c>
    </row>
    <row r="1423" spans="1:9" x14ac:dyDescent="0.2">
      <c r="B1423" s="3"/>
      <c r="C1423" s="3" t="s">
        <v>15</v>
      </c>
      <c r="D1423" s="2">
        <v>19345</v>
      </c>
      <c r="E1423" s="2">
        <v>1412</v>
      </c>
      <c r="F1423" s="2">
        <f t="shared" si="69"/>
        <v>216</v>
      </c>
      <c r="G1423" s="2">
        <f t="shared" si="67"/>
        <v>18</v>
      </c>
      <c r="H1423"/>
      <c r="I1423"/>
    </row>
    <row r="1424" spans="1:9" x14ac:dyDescent="0.2">
      <c r="B1424" s="3"/>
      <c r="C1424" s="3" t="s">
        <v>12</v>
      </c>
      <c r="D1424" s="2">
        <v>12587</v>
      </c>
      <c r="E1424" s="2">
        <v>790</v>
      </c>
      <c r="F1424" s="2">
        <f t="shared" si="69"/>
        <v>125</v>
      </c>
      <c r="G1424" s="2">
        <f t="shared" si="67"/>
        <v>14</v>
      </c>
      <c r="H1424"/>
      <c r="I1424"/>
    </row>
    <row r="1425" spans="2:9" x14ac:dyDescent="0.2">
      <c r="B1425" s="3"/>
      <c r="C1425" s="3" t="s">
        <v>33</v>
      </c>
      <c r="D1425" s="2">
        <v>7524</v>
      </c>
      <c r="E1425" s="2">
        <v>728</v>
      </c>
      <c r="F1425" s="2">
        <f t="shared" si="69"/>
        <v>50</v>
      </c>
      <c r="G1425" s="2">
        <f t="shared" si="67"/>
        <v>3</v>
      </c>
      <c r="H1425"/>
      <c r="I1425"/>
    </row>
    <row r="1426" spans="2:9" x14ac:dyDescent="0.2">
      <c r="B1426" s="3"/>
      <c r="C1426" s="3" t="s">
        <v>34</v>
      </c>
      <c r="D1426" s="2">
        <v>9442</v>
      </c>
      <c r="E1426" s="2">
        <v>581</v>
      </c>
      <c r="F1426" s="2">
        <f t="shared" si="69"/>
        <v>190</v>
      </c>
      <c r="G1426" s="2">
        <f t="shared" si="67"/>
        <v>12</v>
      </c>
      <c r="H1426"/>
      <c r="I1426"/>
    </row>
    <row r="1427" spans="2:9" x14ac:dyDescent="0.2">
      <c r="B1427" s="3" t="s">
        <v>23</v>
      </c>
      <c r="C1427" s="3" t="s">
        <v>24</v>
      </c>
      <c r="D1427" s="2">
        <v>19128</v>
      </c>
      <c r="E1427" s="2">
        <v>2226</v>
      </c>
      <c r="F1427" s="2">
        <f t="shared" si="69"/>
        <v>63</v>
      </c>
      <c r="G1427" s="2">
        <f t="shared" si="67"/>
        <v>13</v>
      </c>
      <c r="H1427" s="2">
        <f t="shared" si="68"/>
        <v>13220</v>
      </c>
      <c r="I1427" s="2">
        <f>SUM(51915+358263)</f>
        <v>410178</v>
      </c>
    </row>
    <row r="1428" spans="2:9" x14ac:dyDescent="0.2">
      <c r="B1428" s="3"/>
      <c r="C1428" s="3" t="s">
        <v>25</v>
      </c>
      <c r="D1428" s="2">
        <v>8050</v>
      </c>
      <c r="E1428" s="2">
        <v>913</v>
      </c>
      <c r="F1428" s="2">
        <f t="shared" si="69"/>
        <v>7</v>
      </c>
      <c r="G1428" s="2">
        <f t="shared" si="67"/>
        <v>1</v>
      </c>
      <c r="H1428"/>
      <c r="I1428"/>
    </row>
    <row r="1429" spans="2:9" x14ac:dyDescent="0.2">
      <c r="B1429" s="3"/>
      <c r="C1429" s="3" t="s">
        <v>28</v>
      </c>
      <c r="D1429" s="2">
        <v>6357</v>
      </c>
      <c r="E1429" s="2">
        <v>740</v>
      </c>
      <c r="F1429" s="2">
        <f t="shared" si="69"/>
        <v>12</v>
      </c>
      <c r="G1429" s="2">
        <f t="shared" si="67"/>
        <v>0</v>
      </c>
      <c r="H1429"/>
      <c r="I1429"/>
    </row>
    <row r="1430" spans="2:9" x14ac:dyDescent="0.2">
      <c r="B1430" s="3"/>
      <c r="C1430" s="3" t="s">
        <v>38</v>
      </c>
      <c r="D1430" s="2">
        <v>1869</v>
      </c>
      <c r="E1430" s="2">
        <v>231</v>
      </c>
      <c r="F1430" s="2">
        <f t="shared" si="69"/>
        <v>3</v>
      </c>
      <c r="G1430" s="2">
        <f t="shared" si="67"/>
        <v>1</v>
      </c>
      <c r="H1430"/>
      <c r="I1430"/>
    </row>
    <row r="1431" spans="2:9" x14ac:dyDescent="0.2">
      <c r="B1431" s="3"/>
      <c r="C1431" s="3" t="s">
        <v>39</v>
      </c>
      <c r="D1431" s="2">
        <v>1245</v>
      </c>
      <c r="E1431" s="2">
        <v>89</v>
      </c>
      <c r="F1431" s="2">
        <f t="shared" si="69"/>
        <v>3</v>
      </c>
      <c r="G1431" s="2">
        <f t="shared" si="67"/>
        <v>1</v>
      </c>
      <c r="H1431"/>
      <c r="I1431"/>
    </row>
    <row r="1432" spans="2:9" x14ac:dyDescent="0.2">
      <c r="B1432" s="3" t="s">
        <v>16</v>
      </c>
      <c r="C1432" s="3" t="s">
        <v>17</v>
      </c>
      <c r="D1432" s="2">
        <v>16340</v>
      </c>
      <c r="E1432" s="2">
        <v>1080</v>
      </c>
      <c r="F1432" s="2">
        <f t="shared" si="69"/>
        <v>200</v>
      </c>
      <c r="G1432" s="2">
        <f t="shared" si="67"/>
        <v>49</v>
      </c>
      <c r="H1432" s="2">
        <f t="shared" si="68"/>
        <v>7705</v>
      </c>
      <c r="I1432" s="2">
        <f>SUM(63056+277553)</f>
        <v>340609</v>
      </c>
    </row>
    <row r="1433" spans="2:9" x14ac:dyDescent="0.2">
      <c r="B1433" s="3"/>
      <c r="C1433" s="3" t="s">
        <v>18</v>
      </c>
      <c r="D1433" s="2">
        <v>6012</v>
      </c>
      <c r="F1433" s="2">
        <f t="shared" si="69"/>
        <v>140</v>
      </c>
      <c r="H1433"/>
      <c r="I1433"/>
    </row>
    <row r="1434" spans="2:9" x14ac:dyDescent="0.2">
      <c r="B1434" s="3"/>
      <c r="C1434" s="3" t="s">
        <v>19</v>
      </c>
      <c r="D1434" s="2">
        <v>5689</v>
      </c>
      <c r="E1434" s="2">
        <v>478</v>
      </c>
      <c r="F1434" s="2">
        <f t="shared" si="69"/>
        <v>70</v>
      </c>
      <c r="G1434" s="2">
        <f t="shared" si="67"/>
        <v>0</v>
      </c>
      <c r="H1434"/>
      <c r="I1434"/>
    </row>
    <row r="1435" spans="2:9" x14ac:dyDescent="0.2">
      <c r="B1435" s="3"/>
      <c r="C1435" s="3" t="s">
        <v>40</v>
      </c>
      <c r="D1435" s="2">
        <v>3491</v>
      </c>
      <c r="E1435" s="2">
        <v>173</v>
      </c>
      <c r="F1435" s="2">
        <f t="shared" si="69"/>
        <v>21</v>
      </c>
      <c r="G1435" s="2">
        <f t="shared" si="67"/>
        <v>34</v>
      </c>
      <c r="H1435"/>
      <c r="I1435"/>
    </row>
    <row r="1436" spans="2:9" x14ac:dyDescent="0.2">
      <c r="B1436" s="3"/>
      <c r="C1436" s="3" t="s">
        <v>41</v>
      </c>
      <c r="D1436" s="2">
        <v>3719</v>
      </c>
      <c r="E1436" s="2">
        <v>248</v>
      </c>
      <c r="F1436" s="2">
        <f t="shared" si="69"/>
        <v>42</v>
      </c>
      <c r="G1436" s="2">
        <f t="shared" si="67"/>
        <v>40</v>
      </c>
      <c r="H1436"/>
      <c r="I1436"/>
    </row>
    <row r="1437" spans="2:9" x14ac:dyDescent="0.2">
      <c r="B1437" s="3" t="s">
        <v>20</v>
      </c>
      <c r="C1437" s="3" t="s">
        <v>22</v>
      </c>
      <c r="D1437" s="2">
        <v>38477</v>
      </c>
      <c r="E1437" s="2">
        <v>1839</v>
      </c>
      <c r="F1437" s="2">
        <f t="shared" si="69"/>
        <v>481</v>
      </c>
      <c r="G1437" s="2">
        <f t="shared" si="67"/>
        <v>18</v>
      </c>
      <c r="H1437" s="2">
        <f t="shared" si="68"/>
        <v>46644</v>
      </c>
      <c r="I1437" s="2">
        <v>1339316</v>
      </c>
    </row>
    <row r="1438" spans="2:9" x14ac:dyDescent="0.2">
      <c r="B1438" s="3"/>
      <c r="C1438" s="3" t="s">
        <v>26</v>
      </c>
      <c r="D1438" s="2">
        <v>5948</v>
      </c>
      <c r="E1438" s="2">
        <v>242</v>
      </c>
      <c r="F1438" s="2">
        <f t="shared" si="69"/>
        <v>110</v>
      </c>
      <c r="G1438" s="2">
        <f t="shared" si="67"/>
        <v>0</v>
      </c>
      <c r="H1438"/>
      <c r="I1438"/>
    </row>
    <row r="1439" spans="2:9" x14ac:dyDescent="0.2">
      <c r="B1439" s="3"/>
      <c r="C1439" s="3" t="s">
        <v>27</v>
      </c>
      <c r="D1439" s="2">
        <v>5873</v>
      </c>
      <c r="E1439" s="2">
        <v>268</v>
      </c>
      <c r="F1439" s="2">
        <f t="shared" si="69"/>
        <v>97</v>
      </c>
      <c r="G1439" s="2">
        <f t="shared" si="67"/>
        <v>5</v>
      </c>
      <c r="H1439"/>
      <c r="I1439"/>
    </row>
    <row r="1440" spans="2:9" x14ac:dyDescent="0.2">
      <c r="C1440" s="3" t="s">
        <v>42</v>
      </c>
      <c r="D1440" s="2">
        <v>2468</v>
      </c>
      <c r="E1440" s="2">
        <v>136</v>
      </c>
      <c r="F1440" s="2">
        <f t="shared" si="69"/>
        <v>15</v>
      </c>
      <c r="G1440" s="2">
        <f t="shared" si="67"/>
        <v>0</v>
      </c>
      <c r="H1440"/>
      <c r="I1440"/>
    </row>
    <row r="1441" spans="1:9" x14ac:dyDescent="0.2">
      <c r="C1441" s="3" t="s">
        <v>43</v>
      </c>
      <c r="D1441" s="2">
        <v>4558</v>
      </c>
      <c r="E1441" s="2">
        <v>88</v>
      </c>
      <c r="F1441" s="2">
        <f t="shared" si="69"/>
        <v>92</v>
      </c>
      <c r="G1441" s="2">
        <f t="shared" ref="G1441:G1504" si="70">SUM(E1441-E1411)</f>
        <v>0</v>
      </c>
      <c r="H1441"/>
      <c r="I1441"/>
    </row>
    <row r="1442" spans="1:9" x14ac:dyDescent="0.2">
      <c r="A1442" s="1">
        <v>43970</v>
      </c>
      <c r="B1442" s="3" t="s">
        <v>5</v>
      </c>
      <c r="C1442" s="3" t="s">
        <v>6</v>
      </c>
      <c r="D1442" s="2">
        <v>59508</v>
      </c>
      <c r="E1442" s="2">
        <v>3841</v>
      </c>
      <c r="F1442" s="2">
        <f t="shared" si="69"/>
        <v>184</v>
      </c>
      <c r="G1442" s="2">
        <f t="shared" si="70"/>
        <v>15</v>
      </c>
      <c r="H1442" s="2">
        <f t="shared" ref="H1442:H1502" si="71">SUM(I1442-I1412)</f>
        <v>28182</v>
      </c>
      <c r="I1442" s="2">
        <v>1467739</v>
      </c>
    </row>
    <row r="1443" spans="1:9" x14ac:dyDescent="0.2">
      <c r="B1443" s="3"/>
      <c r="C1443" s="3" t="s">
        <v>7</v>
      </c>
      <c r="D1443" s="2">
        <v>52681</v>
      </c>
      <c r="E1443" s="2">
        <v>4274</v>
      </c>
      <c r="F1443" s="2">
        <f t="shared" si="69"/>
        <v>196</v>
      </c>
      <c r="G1443" s="2">
        <f t="shared" si="70"/>
        <v>13</v>
      </c>
      <c r="H1443"/>
      <c r="I1443"/>
    </row>
    <row r="1444" spans="1:9" x14ac:dyDescent="0.2">
      <c r="B1444" s="3"/>
      <c r="C1444" s="3" t="s">
        <v>8</v>
      </c>
      <c r="D1444" s="2">
        <v>39295</v>
      </c>
      <c r="E1444" s="2">
        <v>2541</v>
      </c>
      <c r="F1444" s="2">
        <f t="shared" si="69"/>
        <v>70</v>
      </c>
      <c r="G1444" s="2">
        <f t="shared" si="70"/>
        <v>11</v>
      </c>
      <c r="H1444"/>
      <c r="I1444"/>
    </row>
    <row r="1445" spans="1:9" x14ac:dyDescent="0.2">
      <c r="B1445" s="3"/>
      <c r="C1445" s="3" t="s">
        <v>35</v>
      </c>
      <c r="D1445" s="2">
        <v>43270</v>
      </c>
      <c r="E1445" s="2">
        <v>2884</v>
      </c>
      <c r="F1445" s="2">
        <f t="shared" si="69"/>
        <v>112</v>
      </c>
      <c r="G1445" s="2">
        <f t="shared" si="70"/>
        <v>13</v>
      </c>
      <c r="H1445"/>
      <c r="I1445"/>
    </row>
    <row r="1446" spans="1:9" x14ac:dyDescent="0.2">
      <c r="B1446" s="3"/>
      <c r="C1446" s="3" t="s">
        <v>14</v>
      </c>
      <c r="D1446" s="2">
        <v>38327</v>
      </c>
      <c r="E1446" s="2">
        <v>1822</v>
      </c>
      <c r="F1446" s="2">
        <f t="shared" si="69"/>
        <v>103</v>
      </c>
      <c r="G1446" s="2">
        <f t="shared" si="70"/>
        <v>18</v>
      </c>
      <c r="H1446"/>
      <c r="I1446"/>
    </row>
    <row r="1447" spans="1:9" x14ac:dyDescent="0.2">
      <c r="B1447" s="3" t="s">
        <v>9</v>
      </c>
      <c r="C1447" s="3" t="s">
        <v>10</v>
      </c>
      <c r="D1447" s="2">
        <v>17522</v>
      </c>
      <c r="E1447" s="2">
        <v>1474</v>
      </c>
      <c r="F1447" s="2">
        <f t="shared" si="69"/>
        <v>63</v>
      </c>
      <c r="G1447" s="2">
        <f t="shared" si="70"/>
        <v>14</v>
      </c>
      <c r="H1447" s="2">
        <f t="shared" si="71"/>
        <v>14613</v>
      </c>
      <c r="I1447" s="2">
        <f>SUM(149013+371169)</f>
        <v>520182</v>
      </c>
    </row>
    <row r="1448" spans="1:9" x14ac:dyDescent="0.2">
      <c r="B1448" s="3"/>
      <c r="C1448" s="3" t="s">
        <v>11</v>
      </c>
      <c r="D1448" s="2">
        <v>17621</v>
      </c>
      <c r="E1448" s="2">
        <v>1082</v>
      </c>
      <c r="F1448" s="2">
        <f t="shared" si="69"/>
        <v>-9953</v>
      </c>
      <c r="G1448" s="2">
        <f t="shared" si="70"/>
        <v>14</v>
      </c>
      <c r="H1448"/>
      <c r="I1448"/>
    </row>
    <row r="1449" spans="1:9" x14ac:dyDescent="0.2">
      <c r="B1449" s="3"/>
      <c r="C1449" s="3" t="s">
        <v>12</v>
      </c>
      <c r="D1449" s="2">
        <v>16686</v>
      </c>
      <c r="E1449" s="2">
        <v>1565</v>
      </c>
      <c r="F1449" s="2">
        <f t="shared" si="69"/>
        <v>86</v>
      </c>
      <c r="G1449" s="2">
        <f t="shared" si="70"/>
        <v>19</v>
      </c>
      <c r="H1449"/>
      <c r="I1449"/>
    </row>
    <row r="1450" spans="1:9" x14ac:dyDescent="0.2">
      <c r="B1450" s="3"/>
      <c r="C1450" s="3" t="s">
        <v>36</v>
      </c>
      <c r="D1450" s="2">
        <v>15031</v>
      </c>
      <c r="E1450" s="2">
        <v>977</v>
      </c>
      <c r="F1450" s="2">
        <f t="shared" si="69"/>
        <v>128</v>
      </c>
      <c r="G1450" s="2">
        <f t="shared" si="70"/>
        <v>15</v>
      </c>
      <c r="H1450"/>
      <c r="I1450"/>
    </row>
    <row r="1451" spans="1:9" x14ac:dyDescent="0.2">
      <c r="B1451" s="3"/>
      <c r="C1451" s="3" t="s">
        <v>37</v>
      </c>
      <c r="D1451" s="2">
        <v>15371</v>
      </c>
      <c r="E1451" s="2">
        <v>842</v>
      </c>
      <c r="F1451" s="2">
        <f t="shared" si="69"/>
        <v>93</v>
      </c>
      <c r="G1451" s="2">
        <f t="shared" si="70"/>
        <v>3</v>
      </c>
      <c r="H1451"/>
      <c r="I1451"/>
    </row>
    <row r="1452" spans="1:9" x14ac:dyDescent="0.2">
      <c r="B1452" s="3" t="s">
        <v>13</v>
      </c>
      <c r="C1452" s="3" t="s">
        <v>14</v>
      </c>
      <c r="D1452" s="2">
        <v>16825</v>
      </c>
      <c r="E1452" s="2">
        <v>797</v>
      </c>
      <c r="F1452" s="2">
        <f t="shared" si="69"/>
        <v>154</v>
      </c>
      <c r="G1452" s="2">
        <f t="shared" si="70"/>
        <v>4</v>
      </c>
      <c r="H1452" s="2">
        <f t="shared" si="71"/>
        <v>7741</v>
      </c>
      <c r="I1452" s="2">
        <v>476940</v>
      </c>
    </row>
    <row r="1453" spans="1:9" x14ac:dyDescent="0.2">
      <c r="B1453" s="3"/>
      <c r="C1453" s="3" t="s">
        <v>15</v>
      </c>
      <c r="D1453" s="2">
        <v>19504</v>
      </c>
      <c r="E1453" s="2">
        <v>1436</v>
      </c>
      <c r="F1453" s="2">
        <f t="shared" si="69"/>
        <v>159</v>
      </c>
      <c r="G1453" s="2">
        <f t="shared" si="70"/>
        <v>24</v>
      </c>
    </row>
    <row r="1454" spans="1:9" x14ac:dyDescent="0.2">
      <c r="B1454" s="3"/>
      <c r="C1454" s="3" t="s">
        <v>12</v>
      </c>
      <c r="D1454" s="2">
        <v>12748</v>
      </c>
      <c r="E1454" s="2">
        <v>797</v>
      </c>
      <c r="F1454" s="2">
        <f t="shared" si="69"/>
        <v>161</v>
      </c>
      <c r="G1454" s="2">
        <f t="shared" si="70"/>
        <v>7</v>
      </c>
    </row>
    <row r="1455" spans="1:9" x14ac:dyDescent="0.2">
      <c r="B1455" s="3"/>
      <c r="C1455" s="3" t="s">
        <v>33</v>
      </c>
      <c r="D1455" s="2">
        <v>7565</v>
      </c>
      <c r="E1455" s="2">
        <v>735</v>
      </c>
      <c r="F1455" s="2">
        <f t="shared" ref="F1455:F1518" si="72">SUM(D1455-D1425)</f>
        <v>41</v>
      </c>
      <c r="G1455" s="2">
        <f t="shared" si="70"/>
        <v>7</v>
      </c>
    </row>
    <row r="1456" spans="1:9" x14ac:dyDescent="0.2">
      <c r="B1456" s="3"/>
      <c r="C1456" s="3" t="s">
        <v>34</v>
      </c>
      <c r="D1456" s="2">
        <v>9582</v>
      </c>
      <c r="E1456" s="2">
        <v>597</v>
      </c>
      <c r="F1456" s="2">
        <f t="shared" si="72"/>
        <v>140</v>
      </c>
      <c r="G1456" s="2">
        <f t="shared" si="70"/>
        <v>16</v>
      </c>
    </row>
    <row r="1457" spans="1:9" x14ac:dyDescent="0.2">
      <c r="B1457" s="3" t="s">
        <v>23</v>
      </c>
      <c r="C1457" s="3" t="s">
        <v>24</v>
      </c>
      <c r="D1457" s="2">
        <v>19292</v>
      </c>
      <c r="E1457" s="2">
        <v>2275</v>
      </c>
      <c r="F1457" s="2">
        <f t="shared" si="72"/>
        <v>164</v>
      </c>
      <c r="G1457" s="2">
        <f t="shared" si="70"/>
        <v>49</v>
      </c>
      <c r="H1457" s="2">
        <f t="shared" si="71"/>
        <v>12726</v>
      </c>
      <c r="I1457" s="2">
        <f>SUM(52350+370554)</f>
        <v>422904</v>
      </c>
    </row>
    <row r="1458" spans="1:9" x14ac:dyDescent="0.2">
      <c r="B1458" s="3"/>
      <c r="C1458" s="3" t="s">
        <v>25</v>
      </c>
      <c r="D1458" s="2">
        <v>8078</v>
      </c>
      <c r="E1458" s="2">
        <v>928</v>
      </c>
      <c r="F1458" s="2">
        <f t="shared" si="72"/>
        <v>28</v>
      </c>
      <c r="G1458" s="2">
        <f t="shared" si="70"/>
        <v>15</v>
      </c>
    </row>
    <row r="1459" spans="1:9" x14ac:dyDescent="0.2">
      <c r="B1459" s="3"/>
      <c r="C1459" s="3" t="s">
        <v>28</v>
      </c>
      <c r="D1459" s="2">
        <v>6367</v>
      </c>
      <c r="E1459" s="2">
        <v>753</v>
      </c>
      <c r="F1459" s="2">
        <f t="shared" si="72"/>
        <v>10</v>
      </c>
      <c r="G1459" s="2">
        <f t="shared" si="70"/>
        <v>13</v>
      </c>
    </row>
    <row r="1460" spans="1:9" x14ac:dyDescent="0.2">
      <c r="B1460" s="3"/>
      <c r="C1460" s="3" t="s">
        <v>38</v>
      </c>
      <c r="D1460" s="2">
        <v>1891</v>
      </c>
      <c r="E1460" s="2">
        <v>235</v>
      </c>
      <c r="F1460" s="2">
        <f t="shared" si="72"/>
        <v>22</v>
      </c>
      <c r="G1460" s="2">
        <f t="shared" si="70"/>
        <v>4</v>
      </c>
    </row>
    <row r="1461" spans="1:9" x14ac:dyDescent="0.2">
      <c r="B1461" s="3"/>
      <c r="C1461" s="3" t="s">
        <v>39</v>
      </c>
      <c r="D1461" s="2">
        <v>1251</v>
      </c>
      <c r="E1461" s="2">
        <v>89</v>
      </c>
      <c r="F1461" s="2">
        <f t="shared" si="72"/>
        <v>6</v>
      </c>
      <c r="G1461" s="2">
        <f t="shared" si="70"/>
        <v>0</v>
      </c>
    </row>
    <row r="1462" spans="1:9" x14ac:dyDescent="0.2">
      <c r="B1462" s="3" t="s">
        <v>16</v>
      </c>
      <c r="C1462" s="3" t="s">
        <v>17</v>
      </c>
      <c r="D1462" s="2">
        <v>16487</v>
      </c>
      <c r="E1462" s="2">
        <v>1109</v>
      </c>
      <c r="F1462" s="2">
        <f t="shared" si="72"/>
        <v>147</v>
      </c>
      <c r="G1462" s="2">
        <f t="shared" si="70"/>
        <v>29</v>
      </c>
      <c r="H1462" s="2">
        <f t="shared" si="71"/>
        <v>9091</v>
      </c>
      <c r="I1462" s="2">
        <f>SUM(63666+286034)</f>
        <v>349700</v>
      </c>
    </row>
    <row r="1463" spans="1:9" x14ac:dyDescent="0.2">
      <c r="B1463" s="3"/>
      <c r="C1463" s="3" t="s">
        <v>18</v>
      </c>
      <c r="D1463" s="2">
        <v>6063</v>
      </c>
      <c r="E1463" s="2">
        <v>575</v>
      </c>
      <c r="F1463" s="2">
        <f t="shared" si="72"/>
        <v>51</v>
      </c>
    </row>
    <row r="1464" spans="1:9" x14ac:dyDescent="0.2">
      <c r="B1464" s="3"/>
      <c r="C1464" s="3" t="s">
        <v>19</v>
      </c>
      <c r="D1464" s="2">
        <v>5754</v>
      </c>
      <c r="E1464" s="2">
        <v>491</v>
      </c>
      <c r="F1464" s="2">
        <f t="shared" si="72"/>
        <v>65</v>
      </c>
      <c r="G1464" s="2">
        <f t="shared" si="70"/>
        <v>13</v>
      </c>
    </row>
    <row r="1465" spans="1:9" x14ac:dyDescent="0.2">
      <c r="B1465" s="3"/>
      <c r="C1465" s="3" t="s">
        <v>40</v>
      </c>
      <c r="D1465" s="2">
        <v>3513</v>
      </c>
      <c r="E1465" s="2">
        <v>182</v>
      </c>
      <c r="F1465" s="2">
        <f t="shared" si="72"/>
        <v>22</v>
      </c>
      <c r="G1465" s="2">
        <f t="shared" si="70"/>
        <v>9</v>
      </c>
    </row>
    <row r="1466" spans="1:9" x14ac:dyDescent="0.2">
      <c r="B1466" s="3"/>
      <c r="C1466" s="3" t="s">
        <v>41</v>
      </c>
      <c r="D1466" s="2">
        <v>3735</v>
      </c>
      <c r="E1466" s="2">
        <v>262</v>
      </c>
      <c r="F1466" s="2">
        <f t="shared" si="72"/>
        <v>16</v>
      </c>
      <c r="G1466" s="2">
        <f t="shared" si="70"/>
        <v>14</v>
      </c>
    </row>
    <row r="1467" spans="1:9" x14ac:dyDescent="0.2">
      <c r="B1467" s="3" t="s">
        <v>20</v>
      </c>
      <c r="C1467" s="3" t="s">
        <v>22</v>
      </c>
      <c r="D1467" s="2">
        <v>39670</v>
      </c>
      <c r="E1467" s="2">
        <v>1913</v>
      </c>
      <c r="F1467" s="2">
        <f t="shared" si="72"/>
        <v>1193</v>
      </c>
      <c r="G1467" s="2">
        <f t="shared" si="70"/>
        <v>74</v>
      </c>
      <c r="H1467" s="2">
        <f t="shared" si="71"/>
        <v>40804</v>
      </c>
      <c r="I1467" s="2">
        <v>1380120</v>
      </c>
    </row>
    <row r="1468" spans="1:9" x14ac:dyDescent="0.2">
      <c r="B1468" s="3"/>
      <c r="C1468" s="3" t="s">
        <v>26</v>
      </c>
      <c r="D1468" s="2">
        <v>6028</v>
      </c>
      <c r="E1468" s="2">
        <v>242</v>
      </c>
      <c r="F1468" s="2">
        <f t="shared" si="72"/>
        <v>80</v>
      </c>
      <c r="G1468" s="2">
        <f t="shared" si="70"/>
        <v>0</v>
      </c>
    </row>
    <row r="1469" spans="1:9" x14ac:dyDescent="0.2">
      <c r="B1469" s="3"/>
      <c r="C1469" s="3" t="s">
        <v>27</v>
      </c>
      <c r="D1469" s="2">
        <v>5963</v>
      </c>
      <c r="E1469" s="2">
        <v>274</v>
      </c>
      <c r="F1469" s="2">
        <f t="shared" si="72"/>
        <v>90</v>
      </c>
      <c r="G1469" s="2">
        <f t="shared" si="70"/>
        <v>6</v>
      </c>
    </row>
    <row r="1470" spans="1:9" x14ac:dyDescent="0.2">
      <c r="C1470" s="3" t="s">
        <v>42</v>
      </c>
      <c r="D1470" s="2">
        <v>2480</v>
      </c>
      <c r="E1470" s="2">
        <v>139</v>
      </c>
      <c r="F1470" s="2">
        <f t="shared" si="72"/>
        <v>12</v>
      </c>
      <c r="G1470" s="2">
        <f t="shared" si="70"/>
        <v>3</v>
      </c>
    </row>
    <row r="1471" spans="1:9" x14ac:dyDescent="0.2">
      <c r="C1471" s="3" t="s">
        <v>43</v>
      </c>
      <c r="D1471" s="2">
        <v>4767</v>
      </c>
      <c r="E1471" s="2">
        <v>88</v>
      </c>
      <c r="F1471" s="2">
        <f t="shared" si="72"/>
        <v>209</v>
      </c>
      <c r="G1471" s="2">
        <f t="shared" si="70"/>
        <v>0</v>
      </c>
    </row>
    <row r="1472" spans="1:9" x14ac:dyDescent="0.2">
      <c r="A1472" s="1">
        <v>43971</v>
      </c>
      <c r="B1472" s="3" t="s">
        <v>5</v>
      </c>
      <c r="C1472" s="3" t="s">
        <v>6</v>
      </c>
      <c r="D1472" s="2">
        <v>59752</v>
      </c>
      <c r="E1472" s="2">
        <v>3852</v>
      </c>
      <c r="F1472" s="2">
        <f t="shared" si="72"/>
        <v>244</v>
      </c>
      <c r="G1472" s="2">
        <f t="shared" si="70"/>
        <v>11</v>
      </c>
      <c r="H1472" s="2">
        <f t="shared" si="71"/>
        <v>38097</v>
      </c>
      <c r="I1472" s="2">
        <v>1505836</v>
      </c>
    </row>
    <row r="1473" spans="2:9" x14ac:dyDescent="0.2">
      <c r="B1473" s="3"/>
      <c r="C1473" s="3" t="s">
        <v>7</v>
      </c>
      <c r="D1473" s="2">
        <v>52889</v>
      </c>
      <c r="E1473" s="2">
        <v>4311</v>
      </c>
      <c r="F1473" s="2">
        <f t="shared" si="72"/>
        <v>208</v>
      </c>
      <c r="G1473" s="2">
        <f t="shared" si="70"/>
        <v>37</v>
      </c>
    </row>
    <row r="1474" spans="2:9" x14ac:dyDescent="0.2">
      <c r="B1474" s="3"/>
      <c r="C1474" s="3" t="s">
        <v>8</v>
      </c>
      <c r="D1474" s="2">
        <v>39368</v>
      </c>
      <c r="E1474" s="2">
        <v>2550</v>
      </c>
      <c r="F1474" s="2">
        <f t="shared" si="72"/>
        <v>73</v>
      </c>
      <c r="G1474" s="2">
        <f t="shared" si="70"/>
        <v>9</v>
      </c>
    </row>
    <row r="1475" spans="2:9" x14ac:dyDescent="0.2">
      <c r="B1475" s="3"/>
      <c r="C1475" s="3" t="s">
        <v>35</v>
      </c>
      <c r="D1475" s="2">
        <v>43418</v>
      </c>
      <c r="E1475" s="2">
        <v>2891</v>
      </c>
      <c r="F1475" s="2">
        <f t="shared" si="72"/>
        <v>148</v>
      </c>
      <c r="G1475" s="2">
        <f t="shared" si="70"/>
        <v>7</v>
      </c>
    </row>
    <row r="1476" spans="2:9" x14ac:dyDescent="0.2">
      <c r="B1476" s="3"/>
      <c r="C1476" s="3" t="s">
        <v>14</v>
      </c>
      <c r="D1476" s="2">
        <v>38411</v>
      </c>
      <c r="E1476" s="2">
        <v>1840</v>
      </c>
      <c r="F1476" s="2">
        <f t="shared" si="72"/>
        <v>84</v>
      </c>
      <c r="G1476" s="2">
        <f t="shared" si="70"/>
        <v>18</v>
      </c>
    </row>
    <row r="1477" spans="2:9" x14ac:dyDescent="0.2">
      <c r="B1477" s="3" t="s">
        <v>9</v>
      </c>
      <c r="C1477" s="3" t="s">
        <v>10</v>
      </c>
      <c r="E1477" s="2">
        <v>1500</v>
      </c>
      <c r="G1477" s="2">
        <f t="shared" si="70"/>
        <v>26</v>
      </c>
      <c r="H1477" s="2">
        <f t="shared" si="71"/>
        <v>11161</v>
      </c>
      <c r="I1477" s="2">
        <v>531343</v>
      </c>
    </row>
    <row r="1478" spans="2:9" x14ac:dyDescent="0.2">
      <c r="B1478" s="3"/>
      <c r="C1478" s="3" t="s">
        <v>11</v>
      </c>
      <c r="D1478" s="2">
        <v>17748</v>
      </c>
      <c r="E1478" s="2">
        <v>1106</v>
      </c>
      <c r="F1478" s="2">
        <f t="shared" si="72"/>
        <v>127</v>
      </c>
      <c r="G1478" s="2">
        <f t="shared" si="70"/>
        <v>24</v>
      </c>
    </row>
    <row r="1479" spans="2:9" x14ac:dyDescent="0.2">
      <c r="B1479" s="3"/>
      <c r="C1479" s="3" t="s">
        <v>12</v>
      </c>
      <c r="D1479" s="2">
        <v>16852</v>
      </c>
      <c r="E1479" s="2">
        <v>1569</v>
      </c>
      <c r="F1479" s="2">
        <f t="shared" si="72"/>
        <v>166</v>
      </c>
      <c r="G1479" s="2">
        <f t="shared" si="70"/>
        <v>4</v>
      </c>
    </row>
    <row r="1480" spans="2:9" x14ac:dyDescent="0.2">
      <c r="B1480" s="3"/>
      <c r="C1480" s="3" t="s">
        <v>36</v>
      </c>
      <c r="D1480" s="2">
        <v>15122</v>
      </c>
      <c r="E1480" s="2">
        <v>994</v>
      </c>
      <c r="F1480" s="2">
        <f t="shared" si="72"/>
        <v>91</v>
      </c>
      <c r="G1480" s="2">
        <f t="shared" si="70"/>
        <v>17</v>
      </c>
    </row>
    <row r="1481" spans="2:9" x14ac:dyDescent="0.2">
      <c r="B1481" s="3"/>
      <c r="C1481" s="3" t="s">
        <v>37</v>
      </c>
      <c r="D1481" s="2">
        <v>15426</v>
      </c>
      <c r="E1481" s="2">
        <v>855</v>
      </c>
      <c r="F1481" s="2">
        <f t="shared" si="72"/>
        <v>55</v>
      </c>
      <c r="G1481" s="2">
        <f t="shared" si="70"/>
        <v>13</v>
      </c>
    </row>
    <row r="1482" spans="2:9" x14ac:dyDescent="0.2">
      <c r="B1482" s="3" t="s">
        <v>13</v>
      </c>
      <c r="C1482" s="3" t="s">
        <v>14</v>
      </c>
      <c r="D1482" s="2">
        <v>16962</v>
      </c>
      <c r="E1482" s="2">
        <v>807</v>
      </c>
      <c r="F1482" s="2">
        <f t="shared" si="72"/>
        <v>137</v>
      </c>
      <c r="G1482" s="2">
        <f t="shared" si="70"/>
        <v>10</v>
      </c>
      <c r="H1482" s="2">
        <f t="shared" si="71"/>
        <v>13013</v>
      </c>
      <c r="I1482" s="2">
        <v>489953</v>
      </c>
    </row>
    <row r="1483" spans="2:9" x14ac:dyDescent="0.2">
      <c r="B1483" s="3"/>
      <c r="C1483" s="3" t="s">
        <v>15</v>
      </c>
      <c r="D1483" s="2">
        <v>19708</v>
      </c>
      <c r="E1483" s="2">
        <v>1462</v>
      </c>
      <c r="F1483" s="2">
        <f t="shared" si="72"/>
        <v>204</v>
      </c>
      <c r="G1483" s="2">
        <f t="shared" si="70"/>
        <v>26</v>
      </c>
    </row>
    <row r="1484" spans="2:9" x14ac:dyDescent="0.2">
      <c r="B1484" s="3"/>
      <c r="C1484" s="3" t="s">
        <v>12</v>
      </c>
      <c r="D1484" s="2">
        <v>12920</v>
      </c>
      <c r="E1484" s="2">
        <v>817</v>
      </c>
      <c r="F1484" s="2">
        <f t="shared" si="72"/>
        <v>172</v>
      </c>
      <c r="G1484" s="2">
        <f t="shared" si="70"/>
        <v>20</v>
      </c>
    </row>
    <row r="1485" spans="2:9" x14ac:dyDescent="0.2">
      <c r="B1485" s="3"/>
      <c r="C1485" s="3" t="s">
        <v>33</v>
      </c>
      <c r="D1485" s="2">
        <v>7607</v>
      </c>
      <c r="E1485" s="2">
        <v>749</v>
      </c>
      <c r="F1485" s="2">
        <f t="shared" si="72"/>
        <v>42</v>
      </c>
      <c r="G1485" s="2">
        <f t="shared" si="70"/>
        <v>14</v>
      </c>
    </row>
    <row r="1486" spans="2:9" x14ac:dyDescent="0.2">
      <c r="B1486" s="3"/>
      <c r="C1486" s="3" t="s">
        <v>34</v>
      </c>
      <c r="D1486" s="2">
        <v>9780</v>
      </c>
      <c r="E1486" s="2">
        <v>625</v>
      </c>
      <c r="F1486" s="2">
        <f t="shared" si="72"/>
        <v>198</v>
      </c>
      <c r="G1486" s="2">
        <f t="shared" si="70"/>
        <v>28</v>
      </c>
    </row>
    <row r="1487" spans="2:9" x14ac:dyDescent="0.2">
      <c r="B1487" s="3" t="s">
        <v>23</v>
      </c>
      <c r="C1487" s="3" t="s">
        <v>24</v>
      </c>
      <c r="D1487" s="2">
        <v>19432</v>
      </c>
      <c r="E1487" s="2">
        <v>2284</v>
      </c>
      <c r="F1487" s="2">
        <f t="shared" si="72"/>
        <v>140</v>
      </c>
      <c r="G1487" s="2">
        <f t="shared" si="70"/>
        <v>9</v>
      </c>
      <c r="H1487" s="2">
        <f t="shared" si="71"/>
        <v>14168</v>
      </c>
      <c r="I1487" s="2">
        <f>SUM(53009+384063)</f>
        <v>437072</v>
      </c>
    </row>
    <row r="1488" spans="2:9" x14ac:dyDescent="0.2">
      <c r="B1488" s="3"/>
      <c r="C1488" s="3" t="s">
        <v>25</v>
      </c>
      <c r="D1488" s="2">
        <v>8117</v>
      </c>
      <c r="E1488" s="2">
        <v>935</v>
      </c>
      <c r="F1488" s="2">
        <f t="shared" si="72"/>
        <v>39</v>
      </c>
      <c r="G1488" s="2">
        <f t="shared" si="70"/>
        <v>7</v>
      </c>
    </row>
    <row r="1489" spans="1:9" x14ac:dyDescent="0.2">
      <c r="B1489" s="3"/>
      <c r="C1489" s="3" t="s">
        <v>28</v>
      </c>
      <c r="D1489" s="2">
        <v>6392</v>
      </c>
      <c r="E1489" s="2">
        <v>763</v>
      </c>
      <c r="F1489" s="2">
        <f t="shared" si="72"/>
        <v>25</v>
      </c>
      <c r="G1489" s="2">
        <f t="shared" si="70"/>
        <v>10</v>
      </c>
    </row>
    <row r="1490" spans="1:9" x14ac:dyDescent="0.2">
      <c r="B1490" s="3"/>
      <c r="C1490" s="3" t="s">
        <v>38</v>
      </c>
      <c r="D1490" s="2">
        <v>1915</v>
      </c>
      <c r="E1490" s="2">
        <v>238</v>
      </c>
      <c r="F1490" s="2">
        <f t="shared" si="72"/>
        <v>24</v>
      </c>
      <c r="G1490" s="2">
        <f t="shared" si="70"/>
        <v>3</v>
      </c>
    </row>
    <row r="1491" spans="1:9" x14ac:dyDescent="0.2">
      <c r="B1491" s="3"/>
      <c r="C1491" s="3" t="s">
        <v>39</v>
      </c>
      <c r="D1491" s="2">
        <v>1261</v>
      </c>
      <c r="E1491" s="2">
        <v>90</v>
      </c>
      <c r="F1491" s="2">
        <f t="shared" si="72"/>
        <v>10</v>
      </c>
      <c r="G1491" s="2">
        <f t="shared" si="70"/>
        <v>1</v>
      </c>
    </row>
    <row r="1492" spans="1:9" x14ac:dyDescent="0.2">
      <c r="B1492" s="3" t="s">
        <v>16</v>
      </c>
      <c r="C1492" s="3" t="s">
        <v>17</v>
      </c>
      <c r="D1492" s="2">
        <v>16645</v>
      </c>
      <c r="E1492" s="2">
        <v>1152</v>
      </c>
      <c r="F1492" s="2">
        <f t="shared" si="72"/>
        <v>158</v>
      </c>
      <c r="G1492" s="2">
        <f t="shared" si="70"/>
        <v>43</v>
      </c>
      <c r="H1492" s="2">
        <f t="shared" si="71"/>
        <v>7956</v>
      </c>
      <c r="I1492" s="2">
        <f>SUM(64412+293244)</f>
        <v>357656</v>
      </c>
    </row>
    <row r="1493" spans="1:9" x14ac:dyDescent="0.2">
      <c r="B1493" s="3"/>
      <c r="C1493" s="3" t="s">
        <v>18</v>
      </c>
      <c r="D1493" s="2">
        <v>6154</v>
      </c>
      <c r="E1493" s="2">
        <v>596</v>
      </c>
      <c r="F1493" s="2">
        <f t="shared" si="72"/>
        <v>91</v>
      </c>
      <c r="G1493" s="2">
        <f t="shared" si="70"/>
        <v>21</v>
      </c>
    </row>
    <row r="1494" spans="1:9" x14ac:dyDescent="0.2">
      <c r="B1494" s="3"/>
      <c r="C1494" s="3" t="s">
        <v>19</v>
      </c>
      <c r="D1494" s="2">
        <v>5844</v>
      </c>
      <c r="E1494" s="2">
        <v>491</v>
      </c>
      <c r="F1494" s="2">
        <f t="shared" si="72"/>
        <v>90</v>
      </c>
      <c r="G1494" s="2">
        <f t="shared" si="70"/>
        <v>0</v>
      </c>
    </row>
    <row r="1495" spans="1:9" x14ac:dyDescent="0.2">
      <c r="B1495" s="3"/>
      <c r="C1495" s="3" t="s">
        <v>40</v>
      </c>
      <c r="D1495" s="2">
        <v>3550</v>
      </c>
      <c r="E1495" s="2">
        <v>188</v>
      </c>
      <c r="F1495" s="2">
        <f t="shared" si="72"/>
        <v>37</v>
      </c>
      <c r="G1495" s="2">
        <f t="shared" si="70"/>
        <v>6</v>
      </c>
    </row>
    <row r="1496" spans="1:9" x14ac:dyDescent="0.2">
      <c r="B1496" s="3"/>
      <c r="C1496" s="3" t="s">
        <v>41</v>
      </c>
      <c r="D1496" s="2">
        <v>3763</v>
      </c>
      <c r="E1496" s="2">
        <v>273</v>
      </c>
      <c r="F1496" s="2">
        <f t="shared" si="72"/>
        <v>28</v>
      </c>
      <c r="G1496" s="2">
        <f t="shared" si="70"/>
        <v>11</v>
      </c>
    </row>
    <row r="1497" spans="1:9" x14ac:dyDescent="0.2">
      <c r="B1497" s="3" t="s">
        <v>20</v>
      </c>
      <c r="C1497" s="3" t="s">
        <v>22</v>
      </c>
      <c r="D1497" s="2">
        <v>40932</v>
      </c>
      <c r="E1497" s="2">
        <v>1970</v>
      </c>
      <c r="F1497" s="2">
        <f t="shared" si="72"/>
        <v>1262</v>
      </c>
      <c r="G1497" s="2">
        <f t="shared" si="70"/>
        <v>57</v>
      </c>
      <c r="H1497" s="2">
        <f t="shared" si="71"/>
        <v>41007</v>
      </c>
      <c r="I1497" s="2">
        <v>1421127</v>
      </c>
    </row>
    <row r="1498" spans="1:9" x14ac:dyDescent="0.2">
      <c r="B1498" s="3"/>
      <c r="C1498" s="3" t="s">
        <v>26</v>
      </c>
      <c r="D1498" s="2">
        <v>6142</v>
      </c>
      <c r="E1498" s="2">
        <v>262</v>
      </c>
      <c r="F1498" s="2">
        <f t="shared" si="72"/>
        <v>114</v>
      </c>
      <c r="G1498" s="2">
        <f t="shared" si="70"/>
        <v>20</v>
      </c>
    </row>
    <row r="1499" spans="1:9" x14ac:dyDescent="0.2">
      <c r="B1499" s="3"/>
      <c r="C1499" s="3" t="s">
        <v>27</v>
      </c>
      <c r="D1499" s="2">
        <v>6090</v>
      </c>
      <c r="E1499" s="2">
        <v>283</v>
      </c>
      <c r="F1499" s="2">
        <f t="shared" si="72"/>
        <v>127</v>
      </c>
      <c r="G1499" s="2">
        <f t="shared" si="70"/>
        <v>9</v>
      </c>
    </row>
    <row r="1500" spans="1:9" x14ac:dyDescent="0.2">
      <c r="C1500" s="3" t="s">
        <v>42</v>
      </c>
      <c r="D1500" s="2">
        <v>2508</v>
      </c>
      <c r="E1500" s="2">
        <v>139</v>
      </c>
      <c r="F1500" s="2">
        <f t="shared" si="72"/>
        <v>28</v>
      </c>
      <c r="G1500" s="2">
        <f t="shared" si="70"/>
        <v>0</v>
      </c>
    </row>
    <row r="1501" spans="1:9" x14ac:dyDescent="0.2">
      <c r="C1501" s="3" t="s">
        <v>43</v>
      </c>
      <c r="D1501" s="2">
        <v>4866</v>
      </c>
      <c r="E1501" s="2">
        <v>98</v>
      </c>
      <c r="F1501" s="2">
        <f t="shared" si="72"/>
        <v>99</v>
      </c>
      <c r="G1501" s="2">
        <f t="shared" si="70"/>
        <v>10</v>
      </c>
    </row>
    <row r="1502" spans="1:9" x14ac:dyDescent="0.2">
      <c r="A1502" s="1">
        <v>43972</v>
      </c>
      <c r="B1502" s="3" t="s">
        <v>5</v>
      </c>
      <c r="C1502" s="3" t="s">
        <v>6</v>
      </c>
      <c r="D1502" s="2">
        <v>60025</v>
      </c>
      <c r="E1502" s="2">
        <v>3862</v>
      </c>
      <c r="F1502" s="2">
        <f t="shared" si="72"/>
        <v>273</v>
      </c>
      <c r="G1502" s="2">
        <f t="shared" si="70"/>
        <v>10</v>
      </c>
      <c r="H1502" s="2">
        <f t="shared" si="71"/>
        <v>49219</v>
      </c>
      <c r="I1502" s="2">
        <v>1555055</v>
      </c>
    </row>
    <row r="1503" spans="1:9" x14ac:dyDescent="0.2">
      <c r="B1503" s="3"/>
      <c r="C1503" s="3" t="s">
        <v>7</v>
      </c>
      <c r="D1503" s="2">
        <v>53385</v>
      </c>
      <c r="E1503" s="2">
        <v>4324</v>
      </c>
      <c r="F1503" s="2">
        <f t="shared" si="72"/>
        <v>496</v>
      </c>
      <c r="G1503" s="2">
        <f t="shared" si="70"/>
        <v>13</v>
      </c>
    </row>
    <row r="1504" spans="1:9" x14ac:dyDescent="0.2">
      <c r="B1504" s="3"/>
      <c r="C1504" s="3" t="s">
        <v>8</v>
      </c>
      <c r="D1504" s="2">
        <v>39487</v>
      </c>
      <c r="E1504" s="2">
        <v>2558</v>
      </c>
      <c r="F1504" s="2">
        <f t="shared" si="72"/>
        <v>119</v>
      </c>
      <c r="G1504" s="2">
        <f t="shared" si="70"/>
        <v>8</v>
      </c>
    </row>
    <row r="1505" spans="2:9" x14ac:dyDescent="0.2">
      <c r="B1505" s="3"/>
      <c r="C1505" s="3" t="s">
        <v>35</v>
      </c>
      <c r="D1505" s="2">
        <v>43603</v>
      </c>
      <c r="E1505" s="2">
        <v>2901</v>
      </c>
      <c r="F1505" s="2">
        <f t="shared" si="72"/>
        <v>185</v>
      </c>
      <c r="G1505" s="2">
        <f t="shared" ref="G1505:G1568" si="73">SUM(E1505-E1475)</f>
        <v>10</v>
      </c>
    </row>
    <row r="1506" spans="2:9" x14ac:dyDescent="0.2">
      <c r="B1506" s="3"/>
      <c r="C1506" s="3" t="s">
        <v>14</v>
      </c>
      <c r="D1506" s="2">
        <v>38553</v>
      </c>
      <c r="E1506" s="2">
        <v>1851</v>
      </c>
      <c r="F1506" s="2">
        <f t="shared" si="72"/>
        <v>142</v>
      </c>
      <c r="G1506" s="2">
        <f t="shared" si="73"/>
        <v>11</v>
      </c>
    </row>
    <row r="1507" spans="2:9" x14ac:dyDescent="0.2">
      <c r="B1507" s="3" t="s">
        <v>9</v>
      </c>
      <c r="C1507" s="3" t="s">
        <v>10</v>
      </c>
      <c r="D1507" s="2">
        <v>17583</v>
      </c>
      <c r="E1507" s="2">
        <v>1508</v>
      </c>
      <c r="G1507" s="2">
        <f t="shared" si="73"/>
        <v>8</v>
      </c>
      <c r="H1507" s="2">
        <f t="shared" ref="H1507:H1567" si="74">SUM(I1507-I1477)</f>
        <v>12931</v>
      </c>
      <c r="I1507" s="2">
        <v>544274</v>
      </c>
    </row>
    <row r="1508" spans="2:9" x14ac:dyDescent="0.2">
      <c r="B1508" s="3"/>
      <c r="C1508" s="3" t="s">
        <v>11</v>
      </c>
      <c r="D1508" s="2">
        <v>17814</v>
      </c>
      <c r="E1508" s="2">
        <v>1121</v>
      </c>
      <c r="F1508" s="2">
        <f t="shared" si="72"/>
        <v>66</v>
      </c>
      <c r="G1508" s="2">
        <f t="shared" si="73"/>
        <v>15</v>
      </c>
    </row>
    <row r="1509" spans="2:9" x14ac:dyDescent="0.2">
      <c r="B1509" s="3"/>
      <c r="C1509" s="3" t="s">
        <v>12</v>
      </c>
      <c r="D1509" s="2">
        <v>16906</v>
      </c>
      <c r="E1509" s="2">
        <v>1576</v>
      </c>
      <c r="F1509" s="2">
        <f t="shared" si="72"/>
        <v>54</v>
      </c>
      <c r="G1509" s="2">
        <f t="shared" si="73"/>
        <v>7</v>
      </c>
    </row>
    <row r="1510" spans="2:9" x14ac:dyDescent="0.2">
      <c r="B1510" s="3"/>
      <c r="C1510" s="3" t="s">
        <v>36</v>
      </c>
      <c r="D1510" s="2">
        <v>15176</v>
      </c>
      <c r="E1510" s="2">
        <v>1005</v>
      </c>
      <c r="F1510" s="2">
        <f t="shared" si="72"/>
        <v>54</v>
      </c>
      <c r="G1510" s="2">
        <f t="shared" si="73"/>
        <v>11</v>
      </c>
    </row>
    <row r="1511" spans="2:9" x14ac:dyDescent="0.2">
      <c r="B1511" s="3"/>
      <c r="C1511" s="3" t="s">
        <v>37</v>
      </c>
      <c r="D1511" s="2">
        <v>15497</v>
      </c>
      <c r="E1511" s="2">
        <v>864</v>
      </c>
      <c r="F1511" s="2">
        <f t="shared" si="72"/>
        <v>71</v>
      </c>
      <c r="G1511" s="2">
        <f t="shared" si="73"/>
        <v>9</v>
      </c>
    </row>
    <row r="1512" spans="2:9" x14ac:dyDescent="0.2">
      <c r="B1512" s="3" t="s">
        <v>13</v>
      </c>
      <c r="C1512" s="3" t="s">
        <v>14</v>
      </c>
      <c r="D1512" s="2">
        <v>17089</v>
      </c>
      <c r="E1512" s="2">
        <v>813</v>
      </c>
      <c r="F1512" s="2">
        <f t="shared" si="72"/>
        <v>127</v>
      </c>
      <c r="G1512" s="2">
        <f t="shared" si="73"/>
        <v>6</v>
      </c>
      <c r="H1512" s="2">
        <f t="shared" si="74"/>
        <v>11533</v>
      </c>
      <c r="I1512" s="2">
        <v>501486</v>
      </c>
    </row>
    <row r="1513" spans="2:9" x14ac:dyDescent="0.2">
      <c r="B1513" s="3"/>
      <c r="C1513" s="3" t="s">
        <v>15</v>
      </c>
      <c r="D1513" s="2">
        <v>19930</v>
      </c>
      <c r="E1513" s="2">
        <v>1478</v>
      </c>
      <c r="F1513" s="2">
        <f t="shared" si="72"/>
        <v>222</v>
      </c>
      <c r="G1513" s="2">
        <f t="shared" si="73"/>
        <v>16</v>
      </c>
    </row>
    <row r="1514" spans="2:9" x14ac:dyDescent="0.2">
      <c r="B1514" s="3"/>
      <c r="C1514" s="3" t="s">
        <v>12</v>
      </c>
      <c r="D1514" s="2">
        <v>13063</v>
      </c>
      <c r="E1514" s="2">
        <v>831</v>
      </c>
      <c r="F1514" s="2">
        <f t="shared" si="72"/>
        <v>143</v>
      </c>
      <c r="G1514" s="2">
        <f t="shared" si="73"/>
        <v>14</v>
      </c>
    </row>
    <row r="1515" spans="2:9" x14ac:dyDescent="0.2">
      <c r="B1515" s="3"/>
      <c r="C1515" s="3" t="s">
        <v>33</v>
      </c>
      <c r="D1515" s="2">
        <v>7691</v>
      </c>
      <c r="E1515" s="2">
        <v>759</v>
      </c>
      <c r="F1515" s="2">
        <f t="shared" si="72"/>
        <v>84</v>
      </c>
      <c r="G1515" s="2">
        <f t="shared" si="73"/>
        <v>10</v>
      </c>
    </row>
    <row r="1516" spans="2:9" x14ac:dyDescent="0.2">
      <c r="B1516" s="3"/>
      <c r="C1516" s="3" t="s">
        <v>34</v>
      </c>
      <c r="D1516" s="2">
        <v>9997</v>
      </c>
      <c r="E1516" s="2">
        <v>640</v>
      </c>
      <c r="F1516" s="2">
        <f t="shared" si="72"/>
        <v>217</v>
      </c>
      <c r="G1516" s="2">
        <f t="shared" si="73"/>
        <v>15</v>
      </c>
    </row>
    <row r="1517" spans="2:9" x14ac:dyDescent="0.2">
      <c r="B1517" s="3" t="s">
        <v>23</v>
      </c>
      <c r="C1517" s="3" t="s">
        <v>24</v>
      </c>
      <c r="D1517" s="2">
        <v>19538</v>
      </c>
      <c r="E1517" s="2">
        <v>2313</v>
      </c>
      <c r="F1517" s="2">
        <f t="shared" si="72"/>
        <v>106</v>
      </c>
      <c r="G1517" s="2">
        <f t="shared" si="73"/>
        <v>29</v>
      </c>
      <c r="H1517" s="2">
        <f t="shared" si="74"/>
        <v>17668</v>
      </c>
      <c r="I1517" s="2">
        <f>SUM(53510+401230)</f>
        <v>454740</v>
      </c>
    </row>
    <row r="1518" spans="2:9" x14ac:dyDescent="0.2">
      <c r="B1518" s="3"/>
      <c r="C1518" s="3" t="s">
        <v>25</v>
      </c>
      <c r="D1518" s="2">
        <v>8125</v>
      </c>
      <c r="E1518" s="2">
        <v>945</v>
      </c>
      <c r="F1518" s="2">
        <f t="shared" si="72"/>
        <v>8</v>
      </c>
      <c r="G1518" s="2">
        <f t="shared" si="73"/>
        <v>10</v>
      </c>
    </row>
    <row r="1519" spans="2:9" x14ac:dyDescent="0.2">
      <c r="B1519" s="3"/>
      <c r="C1519" s="3" t="s">
        <v>28</v>
      </c>
      <c r="D1519" s="2">
        <v>6420</v>
      </c>
      <c r="E1519" s="2">
        <v>772</v>
      </c>
      <c r="F1519" s="2">
        <f t="shared" ref="F1519:F1582" si="75">SUM(D1519-D1489)</f>
        <v>28</v>
      </c>
      <c r="G1519" s="2">
        <f t="shared" si="73"/>
        <v>9</v>
      </c>
    </row>
    <row r="1520" spans="2:9" x14ac:dyDescent="0.2">
      <c r="B1520" s="3"/>
      <c r="C1520" s="3" t="s">
        <v>38</v>
      </c>
      <c r="D1520" s="2">
        <v>1926</v>
      </c>
      <c r="E1520" s="2">
        <v>240</v>
      </c>
      <c r="F1520" s="2">
        <f t="shared" si="75"/>
        <v>11</v>
      </c>
      <c r="G1520" s="2">
        <f t="shared" si="73"/>
        <v>2</v>
      </c>
    </row>
    <row r="1521" spans="1:9" x14ac:dyDescent="0.2">
      <c r="B1521" s="3"/>
      <c r="C1521" s="3" t="s">
        <v>39</v>
      </c>
      <c r="D1521" s="2">
        <v>1265</v>
      </c>
      <c r="E1521" s="2">
        <v>95</v>
      </c>
      <c r="F1521" s="2">
        <f t="shared" si="75"/>
        <v>4</v>
      </c>
      <c r="G1521" s="2">
        <f t="shared" si="73"/>
        <v>5</v>
      </c>
    </row>
    <row r="1522" spans="1:9" x14ac:dyDescent="0.2">
      <c r="B1522" s="3" t="s">
        <v>16</v>
      </c>
      <c r="C1522" s="3" t="s">
        <v>17</v>
      </c>
      <c r="D1522" s="2">
        <v>16840</v>
      </c>
      <c r="E1522" s="2">
        <v>1178</v>
      </c>
      <c r="F1522" s="2">
        <f t="shared" si="75"/>
        <v>195</v>
      </c>
      <c r="G1522" s="2">
        <f t="shared" si="73"/>
        <v>26</v>
      </c>
      <c r="H1522" s="2">
        <f t="shared" si="74"/>
        <v>11250</v>
      </c>
      <c r="I1522" s="2">
        <f>SUM(65392+303514)</f>
        <v>368906</v>
      </c>
    </row>
    <row r="1523" spans="1:9" x14ac:dyDescent="0.2">
      <c r="B1523" s="3"/>
      <c r="C1523" s="3" t="s">
        <v>18</v>
      </c>
      <c r="D1523" s="2">
        <v>6268</v>
      </c>
      <c r="E1523" s="2">
        <v>607</v>
      </c>
      <c r="F1523" s="2">
        <f t="shared" si="75"/>
        <v>114</v>
      </c>
      <c r="G1523" s="2">
        <f t="shared" si="73"/>
        <v>11</v>
      </c>
    </row>
    <row r="1524" spans="1:9" x14ac:dyDescent="0.2">
      <c r="B1524" s="3"/>
      <c r="C1524" s="3" t="s">
        <v>19</v>
      </c>
      <c r="D1524" s="2">
        <v>5969</v>
      </c>
      <c r="E1524" s="2">
        <v>491</v>
      </c>
      <c r="F1524" s="2">
        <f t="shared" si="75"/>
        <v>125</v>
      </c>
      <c r="G1524" s="2">
        <f t="shared" si="73"/>
        <v>0</v>
      </c>
    </row>
    <row r="1525" spans="1:9" x14ac:dyDescent="0.2">
      <c r="B1525" s="3"/>
      <c r="C1525" s="3" t="s">
        <v>40</v>
      </c>
      <c r="D1525" s="2">
        <v>3586</v>
      </c>
      <c r="E1525" s="2">
        <v>192</v>
      </c>
      <c r="F1525" s="2">
        <f t="shared" si="75"/>
        <v>36</v>
      </c>
      <c r="G1525" s="2">
        <f t="shared" si="73"/>
        <v>4</v>
      </c>
    </row>
    <row r="1526" spans="1:9" x14ac:dyDescent="0.2">
      <c r="B1526" s="3"/>
      <c r="C1526" s="3" t="s">
        <v>41</v>
      </c>
      <c r="D1526" s="2">
        <v>3784</v>
      </c>
      <c r="E1526" s="2">
        <v>279</v>
      </c>
      <c r="F1526" s="2">
        <f t="shared" si="75"/>
        <v>21</v>
      </c>
      <c r="G1526" s="2">
        <f t="shared" si="73"/>
        <v>6</v>
      </c>
    </row>
    <row r="1527" spans="1:9" x14ac:dyDescent="0.2">
      <c r="B1527" s="3" t="s">
        <v>20</v>
      </c>
      <c r="C1527" s="3" t="s">
        <v>22</v>
      </c>
      <c r="D1527" s="2">
        <v>42063</v>
      </c>
      <c r="E1527" s="2">
        <v>2016</v>
      </c>
      <c r="F1527" s="2">
        <f t="shared" si="75"/>
        <v>1131</v>
      </c>
      <c r="G1527" s="2">
        <f t="shared" si="73"/>
        <v>46</v>
      </c>
      <c r="H1527" s="2">
        <f t="shared" si="74"/>
        <v>45646</v>
      </c>
      <c r="I1527" s="2">
        <v>1466773</v>
      </c>
    </row>
    <row r="1528" spans="1:9" x14ac:dyDescent="0.2">
      <c r="B1528" s="3"/>
      <c r="C1528" s="3" t="s">
        <v>26</v>
      </c>
      <c r="D1528" s="2">
        <v>6317</v>
      </c>
      <c r="E1528" s="2">
        <v>262</v>
      </c>
      <c r="F1528" s="2">
        <f t="shared" si="75"/>
        <v>175</v>
      </c>
      <c r="G1528" s="2">
        <f t="shared" si="73"/>
        <v>0</v>
      </c>
    </row>
    <row r="1529" spans="1:9" x14ac:dyDescent="0.2">
      <c r="B1529" s="3"/>
      <c r="C1529" s="3" t="s">
        <v>27</v>
      </c>
      <c r="D1529" s="2">
        <v>6245</v>
      </c>
      <c r="E1529" s="2">
        <v>289</v>
      </c>
      <c r="F1529" s="2">
        <f t="shared" si="75"/>
        <v>155</v>
      </c>
      <c r="G1529" s="2">
        <f t="shared" si="73"/>
        <v>6</v>
      </c>
    </row>
    <row r="1530" spans="1:9" x14ac:dyDescent="0.2">
      <c r="C1530" s="3" t="s">
        <v>42</v>
      </c>
      <c r="D1530" s="2">
        <v>2520</v>
      </c>
      <c r="E1530" s="2">
        <v>139</v>
      </c>
      <c r="F1530" s="2">
        <f t="shared" si="75"/>
        <v>12</v>
      </c>
      <c r="G1530" s="2">
        <f t="shared" si="73"/>
        <v>0</v>
      </c>
    </row>
    <row r="1531" spans="1:9" x14ac:dyDescent="0.2">
      <c r="C1531" s="3" t="s">
        <v>43</v>
      </c>
      <c r="D1531" s="2">
        <v>4975</v>
      </c>
      <c r="E1531" s="2">
        <v>112</v>
      </c>
      <c r="F1531" s="2">
        <f t="shared" si="75"/>
        <v>109</v>
      </c>
      <c r="G1531" s="2">
        <f t="shared" si="73"/>
        <v>14</v>
      </c>
    </row>
    <row r="1532" spans="1:9" x14ac:dyDescent="0.2">
      <c r="A1532" s="1">
        <v>43973</v>
      </c>
      <c r="B1532" s="3" t="s">
        <v>5</v>
      </c>
      <c r="C1532" s="3" t="s">
        <v>6</v>
      </c>
      <c r="D1532" s="2">
        <v>60236</v>
      </c>
      <c r="E1532" s="2">
        <v>3870</v>
      </c>
      <c r="F1532" s="2">
        <f t="shared" si="75"/>
        <v>211</v>
      </c>
      <c r="G1532" s="2">
        <f t="shared" si="73"/>
        <v>8</v>
      </c>
      <c r="H1532" s="2">
        <f t="shared" si="74"/>
        <v>45738</v>
      </c>
      <c r="I1532" s="2">
        <v>1600793</v>
      </c>
    </row>
    <row r="1533" spans="1:9" x14ac:dyDescent="0.2">
      <c r="B1533" s="3"/>
      <c r="C1533" s="3" t="s">
        <v>7</v>
      </c>
      <c r="D1533" s="2">
        <v>53639</v>
      </c>
      <c r="E1533" s="2">
        <v>4336</v>
      </c>
      <c r="F1533" s="2">
        <f>SUM(D1533-D1503)</f>
        <v>254</v>
      </c>
      <c r="G1533" s="2">
        <f t="shared" si="73"/>
        <v>12</v>
      </c>
    </row>
    <row r="1534" spans="1:9" x14ac:dyDescent="0.2">
      <c r="B1534" s="3"/>
      <c r="C1534" s="3" t="s">
        <v>8</v>
      </c>
      <c r="D1534" s="2">
        <v>39608</v>
      </c>
      <c r="E1534" s="2">
        <v>2572</v>
      </c>
      <c r="F1534" s="2">
        <f t="shared" si="75"/>
        <v>121</v>
      </c>
      <c r="G1534" s="2">
        <f t="shared" si="73"/>
        <v>14</v>
      </c>
    </row>
    <row r="1535" spans="1:9" x14ac:dyDescent="0.2">
      <c r="B1535" s="3"/>
      <c r="C1535" s="3" t="s">
        <v>35</v>
      </c>
      <c r="D1535" s="2">
        <v>43766</v>
      </c>
      <c r="E1535" s="2">
        <v>2909</v>
      </c>
      <c r="F1535" s="2">
        <f t="shared" si="75"/>
        <v>163</v>
      </c>
      <c r="G1535" s="2">
        <f t="shared" si="73"/>
        <v>8</v>
      </c>
    </row>
    <row r="1536" spans="1:9" x14ac:dyDescent="0.2">
      <c r="B1536" s="3"/>
      <c r="C1536" s="3" t="s">
        <v>14</v>
      </c>
      <c r="D1536" s="2">
        <v>38672</v>
      </c>
      <c r="E1536" s="2">
        <v>1863</v>
      </c>
      <c r="F1536" s="2">
        <f t="shared" si="75"/>
        <v>119</v>
      </c>
      <c r="G1536" s="2">
        <f t="shared" si="73"/>
        <v>12</v>
      </c>
    </row>
    <row r="1537" spans="2:9" x14ac:dyDescent="0.2">
      <c r="B1537" s="3" t="s">
        <v>9</v>
      </c>
      <c r="C1537" s="3" t="s">
        <v>10</v>
      </c>
      <c r="D1537" s="2">
        <v>17653</v>
      </c>
      <c r="E1537" s="2">
        <v>1515</v>
      </c>
      <c r="F1537" s="2">
        <f t="shared" si="75"/>
        <v>70</v>
      </c>
      <c r="G1537" s="2">
        <f t="shared" si="73"/>
        <v>7</v>
      </c>
      <c r="H1537" s="2">
        <f t="shared" si="74"/>
        <v>11040</v>
      </c>
      <c r="I1537" s="2">
        <v>555314</v>
      </c>
    </row>
    <row r="1538" spans="2:9" x14ac:dyDescent="0.2">
      <c r="B1538" s="3"/>
      <c r="C1538" s="3" t="s">
        <v>11</v>
      </c>
      <c r="D1538" s="2">
        <v>17897</v>
      </c>
      <c r="E1538" s="2">
        <v>1134</v>
      </c>
      <c r="F1538" s="2">
        <f t="shared" si="75"/>
        <v>83</v>
      </c>
      <c r="G1538" s="2">
        <f t="shared" si="73"/>
        <v>13</v>
      </c>
    </row>
    <row r="1539" spans="2:9" x14ac:dyDescent="0.2">
      <c r="B1539" s="3"/>
      <c r="C1539" s="3" t="s">
        <v>12</v>
      </c>
      <c r="D1539" s="2">
        <v>17014</v>
      </c>
      <c r="E1539" s="2">
        <v>1585</v>
      </c>
      <c r="F1539" s="2">
        <f t="shared" si="75"/>
        <v>108</v>
      </c>
      <c r="G1539" s="2">
        <f t="shared" si="73"/>
        <v>9</v>
      </c>
    </row>
    <row r="1540" spans="2:9" x14ac:dyDescent="0.2">
      <c r="B1540" s="3"/>
      <c r="C1540" s="3" t="s">
        <v>36</v>
      </c>
      <c r="D1540" s="2">
        <v>15191</v>
      </c>
      <c r="E1540" s="2">
        <v>1018</v>
      </c>
      <c r="F1540" s="2">
        <f t="shared" si="75"/>
        <v>15</v>
      </c>
      <c r="G1540" s="2">
        <f t="shared" si="73"/>
        <v>13</v>
      </c>
    </row>
    <row r="1541" spans="2:9" x14ac:dyDescent="0.2">
      <c r="B1541" s="3"/>
      <c r="C1541" s="3" t="s">
        <v>37</v>
      </c>
      <c r="D1541" s="2">
        <v>15604</v>
      </c>
      <c r="E1541" s="2">
        <v>881</v>
      </c>
      <c r="F1541" s="2">
        <f t="shared" si="75"/>
        <v>107</v>
      </c>
      <c r="G1541" s="2">
        <f t="shared" si="73"/>
        <v>17</v>
      </c>
    </row>
    <row r="1542" spans="2:9" x14ac:dyDescent="0.2">
      <c r="B1542" s="3" t="s">
        <v>13</v>
      </c>
      <c r="C1542" s="3" t="s">
        <v>14</v>
      </c>
      <c r="D1542" s="2">
        <v>17180</v>
      </c>
      <c r="E1542" s="2">
        <v>818</v>
      </c>
      <c r="F1542" s="2">
        <f t="shared" si="75"/>
        <v>91</v>
      </c>
      <c r="G1542" s="2">
        <f t="shared" si="73"/>
        <v>5</v>
      </c>
      <c r="H1542" s="2">
        <f t="shared" si="74"/>
        <v>10158</v>
      </c>
      <c r="I1542" s="2">
        <v>511644</v>
      </c>
    </row>
    <row r="1543" spans="2:9" x14ac:dyDescent="0.2">
      <c r="B1543" s="3"/>
      <c r="C1543" s="3" t="s">
        <v>15</v>
      </c>
      <c r="D1543" s="2">
        <v>20085</v>
      </c>
      <c r="E1543" s="2">
        <v>1496</v>
      </c>
      <c r="F1543" s="2">
        <f t="shared" si="75"/>
        <v>155</v>
      </c>
      <c r="G1543" s="2">
        <f t="shared" si="73"/>
        <v>18</v>
      </c>
    </row>
    <row r="1544" spans="2:9" x14ac:dyDescent="0.2">
      <c r="B1544" s="3"/>
      <c r="C1544" s="3" t="s">
        <v>12</v>
      </c>
      <c r="D1544" s="2">
        <v>13221</v>
      </c>
      <c r="E1544" s="2">
        <v>842</v>
      </c>
      <c r="F1544" s="2">
        <f t="shared" si="75"/>
        <v>158</v>
      </c>
      <c r="G1544" s="2">
        <f t="shared" si="73"/>
        <v>11</v>
      </c>
    </row>
    <row r="1545" spans="2:9" x14ac:dyDescent="0.2">
      <c r="B1545" s="3"/>
      <c r="C1545" s="3" t="s">
        <v>33</v>
      </c>
      <c r="D1545" s="2">
        <v>7724</v>
      </c>
      <c r="E1545" s="2">
        <v>771</v>
      </c>
      <c r="F1545" s="2">
        <f t="shared" si="75"/>
        <v>33</v>
      </c>
      <c r="G1545" s="2">
        <f t="shared" si="73"/>
        <v>12</v>
      </c>
    </row>
    <row r="1546" spans="2:9" x14ac:dyDescent="0.2">
      <c r="B1546" s="3"/>
      <c r="C1546" s="3" t="s">
        <v>34</v>
      </c>
      <c r="D1546" s="2">
        <v>10101</v>
      </c>
      <c r="E1546" s="2">
        <v>652</v>
      </c>
      <c r="F1546" s="2">
        <f t="shared" si="75"/>
        <v>104</v>
      </c>
      <c r="G1546" s="2">
        <f t="shared" si="73"/>
        <v>12</v>
      </c>
    </row>
    <row r="1547" spans="2:9" x14ac:dyDescent="0.2">
      <c r="B1547" s="3" t="s">
        <v>23</v>
      </c>
      <c r="C1547" s="3" t="s">
        <v>24</v>
      </c>
      <c r="D1547" s="2">
        <v>19602</v>
      </c>
      <c r="E1547" s="2">
        <v>2323</v>
      </c>
      <c r="F1547" s="2">
        <f t="shared" si="75"/>
        <v>64</v>
      </c>
      <c r="G1547" s="2">
        <f t="shared" si="73"/>
        <v>10</v>
      </c>
      <c r="H1547" s="2">
        <f t="shared" si="74"/>
        <v>17044</v>
      </c>
      <c r="I1547" s="2">
        <f>SUM(53913+417871)</f>
        <v>471784</v>
      </c>
    </row>
    <row r="1548" spans="2:9" x14ac:dyDescent="0.2">
      <c r="B1548" s="3"/>
      <c r="C1548" s="3" t="s">
        <v>25</v>
      </c>
      <c r="D1548" s="2">
        <v>8131</v>
      </c>
      <c r="F1548" s="2">
        <f t="shared" si="75"/>
        <v>6</v>
      </c>
    </row>
    <row r="1549" spans="2:9" x14ac:dyDescent="0.2">
      <c r="B1549" s="3"/>
      <c r="C1549" s="3" t="s">
        <v>28</v>
      </c>
      <c r="D1549" s="2">
        <v>6445</v>
      </c>
      <c r="E1549" s="2">
        <v>776</v>
      </c>
      <c r="F1549" s="2">
        <f t="shared" si="75"/>
        <v>25</v>
      </c>
      <c r="G1549" s="2">
        <f t="shared" si="73"/>
        <v>4</v>
      </c>
    </row>
    <row r="1550" spans="2:9" x14ac:dyDescent="0.2">
      <c r="B1550" s="3"/>
      <c r="C1550" s="3" t="s">
        <v>38</v>
      </c>
      <c r="D1550" s="2">
        <v>1929</v>
      </c>
      <c r="E1550" s="2">
        <v>240</v>
      </c>
      <c r="F1550" s="2">
        <f t="shared" si="75"/>
        <v>3</v>
      </c>
      <c r="G1550" s="2">
        <f t="shared" si="73"/>
        <v>0</v>
      </c>
    </row>
    <row r="1551" spans="2:9" x14ac:dyDescent="0.2">
      <c r="B1551" s="3"/>
      <c r="C1551" s="3" t="s">
        <v>39</v>
      </c>
      <c r="D1551" s="2">
        <v>1275</v>
      </c>
      <c r="E1551" s="2">
        <v>96</v>
      </c>
      <c r="F1551" s="2">
        <f t="shared" si="75"/>
        <v>10</v>
      </c>
      <c r="G1551" s="2">
        <f t="shared" si="73"/>
        <v>1</v>
      </c>
    </row>
    <row r="1552" spans="2:9" x14ac:dyDescent="0.2">
      <c r="B1552" s="3" t="s">
        <v>16</v>
      </c>
      <c r="C1552" s="3" t="s">
        <v>17</v>
      </c>
      <c r="D1552" s="2">
        <v>17057</v>
      </c>
      <c r="E1552" s="2">
        <v>1221</v>
      </c>
      <c r="F1552" s="2">
        <f t="shared" si="75"/>
        <v>217</v>
      </c>
      <c r="G1552" s="2">
        <f t="shared" si="73"/>
        <v>43</v>
      </c>
      <c r="H1552" s="2">
        <f t="shared" si="74"/>
        <v>10095</v>
      </c>
      <c r="I1552" s="2">
        <f>SUM(66258+312743)</f>
        <v>379001</v>
      </c>
    </row>
    <row r="1553" spans="1:9" x14ac:dyDescent="0.2">
      <c r="B1553" s="3"/>
      <c r="C1553" s="3" t="s">
        <v>18</v>
      </c>
      <c r="D1553" s="2">
        <v>6366</v>
      </c>
      <c r="E1553" s="2">
        <v>619</v>
      </c>
      <c r="F1553" s="2">
        <f t="shared" si="75"/>
        <v>98</v>
      </c>
      <c r="G1553" s="2">
        <f t="shared" si="73"/>
        <v>12</v>
      </c>
    </row>
    <row r="1554" spans="1:9" x14ac:dyDescent="0.2">
      <c r="B1554" s="3"/>
      <c r="C1554" s="3" t="s">
        <v>19</v>
      </c>
      <c r="D1554" s="2">
        <v>6060</v>
      </c>
      <c r="E1554" s="2">
        <v>518</v>
      </c>
      <c r="F1554" s="2">
        <f t="shared" si="75"/>
        <v>91</v>
      </c>
      <c r="G1554" s="2">
        <f t="shared" si="73"/>
        <v>27</v>
      </c>
    </row>
    <row r="1555" spans="1:9" x14ac:dyDescent="0.2">
      <c r="B1555" s="3"/>
      <c r="C1555" s="3" t="s">
        <v>40</v>
      </c>
      <c r="D1555" s="2">
        <v>3613</v>
      </c>
      <c r="E1555" s="2">
        <v>197</v>
      </c>
      <c r="F1555" s="2">
        <f t="shared" si="75"/>
        <v>27</v>
      </c>
      <c r="G1555" s="2">
        <f t="shared" si="73"/>
        <v>5</v>
      </c>
    </row>
    <row r="1556" spans="1:9" x14ac:dyDescent="0.2">
      <c r="B1556" s="3"/>
      <c r="C1556" s="3" t="s">
        <v>41</v>
      </c>
      <c r="D1556" s="2">
        <v>3838</v>
      </c>
      <c r="E1556" s="2">
        <v>283</v>
      </c>
      <c r="F1556" s="2">
        <f t="shared" si="75"/>
        <v>54</v>
      </c>
      <c r="G1556" s="2">
        <f t="shared" si="73"/>
        <v>4</v>
      </c>
    </row>
    <row r="1557" spans="1:9" x14ac:dyDescent="0.2">
      <c r="B1557" s="3" t="s">
        <v>20</v>
      </c>
      <c r="C1557" s="3" t="s">
        <v>22</v>
      </c>
      <c r="D1557" s="2">
        <v>43025</v>
      </c>
      <c r="E1557" s="2">
        <v>2049</v>
      </c>
      <c r="F1557" s="2">
        <f t="shared" si="75"/>
        <v>962</v>
      </c>
      <c r="G1557" s="2">
        <f t="shared" si="73"/>
        <v>33</v>
      </c>
      <c r="H1557" s="2">
        <f t="shared" si="74"/>
        <v>48533</v>
      </c>
      <c r="I1557" s="2">
        <v>1515306</v>
      </c>
    </row>
    <row r="1558" spans="1:9" x14ac:dyDescent="0.2">
      <c r="B1558" s="3"/>
      <c r="C1558" s="3" t="s">
        <v>26</v>
      </c>
      <c r="D1558" s="2">
        <v>6436</v>
      </c>
      <c r="E1558" s="2">
        <v>271</v>
      </c>
      <c r="F1558" s="2">
        <f t="shared" si="75"/>
        <v>119</v>
      </c>
      <c r="G1558" s="2">
        <f t="shared" si="73"/>
        <v>9</v>
      </c>
    </row>
    <row r="1559" spans="1:9" x14ac:dyDescent="0.2">
      <c r="B1559" s="3"/>
      <c r="C1559" s="3" t="s">
        <v>27</v>
      </c>
      <c r="D1559" s="2">
        <v>6351</v>
      </c>
      <c r="E1559" s="2">
        <v>298</v>
      </c>
      <c r="F1559" s="2">
        <f t="shared" si="75"/>
        <v>106</v>
      </c>
      <c r="G1559" s="2">
        <f t="shared" si="73"/>
        <v>9</v>
      </c>
    </row>
    <row r="1560" spans="1:9" x14ac:dyDescent="0.2">
      <c r="C1560" s="3" t="s">
        <v>42</v>
      </c>
      <c r="D1560" s="2">
        <v>2537</v>
      </c>
      <c r="E1560" s="2">
        <v>139</v>
      </c>
      <c r="F1560" s="2">
        <f t="shared" si="75"/>
        <v>17</v>
      </c>
      <c r="G1560" s="2">
        <f t="shared" si="73"/>
        <v>0</v>
      </c>
    </row>
    <row r="1561" spans="1:9" x14ac:dyDescent="0.2">
      <c r="C1561" s="3" t="s">
        <v>43</v>
      </c>
      <c r="D1561" s="2">
        <v>5144</v>
      </c>
      <c r="E1561" s="2">
        <v>118</v>
      </c>
      <c r="F1561" s="2">
        <f t="shared" si="75"/>
        <v>169</v>
      </c>
      <c r="G1561" s="2">
        <f t="shared" si="73"/>
        <v>6</v>
      </c>
    </row>
    <row r="1562" spans="1:9" x14ac:dyDescent="0.2">
      <c r="A1562" s="1">
        <v>43974</v>
      </c>
      <c r="B1562" s="3" t="s">
        <v>5</v>
      </c>
      <c r="C1562" s="3" t="s">
        <v>6</v>
      </c>
      <c r="D1562" s="2">
        <v>60422</v>
      </c>
      <c r="E1562" s="2">
        <v>3879</v>
      </c>
      <c r="F1562" s="2">
        <f t="shared" si="75"/>
        <v>186</v>
      </c>
      <c r="G1562" s="2">
        <f t="shared" si="73"/>
        <v>9</v>
      </c>
      <c r="H1562" s="2">
        <f t="shared" si="74"/>
        <v>51268</v>
      </c>
      <c r="I1562" s="2">
        <v>1652061</v>
      </c>
    </row>
    <row r="1563" spans="1:9" x14ac:dyDescent="0.2">
      <c r="B1563" s="3"/>
      <c r="C1563" s="3" t="s">
        <v>7</v>
      </c>
      <c r="D1563" s="2">
        <v>53902</v>
      </c>
      <c r="E1563" s="2">
        <v>4346</v>
      </c>
      <c r="F1563" s="2">
        <f t="shared" si="75"/>
        <v>263</v>
      </c>
      <c r="G1563" s="2">
        <f t="shared" si="73"/>
        <v>10</v>
      </c>
    </row>
    <row r="1564" spans="1:9" x14ac:dyDescent="0.2">
      <c r="B1564" s="3"/>
      <c r="C1564" s="3" t="s">
        <v>8</v>
      </c>
      <c r="D1564" s="2">
        <v>39726</v>
      </c>
      <c r="E1564" s="2">
        <v>2578</v>
      </c>
      <c r="F1564" s="2">
        <f t="shared" si="75"/>
        <v>118</v>
      </c>
      <c r="G1564" s="2">
        <f t="shared" si="73"/>
        <v>6</v>
      </c>
    </row>
    <row r="1565" spans="1:9" x14ac:dyDescent="0.2">
      <c r="B1565" s="3"/>
      <c r="C1565" s="3" t="s">
        <v>35</v>
      </c>
      <c r="D1565" s="2">
        <v>43921</v>
      </c>
      <c r="E1565" s="2">
        <v>2916</v>
      </c>
      <c r="F1565" s="2">
        <f t="shared" si="75"/>
        <v>155</v>
      </c>
      <c r="G1565" s="2">
        <f t="shared" si="73"/>
        <v>7</v>
      </c>
    </row>
    <row r="1566" spans="1:9" x14ac:dyDescent="0.2">
      <c r="B1566" s="3"/>
      <c r="C1566" s="3" t="s">
        <v>14</v>
      </c>
      <c r="D1566" s="2">
        <v>38802</v>
      </c>
      <c r="E1566" s="2">
        <v>1871</v>
      </c>
      <c r="F1566" s="2">
        <f t="shared" si="75"/>
        <v>130</v>
      </c>
      <c r="G1566" s="2">
        <f t="shared" si="73"/>
        <v>8</v>
      </c>
    </row>
    <row r="1567" spans="1:9" x14ac:dyDescent="0.2">
      <c r="B1567" s="3" t="s">
        <v>9</v>
      </c>
      <c r="C1567" s="3" t="s">
        <v>10</v>
      </c>
      <c r="D1567" s="2">
        <v>17668</v>
      </c>
      <c r="E1567" s="2">
        <v>1521</v>
      </c>
      <c r="F1567" s="2">
        <f t="shared" si="75"/>
        <v>15</v>
      </c>
      <c r="G1567" s="2">
        <f t="shared" si="73"/>
        <v>6</v>
      </c>
      <c r="H1567" s="2">
        <f t="shared" si="74"/>
        <v>23421</v>
      </c>
      <c r="I1567" s="2">
        <v>578735</v>
      </c>
    </row>
    <row r="1568" spans="1:9" x14ac:dyDescent="0.2">
      <c r="B1568" s="3"/>
      <c r="C1568" s="3" t="s">
        <v>11</v>
      </c>
      <c r="D1568" s="2">
        <v>17910</v>
      </c>
      <c r="E1568" s="2">
        <v>1138</v>
      </c>
      <c r="F1568" s="2">
        <f t="shared" si="75"/>
        <v>13</v>
      </c>
      <c r="G1568" s="2">
        <f t="shared" si="73"/>
        <v>4</v>
      </c>
    </row>
    <row r="1569" spans="2:9" x14ac:dyDescent="0.2">
      <c r="B1569" s="3"/>
      <c r="C1569" s="3" t="s">
        <v>12</v>
      </c>
      <c r="D1569" s="2">
        <v>17065</v>
      </c>
      <c r="E1569" s="2">
        <v>1588</v>
      </c>
      <c r="F1569" s="2">
        <f t="shared" si="75"/>
        <v>51</v>
      </c>
      <c r="G1569" s="2">
        <f t="shared" ref="G1569:G1632" si="76">SUM(E1569-E1539)</f>
        <v>3</v>
      </c>
    </row>
    <row r="1570" spans="2:9" x14ac:dyDescent="0.2">
      <c r="B1570" s="3"/>
      <c r="C1570" s="3" t="s">
        <v>36</v>
      </c>
      <c r="E1570" s="2">
        <v>1022</v>
      </c>
      <c r="G1570" s="2">
        <f t="shared" si="76"/>
        <v>4</v>
      </c>
    </row>
    <row r="1571" spans="2:9" x14ac:dyDescent="0.2">
      <c r="B1571" s="3"/>
      <c r="C1571" s="3" t="s">
        <v>37</v>
      </c>
      <c r="D1571" s="2">
        <v>15610</v>
      </c>
      <c r="E1571" s="2">
        <v>888</v>
      </c>
      <c r="F1571" s="2">
        <f t="shared" si="75"/>
        <v>6</v>
      </c>
      <c r="G1571" s="2">
        <f t="shared" si="76"/>
        <v>7</v>
      </c>
    </row>
    <row r="1572" spans="2:9" x14ac:dyDescent="0.2">
      <c r="B1572" s="3" t="s">
        <v>13</v>
      </c>
      <c r="C1572" s="3" t="s">
        <v>14</v>
      </c>
      <c r="D1572" s="2">
        <v>17291</v>
      </c>
      <c r="E1572" s="2">
        <v>827</v>
      </c>
      <c r="F1572" s="2">
        <f t="shared" si="75"/>
        <v>111</v>
      </c>
      <c r="G1572" s="2">
        <f t="shared" si="76"/>
        <v>9</v>
      </c>
      <c r="H1572" s="2">
        <f t="shared" ref="H1572:H1632" si="77">SUM(I1572-I1542)</f>
        <v>9342</v>
      </c>
      <c r="I1572" s="2">
        <v>520986</v>
      </c>
    </row>
    <row r="1573" spans="2:9" x14ac:dyDescent="0.2">
      <c r="B1573" s="3"/>
      <c r="C1573" s="3" t="s">
        <v>15</v>
      </c>
      <c r="D1573" s="2">
        <v>20232</v>
      </c>
      <c r="E1573" s="2">
        <v>1512</v>
      </c>
      <c r="F1573" s="2">
        <f t="shared" si="75"/>
        <v>147</v>
      </c>
      <c r="G1573" s="2">
        <f t="shared" si="76"/>
        <v>16</v>
      </c>
    </row>
    <row r="1574" spans="2:9" x14ac:dyDescent="0.2">
      <c r="B1574" s="3"/>
      <c r="C1574" s="3" t="s">
        <v>12</v>
      </c>
      <c r="D1574" s="2">
        <v>13334</v>
      </c>
      <c r="E1574" s="2">
        <v>848</v>
      </c>
      <c r="F1574" s="2">
        <f t="shared" si="75"/>
        <v>113</v>
      </c>
      <c r="G1574" s="2">
        <f t="shared" si="76"/>
        <v>6</v>
      </c>
    </row>
    <row r="1575" spans="2:9" x14ac:dyDescent="0.2">
      <c r="B1575" s="3"/>
      <c r="C1575" s="3" t="s">
        <v>33</v>
      </c>
      <c r="D1575" s="2">
        <v>7759</v>
      </c>
      <c r="E1575" s="2">
        <v>774</v>
      </c>
      <c r="F1575" s="2">
        <f t="shared" si="75"/>
        <v>35</v>
      </c>
      <c r="G1575" s="2">
        <f t="shared" si="76"/>
        <v>3</v>
      </c>
    </row>
    <row r="1576" spans="2:9" x14ac:dyDescent="0.2">
      <c r="B1576" s="3"/>
      <c r="C1576" s="3" t="s">
        <v>34</v>
      </c>
      <c r="D1576" s="2">
        <v>10251</v>
      </c>
      <c r="E1576" s="2">
        <v>667</v>
      </c>
      <c r="F1576" s="2">
        <f t="shared" si="75"/>
        <v>150</v>
      </c>
      <c r="G1576" s="2">
        <f t="shared" si="76"/>
        <v>15</v>
      </c>
    </row>
    <row r="1577" spans="2:9" x14ac:dyDescent="0.2">
      <c r="B1577" s="3" t="s">
        <v>23</v>
      </c>
      <c r="C1577" s="3" t="s">
        <v>24</v>
      </c>
      <c r="D1577" s="2">
        <v>19697</v>
      </c>
      <c r="E1577" s="2">
        <v>2361</v>
      </c>
      <c r="F1577" s="2">
        <f t="shared" si="75"/>
        <v>95</v>
      </c>
      <c r="G1577" s="2">
        <f t="shared" si="76"/>
        <v>38</v>
      </c>
      <c r="H1577" s="2">
        <f t="shared" si="77"/>
        <v>-20866</v>
      </c>
      <c r="I1577" s="2">
        <f>SUM(54365+396553)</f>
        <v>450918</v>
      </c>
    </row>
    <row r="1578" spans="2:9" x14ac:dyDescent="0.2">
      <c r="B1578" s="3"/>
      <c r="C1578" s="3" t="s">
        <v>25</v>
      </c>
      <c r="D1578" s="2">
        <v>8192</v>
      </c>
      <c r="E1578" s="2">
        <v>954</v>
      </c>
      <c r="F1578" s="2">
        <f t="shared" si="75"/>
        <v>61</v>
      </c>
    </row>
    <row r="1579" spans="2:9" x14ac:dyDescent="0.2">
      <c r="B1579" s="3"/>
      <c r="C1579" s="3" t="s">
        <v>28</v>
      </c>
      <c r="D1579" s="2">
        <v>6482</v>
      </c>
      <c r="E1579" s="2">
        <v>778</v>
      </c>
      <c r="F1579" s="2">
        <f t="shared" si="75"/>
        <v>37</v>
      </c>
      <c r="G1579" s="2">
        <f t="shared" si="76"/>
        <v>2</v>
      </c>
    </row>
    <row r="1580" spans="2:9" x14ac:dyDescent="0.2">
      <c r="B1580" s="3"/>
      <c r="C1580" s="3" t="s">
        <v>38</v>
      </c>
      <c r="D1580" s="2">
        <v>1936</v>
      </c>
      <c r="E1580" s="2">
        <v>240</v>
      </c>
      <c r="F1580" s="2">
        <f t="shared" si="75"/>
        <v>7</v>
      </c>
      <c r="G1580" s="2">
        <f t="shared" si="76"/>
        <v>0</v>
      </c>
    </row>
    <row r="1581" spans="2:9" x14ac:dyDescent="0.2">
      <c r="B1581" s="3"/>
      <c r="C1581" s="3" t="s">
        <v>39</v>
      </c>
      <c r="D1581" s="2">
        <v>1282</v>
      </c>
      <c r="E1581" s="2">
        <v>96</v>
      </c>
      <c r="F1581" s="2">
        <f t="shared" si="75"/>
        <v>7</v>
      </c>
      <c r="G1581" s="2">
        <f t="shared" si="76"/>
        <v>0</v>
      </c>
    </row>
    <row r="1582" spans="2:9" x14ac:dyDescent="0.2">
      <c r="B1582" s="3" t="s">
        <v>16</v>
      </c>
      <c r="C1582" s="3" t="s">
        <v>17</v>
      </c>
      <c r="D1582" s="2">
        <v>17208</v>
      </c>
      <c r="E1582" s="2">
        <v>1233</v>
      </c>
      <c r="F1582" s="2">
        <f t="shared" si="75"/>
        <v>151</v>
      </c>
      <c r="G1582" s="2">
        <f t="shared" si="76"/>
        <v>12</v>
      </c>
      <c r="H1582" s="2">
        <f t="shared" si="77"/>
        <v>9451</v>
      </c>
      <c r="I1582" s="2">
        <f>SUM(66983+321469)</f>
        <v>388452</v>
      </c>
    </row>
    <row r="1583" spans="2:9" x14ac:dyDescent="0.2">
      <c r="B1583" s="3"/>
      <c r="C1583" s="3" t="s">
        <v>18</v>
      </c>
      <c r="D1583" s="2">
        <v>6464</v>
      </c>
      <c r="E1583" s="2">
        <v>633</v>
      </c>
      <c r="F1583" s="2">
        <f t="shared" ref="F1583:F1646" si="78">SUM(D1583-D1553)</f>
        <v>98</v>
      </c>
      <c r="G1583" s="2">
        <f t="shared" si="76"/>
        <v>14</v>
      </c>
    </row>
    <row r="1584" spans="2:9" x14ac:dyDescent="0.2">
      <c r="B1584" s="3"/>
      <c r="C1584" s="3" t="s">
        <v>19</v>
      </c>
      <c r="D1584" s="2">
        <v>6114</v>
      </c>
      <c r="E1584" s="2">
        <v>521</v>
      </c>
      <c r="F1584" s="2">
        <f t="shared" si="78"/>
        <v>54</v>
      </c>
      <c r="G1584" s="2">
        <f t="shared" si="76"/>
        <v>3</v>
      </c>
    </row>
    <row r="1585" spans="1:9" x14ac:dyDescent="0.2">
      <c r="B1585" s="3"/>
      <c r="C1585" s="3" t="s">
        <v>40</v>
      </c>
      <c r="D1585" s="2">
        <v>3628</v>
      </c>
      <c r="E1585" s="2">
        <v>202</v>
      </c>
      <c r="F1585" s="2">
        <f t="shared" si="78"/>
        <v>15</v>
      </c>
      <c r="G1585" s="2">
        <f t="shared" si="76"/>
        <v>5</v>
      </c>
    </row>
    <row r="1586" spans="1:9" x14ac:dyDescent="0.2">
      <c r="B1586" s="3"/>
      <c r="C1586" s="3" t="s">
        <v>41</v>
      </c>
      <c r="D1586" s="2">
        <v>3845</v>
      </c>
      <c r="E1586" s="2">
        <v>292</v>
      </c>
      <c r="F1586" s="2">
        <f t="shared" si="78"/>
        <v>7</v>
      </c>
      <c r="G1586" s="2">
        <f t="shared" si="76"/>
        <v>9</v>
      </c>
    </row>
    <row r="1587" spans="1:9" x14ac:dyDescent="0.2">
      <c r="B1587" s="3" t="s">
        <v>20</v>
      </c>
      <c r="C1587" s="3" t="s">
        <v>22</v>
      </c>
      <c r="D1587" s="2">
        <v>44029</v>
      </c>
      <c r="E1587" s="2">
        <v>2090</v>
      </c>
      <c r="F1587" s="2">
        <f t="shared" si="78"/>
        <v>1004</v>
      </c>
      <c r="G1587" s="2">
        <f t="shared" si="76"/>
        <v>41</v>
      </c>
      <c r="H1587" s="2">
        <f t="shared" si="77"/>
        <v>67439</v>
      </c>
      <c r="I1587" s="2">
        <v>1582745</v>
      </c>
    </row>
    <row r="1588" spans="1:9" x14ac:dyDescent="0.2">
      <c r="B1588" s="3"/>
      <c r="C1588" s="3" t="s">
        <v>26</v>
      </c>
      <c r="D1588" s="2">
        <v>6561</v>
      </c>
      <c r="E1588" s="2">
        <v>275</v>
      </c>
      <c r="F1588" s="2">
        <f t="shared" si="78"/>
        <v>125</v>
      </c>
      <c r="G1588" s="2">
        <f t="shared" si="76"/>
        <v>4</v>
      </c>
    </row>
    <row r="1589" spans="1:9" x14ac:dyDescent="0.2">
      <c r="B1589" s="3"/>
      <c r="C1589" s="3" t="s">
        <v>27</v>
      </c>
      <c r="D1589" s="2">
        <v>6460</v>
      </c>
      <c r="E1589" s="2">
        <v>299</v>
      </c>
      <c r="F1589" s="2">
        <f t="shared" si="78"/>
        <v>109</v>
      </c>
      <c r="G1589" s="2">
        <f t="shared" si="76"/>
        <v>1</v>
      </c>
    </row>
    <row r="1590" spans="1:9" x14ac:dyDescent="0.2">
      <c r="C1590" s="3" t="s">
        <v>42</v>
      </c>
      <c r="D1590" s="2">
        <v>2593</v>
      </c>
      <c r="E1590" s="2">
        <v>139</v>
      </c>
      <c r="F1590" s="2">
        <f t="shared" si="78"/>
        <v>56</v>
      </c>
      <c r="G1590" s="2">
        <f t="shared" si="76"/>
        <v>0</v>
      </c>
    </row>
    <row r="1591" spans="1:9" x14ac:dyDescent="0.2">
      <c r="C1591" s="3" t="s">
        <v>43</v>
      </c>
      <c r="D1591" s="2">
        <v>5313</v>
      </c>
      <c r="E1591" s="2">
        <v>130</v>
      </c>
      <c r="F1591" s="2">
        <f t="shared" si="78"/>
        <v>169</v>
      </c>
      <c r="G1591" s="2">
        <f t="shared" si="76"/>
        <v>12</v>
      </c>
    </row>
    <row r="1592" spans="1:9" x14ac:dyDescent="0.2">
      <c r="A1592" s="1">
        <v>43975</v>
      </c>
      <c r="B1592" s="3" t="s">
        <v>5</v>
      </c>
      <c r="C1592" s="3" t="s">
        <v>6</v>
      </c>
      <c r="D1592" s="2">
        <v>60636</v>
      </c>
      <c r="E1592" s="2">
        <v>3888</v>
      </c>
      <c r="F1592" s="2">
        <f>SUM(D1592-D1562)</f>
        <v>214</v>
      </c>
      <c r="G1592" s="2">
        <f t="shared" si="76"/>
        <v>9</v>
      </c>
      <c r="H1592" s="2">
        <f t="shared" si="77"/>
        <v>47765</v>
      </c>
      <c r="I1592" s="2">
        <v>1699826</v>
      </c>
    </row>
    <row r="1593" spans="1:9" x14ac:dyDescent="0.2">
      <c r="B1593" s="3"/>
      <c r="C1593" s="3" t="s">
        <v>7</v>
      </c>
      <c r="D1593" s="2">
        <v>54175</v>
      </c>
      <c r="E1593" s="2">
        <v>4360</v>
      </c>
      <c r="F1593" s="2">
        <f t="shared" si="78"/>
        <v>273</v>
      </c>
      <c r="G1593" s="2">
        <f t="shared" si="76"/>
        <v>14</v>
      </c>
    </row>
    <row r="1594" spans="1:9" x14ac:dyDescent="0.2">
      <c r="B1594" s="3"/>
      <c r="C1594" s="3" t="s">
        <v>8</v>
      </c>
      <c r="D1594" s="2">
        <v>39837</v>
      </c>
      <c r="E1594" s="2">
        <v>2586</v>
      </c>
      <c r="F1594" s="2">
        <f t="shared" si="78"/>
        <v>111</v>
      </c>
      <c r="G1594" s="2">
        <f t="shared" si="76"/>
        <v>8</v>
      </c>
    </row>
    <row r="1595" spans="1:9" x14ac:dyDescent="0.2">
      <c r="B1595" s="3"/>
      <c r="C1595" s="3" t="s">
        <v>35</v>
      </c>
      <c r="D1595" s="2">
        <v>44137</v>
      </c>
      <c r="E1595" s="2">
        <v>2921</v>
      </c>
      <c r="F1595" s="2">
        <f t="shared" si="78"/>
        <v>216</v>
      </c>
      <c r="G1595" s="2">
        <f t="shared" si="76"/>
        <v>5</v>
      </c>
    </row>
    <row r="1596" spans="1:9" x14ac:dyDescent="0.2">
      <c r="B1596" s="3"/>
      <c r="C1596" s="3" t="s">
        <v>14</v>
      </c>
      <c r="D1596" s="2">
        <v>38964</v>
      </c>
      <c r="E1596" s="2">
        <v>1883</v>
      </c>
      <c r="F1596" s="2">
        <f t="shared" si="78"/>
        <v>162</v>
      </c>
      <c r="G1596" s="2">
        <f t="shared" si="76"/>
        <v>12</v>
      </c>
    </row>
    <row r="1597" spans="1:9" x14ac:dyDescent="0.2">
      <c r="B1597" s="3" t="s">
        <v>9</v>
      </c>
      <c r="C1597" s="3" t="s">
        <v>10</v>
      </c>
      <c r="D1597" s="2">
        <v>17804</v>
      </c>
      <c r="E1597" s="2">
        <v>1525</v>
      </c>
      <c r="F1597" s="2">
        <f t="shared" si="78"/>
        <v>136</v>
      </c>
      <c r="G1597" s="2">
        <f t="shared" si="76"/>
        <v>4</v>
      </c>
      <c r="H1597" s="2">
        <f t="shared" si="77"/>
        <v>25072</v>
      </c>
      <c r="I1597" s="2">
        <v>603807</v>
      </c>
    </row>
    <row r="1598" spans="1:9" x14ac:dyDescent="0.2">
      <c r="B1598" s="3"/>
      <c r="C1598" s="3" t="s">
        <v>11</v>
      </c>
      <c r="D1598" s="2">
        <v>17977</v>
      </c>
      <c r="E1598" s="2">
        <v>1139</v>
      </c>
      <c r="F1598" s="2">
        <f t="shared" si="78"/>
        <v>67</v>
      </c>
      <c r="G1598" s="2">
        <f t="shared" si="76"/>
        <v>1</v>
      </c>
    </row>
    <row r="1599" spans="1:9" x14ac:dyDescent="0.2">
      <c r="B1599" s="3"/>
      <c r="C1599" s="3" t="s">
        <v>12</v>
      </c>
      <c r="D1599" s="2">
        <v>17142</v>
      </c>
      <c r="E1599" s="2">
        <v>1595</v>
      </c>
      <c r="F1599" s="2">
        <f t="shared" si="78"/>
        <v>77</v>
      </c>
      <c r="G1599" s="2">
        <f t="shared" si="76"/>
        <v>7</v>
      </c>
    </row>
    <row r="1600" spans="1:9" x14ac:dyDescent="0.2">
      <c r="B1600" s="3"/>
      <c r="C1600" s="3" t="s">
        <v>36</v>
      </c>
      <c r="D1600" s="2">
        <v>15169</v>
      </c>
      <c r="E1600" s="2">
        <v>1025</v>
      </c>
      <c r="G1600" s="2">
        <f t="shared" si="76"/>
        <v>3</v>
      </c>
    </row>
    <row r="1601" spans="2:9" x14ac:dyDescent="0.2">
      <c r="B1601" s="3"/>
      <c r="C1601" s="3" t="s">
        <v>37</v>
      </c>
      <c r="D1601" s="2">
        <v>15686</v>
      </c>
      <c r="E1601" s="2">
        <v>890</v>
      </c>
      <c r="F1601" s="2">
        <f t="shared" si="78"/>
        <v>76</v>
      </c>
      <c r="G1601" s="2">
        <f t="shared" si="76"/>
        <v>2</v>
      </c>
    </row>
    <row r="1602" spans="2:9" x14ac:dyDescent="0.2">
      <c r="B1602" s="3" t="s">
        <v>13</v>
      </c>
      <c r="C1602" s="3" t="s">
        <v>14</v>
      </c>
      <c r="D1602" s="2">
        <v>17417</v>
      </c>
      <c r="E1602" s="2">
        <v>838</v>
      </c>
      <c r="F1602" s="2">
        <f t="shared" si="78"/>
        <v>126</v>
      </c>
      <c r="G1602" s="2">
        <f t="shared" si="76"/>
        <v>11</v>
      </c>
      <c r="H1602" s="2">
        <f t="shared" si="77"/>
        <v>11387</v>
      </c>
      <c r="I1602" s="2">
        <v>532373</v>
      </c>
    </row>
    <row r="1603" spans="2:9" x14ac:dyDescent="0.2">
      <c r="B1603" s="3"/>
      <c r="C1603" s="3" t="s">
        <v>15</v>
      </c>
      <c r="D1603" s="2">
        <v>20437</v>
      </c>
      <c r="E1603" s="2">
        <v>1518</v>
      </c>
      <c r="F1603" s="2">
        <f t="shared" si="78"/>
        <v>205</v>
      </c>
      <c r="G1603" s="2">
        <f t="shared" si="76"/>
        <v>6</v>
      </c>
    </row>
    <row r="1604" spans="2:9" x14ac:dyDescent="0.2">
      <c r="B1604" s="3"/>
      <c r="C1604" s="3" t="s">
        <v>12</v>
      </c>
      <c r="D1604" s="2">
        <v>13457</v>
      </c>
      <c r="E1604" s="2">
        <v>859</v>
      </c>
      <c r="F1604" s="2">
        <f t="shared" si="78"/>
        <v>123</v>
      </c>
      <c r="G1604" s="2">
        <f t="shared" si="76"/>
        <v>11</v>
      </c>
    </row>
    <row r="1605" spans="2:9" x14ac:dyDescent="0.2">
      <c r="B1605" s="3"/>
      <c r="C1605" s="3" t="s">
        <v>33</v>
      </c>
      <c r="D1605" s="2">
        <v>7812</v>
      </c>
      <c r="E1605" s="2">
        <v>782</v>
      </c>
      <c r="F1605" s="2">
        <f t="shared" si="78"/>
        <v>53</v>
      </c>
      <c r="G1605" s="2">
        <f t="shared" si="76"/>
        <v>8</v>
      </c>
    </row>
    <row r="1606" spans="2:9" x14ac:dyDescent="0.2">
      <c r="B1606" s="3"/>
      <c r="C1606" s="3" t="s">
        <v>34</v>
      </c>
      <c r="D1606" s="2">
        <v>10431</v>
      </c>
      <c r="E1606" s="2">
        <v>679</v>
      </c>
      <c r="F1606" s="2">
        <f t="shared" si="78"/>
        <v>180</v>
      </c>
      <c r="G1606" s="2">
        <f t="shared" si="76"/>
        <v>12</v>
      </c>
    </row>
    <row r="1607" spans="2:9" x14ac:dyDescent="0.2">
      <c r="B1607" s="3" t="s">
        <v>23</v>
      </c>
      <c r="C1607" s="3" t="s">
        <v>24</v>
      </c>
      <c r="D1607" s="2">
        <v>19771</v>
      </c>
      <c r="F1607" s="2">
        <f t="shared" si="78"/>
        <v>74</v>
      </c>
      <c r="H1607" s="2">
        <f t="shared" si="77"/>
        <v>314</v>
      </c>
      <c r="I1607" s="2">
        <f>SUM(54679+396553)</f>
        <v>451232</v>
      </c>
    </row>
    <row r="1608" spans="2:9" x14ac:dyDescent="0.2">
      <c r="B1608" s="3"/>
      <c r="C1608" s="3" t="s">
        <v>25</v>
      </c>
      <c r="D1608" s="2">
        <v>8215</v>
      </c>
      <c r="E1608" s="2">
        <v>955</v>
      </c>
      <c r="F1608" s="2">
        <f t="shared" si="78"/>
        <v>23</v>
      </c>
      <c r="G1608" s="2">
        <f t="shared" si="76"/>
        <v>1</v>
      </c>
    </row>
    <row r="1609" spans="2:9" x14ac:dyDescent="0.2">
      <c r="B1609" s="3"/>
      <c r="C1609" s="3" t="s">
        <v>28</v>
      </c>
      <c r="D1609" s="2">
        <v>6499</v>
      </c>
      <c r="E1609" s="2">
        <v>778</v>
      </c>
      <c r="F1609" s="2">
        <f t="shared" si="78"/>
        <v>17</v>
      </c>
      <c r="G1609" s="2">
        <f t="shared" si="76"/>
        <v>0</v>
      </c>
    </row>
    <row r="1610" spans="2:9" x14ac:dyDescent="0.2">
      <c r="B1610" s="3"/>
      <c r="C1610" s="3" t="s">
        <v>38</v>
      </c>
      <c r="D1610" s="2">
        <v>1948</v>
      </c>
      <c r="E1610" s="2">
        <v>240</v>
      </c>
      <c r="F1610" s="2">
        <f t="shared" si="78"/>
        <v>12</v>
      </c>
      <c r="G1610" s="2">
        <f t="shared" si="76"/>
        <v>0</v>
      </c>
    </row>
    <row r="1611" spans="2:9" x14ac:dyDescent="0.2">
      <c r="B1611" s="3"/>
      <c r="C1611" s="3" t="s">
        <v>39</v>
      </c>
      <c r="D1611" s="2">
        <v>1294</v>
      </c>
      <c r="E1611" s="2">
        <v>96</v>
      </c>
      <c r="F1611" s="2">
        <f t="shared" si="78"/>
        <v>12</v>
      </c>
      <c r="G1611" s="2">
        <f t="shared" si="76"/>
        <v>0</v>
      </c>
    </row>
    <row r="1612" spans="2:9" x14ac:dyDescent="0.2">
      <c r="B1612" s="3" t="s">
        <v>16</v>
      </c>
      <c r="C1612" s="3" t="s">
        <v>17</v>
      </c>
      <c r="D1612" s="2">
        <v>17384</v>
      </c>
      <c r="E1612" s="2">
        <v>1233</v>
      </c>
      <c r="F1612" s="2">
        <f t="shared" si="78"/>
        <v>176</v>
      </c>
      <c r="G1612" s="2">
        <f t="shared" si="76"/>
        <v>0</v>
      </c>
      <c r="H1612" s="2">
        <f t="shared" si="77"/>
        <v>7643</v>
      </c>
      <c r="I1612" s="2">
        <f>SUM(67713+328382)</f>
        <v>396095</v>
      </c>
    </row>
    <row r="1613" spans="2:9" x14ac:dyDescent="0.2">
      <c r="B1613" s="3"/>
      <c r="C1613" s="3" t="s">
        <v>18</v>
      </c>
      <c r="D1613" s="2">
        <v>6525</v>
      </c>
      <c r="E1613" s="2">
        <v>633</v>
      </c>
      <c r="F1613" s="2">
        <f t="shared" si="78"/>
        <v>61</v>
      </c>
      <c r="G1613" s="2">
        <f t="shared" si="76"/>
        <v>0</v>
      </c>
    </row>
    <row r="1614" spans="2:9" x14ac:dyDescent="0.2">
      <c r="B1614" s="3"/>
      <c r="C1614" s="3" t="s">
        <v>19</v>
      </c>
      <c r="D1614" s="2">
        <v>6179</v>
      </c>
      <c r="E1614" s="2">
        <v>521</v>
      </c>
      <c r="F1614" s="2">
        <f t="shared" si="78"/>
        <v>65</v>
      </c>
      <c r="G1614" s="2">
        <f t="shared" si="76"/>
        <v>0</v>
      </c>
    </row>
    <row r="1615" spans="2:9" x14ac:dyDescent="0.2">
      <c r="B1615" s="3"/>
      <c r="C1615" s="3" t="s">
        <v>40</v>
      </c>
      <c r="D1615" s="2">
        <v>3651</v>
      </c>
      <c r="E1615" s="2">
        <v>206</v>
      </c>
      <c r="F1615" s="2">
        <f t="shared" si="78"/>
        <v>23</v>
      </c>
      <c r="G1615" s="2">
        <f t="shared" si="76"/>
        <v>4</v>
      </c>
    </row>
    <row r="1616" spans="2:9" x14ac:dyDescent="0.2">
      <c r="B1616" s="3"/>
      <c r="C1616" s="3" t="s">
        <v>41</v>
      </c>
      <c r="D1616" s="2">
        <v>3885</v>
      </c>
      <c r="E1616" s="2">
        <v>296</v>
      </c>
      <c r="F1616" s="2">
        <f t="shared" si="78"/>
        <v>40</v>
      </c>
      <c r="G1616" s="2">
        <f t="shared" si="76"/>
        <v>4</v>
      </c>
    </row>
    <row r="1617" spans="1:12" x14ac:dyDescent="0.2">
      <c r="B1617" s="3" t="s">
        <v>20</v>
      </c>
      <c r="C1617" s="3" t="s">
        <v>22</v>
      </c>
      <c r="D1617" s="2">
        <v>44954</v>
      </c>
      <c r="E1617" s="2">
        <v>2104</v>
      </c>
      <c r="F1617" s="2">
        <f t="shared" si="78"/>
        <v>925</v>
      </c>
      <c r="G1617" s="2">
        <f t="shared" si="76"/>
        <v>14</v>
      </c>
      <c r="H1617" s="2">
        <f t="shared" si="77"/>
        <v>61357</v>
      </c>
      <c r="I1617" s="2">
        <v>1644102</v>
      </c>
    </row>
    <row r="1618" spans="1:12" x14ac:dyDescent="0.2">
      <c r="B1618" s="3"/>
      <c r="C1618" s="3" t="s">
        <v>26</v>
      </c>
      <c r="D1618" s="2">
        <v>6703</v>
      </c>
      <c r="E1618" s="2">
        <v>275</v>
      </c>
      <c r="F1618" s="2">
        <f t="shared" si="78"/>
        <v>142</v>
      </c>
      <c r="G1618" s="2">
        <f t="shared" si="76"/>
        <v>0</v>
      </c>
    </row>
    <row r="1619" spans="1:12" x14ac:dyDescent="0.2">
      <c r="B1619" s="3"/>
      <c r="C1619" s="3" t="s">
        <v>27</v>
      </c>
      <c r="D1619" s="2">
        <v>6571</v>
      </c>
      <c r="E1619" s="2">
        <v>304</v>
      </c>
      <c r="F1619" s="2">
        <f t="shared" si="78"/>
        <v>111</v>
      </c>
      <c r="G1619" s="2">
        <f t="shared" si="76"/>
        <v>5</v>
      </c>
    </row>
    <row r="1620" spans="1:12" x14ac:dyDescent="0.2">
      <c r="C1620" s="3" t="s">
        <v>42</v>
      </c>
      <c r="D1620" s="2">
        <v>2623</v>
      </c>
      <c r="E1620" s="2">
        <v>139</v>
      </c>
      <c r="F1620" s="2">
        <f t="shared" si="78"/>
        <v>30</v>
      </c>
      <c r="G1620" s="2">
        <f t="shared" si="76"/>
        <v>0</v>
      </c>
    </row>
    <row r="1621" spans="1:12" x14ac:dyDescent="0.2">
      <c r="C1621" s="3" t="s">
        <v>43</v>
      </c>
      <c r="D1621" s="2">
        <v>5439</v>
      </c>
      <c r="E1621" s="2">
        <v>131</v>
      </c>
      <c r="F1621" s="2">
        <f t="shared" si="78"/>
        <v>126</v>
      </c>
      <c r="G1621" s="2">
        <f t="shared" si="76"/>
        <v>1</v>
      </c>
    </row>
    <row r="1622" spans="1:12" x14ac:dyDescent="0.2">
      <c r="A1622" s="1">
        <v>43976</v>
      </c>
      <c r="B1622" s="3" t="s">
        <v>5</v>
      </c>
      <c r="C1622" s="3" t="s">
        <v>6</v>
      </c>
      <c r="D1622" s="2">
        <v>60828</v>
      </c>
      <c r="E1622" s="2">
        <v>3900</v>
      </c>
      <c r="F1622" s="2">
        <f t="shared" si="78"/>
        <v>192</v>
      </c>
      <c r="G1622" s="2">
        <f t="shared" si="76"/>
        <v>12</v>
      </c>
      <c r="H1622" s="2">
        <f t="shared" si="77"/>
        <v>39623</v>
      </c>
      <c r="I1622" s="2">
        <v>1739449</v>
      </c>
    </row>
    <row r="1623" spans="1:12" x14ac:dyDescent="0.2">
      <c r="B1623" s="3"/>
      <c r="C1623" s="3" t="s">
        <v>7</v>
      </c>
      <c r="D1623" s="2">
        <v>54360</v>
      </c>
      <c r="E1623" s="2">
        <v>4375</v>
      </c>
      <c r="F1623" s="2">
        <f t="shared" si="78"/>
        <v>185</v>
      </c>
      <c r="G1623" s="2">
        <f t="shared" si="76"/>
        <v>15</v>
      </c>
    </row>
    <row r="1624" spans="1:12" x14ac:dyDescent="0.2">
      <c r="B1624" s="3"/>
      <c r="C1624" s="3" t="s">
        <v>8</v>
      </c>
      <c r="D1624" s="2">
        <v>39907</v>
      </c>
      <c r="E1624" s="2">
        <v>2597</v>
      </c>
      <c r="F1624" s="2">
        <f t="shared" si="78"/>
        <v>70</v>
      </c>
      <c r="G1624" s="2">
        <f t="shared" si="76"/>
        <v>11</v>
      </c>
    </row>
    <row r="1625" spans="1:12" x14ac:dyDescent="0.2">
      <c r="B1625" s="3"/>
      <c r="C1625" s="3" t="s">
        <v>35</v>
      </c>
      <c r="D1625" s="2">
        <v>44247</v>
      </c>
      <c r="E1625" s="2">
        <v>2932</v>
      </c>
      <c r="F1625" s="2">
        <f t="shared" si="78"/>
        <v>110</v>
      </c>
      <c r="G1625" s="2">
        <f t="shared" si="76"/>
        <v>11</v>
      </c>
    </row>
    <row r="1626" spans="1:12" x14ac:dyDescent="0.2">
      <c r="B1626" s="3"/>
      <c r="C1626" s="3" t="s">
        <v>14</v>
      </c>
      <c r="D1626" s="2">
        <v>39090</v>
      </c>
      <c r="E1626" s="2">
        <v>1888</v>
      </c>
      <c r="F1626" s="2">
        <f t="shared" si="78"/>
        <v>126</v>
      </c>
      <c r="G1626" s="2">
        <f t="shared" si="76"/>
        <v>5</v>
      </c>
    </row>
    <row r="1627" spans="1:12" x14ac:dyDescent="0.2">
      <c r="B1627" s="3" t="s">
        <v>9</v>
      </c>
      <c r="C1627" s="3" t="s">
        <v>10</v>
      </c>
      <c r="D1627" s="2">
        <v>17901</v>
      </c>
      <c r="E1627" s="2">
        <v>1525</v>
      </c>
      <c r="F1627" s="2">
        <f t="shared" si="78"/>
        <v>97</v>
      </c>
      <c r="G1627" s="2">
        <f t="shared" si="76"/>
        <v>0</v>
      </c>
      <c r="H1627" s="2">
        <f t="shared" si="77"/>
        <v>19990</v>
      </c>
      <c r="I1627" s="2">
        <v>623797</v>
      </c>
    </row>
    <row r="1628" spans="1:12" x14ac:dyDescent="0.2">
      <c r="B1628" s="3"/>
      <c r="C1628" s="3" t="s">
        <v>11</v>
      </c>
      <c r="D1628" s="2">
        <v>18051</v>
      </c>
      <c r="F1628" s="2">
        <f t="shared" si="78"/>
        <v>74</v>
      </c>
    </row>
    <row r="1629" spans="1:12" x14ac:dyDescent="0.2">
      <c r="B1629" s="3"/>
      <c r="C1629" s="3" t="s">
        <v>12</v>
      </c>
      <c r="D1629" s="2">
        <v>17202</v>
      </c>
      <c r="E1629" s="2">
        <v>1595</v>
      </c>
      <c r="F1629" s="2">
        <f t="shared" si="78"/>
        <v>60</v>
      </c>
      <c r="G1629" s="2">
        <f t="shared" si="76"/>
        <v>0</v>
      </c>
    </row>
    <row r="1630" spans="1:12" x14ac:dyDescent="0.2">
      <c r="B1630" s="3"/>
      <c r="C1630" s="3" t="s">
        <v>36</v>
      </c>
      <c r="D1630" s="2">
        <v>15218</v>
      </c>
      <c r="F1630" s="2">
        <f t="shared" si="78"/>
        <v>49</v>
      </c>
      <c r="L1630" s="2"/>
    </row>
    <row r="1631" spans="1:12" x14ac:dyDescent="0.2">
      <c r="B1631" s="3"/>
      <c r="C1631" s="3" t="s">
        <v>37</v>
      </c>
      <c r="D1631" s="2">
        <v>15774</v>
      </c>
      <c r="E1631" s="2">
        <v>891</v>
      </c>
      <c r="F1631" s="2">
        <f t="shared" si="78"/>
        <v>88</v>
      </c>
      <c r="G1631" s="2">
        <f t="shared" si="76"/>
        <v>1</v>
      </c>
      <c r="L1631" s="2"/>
    </row>
    <row r="1632" spans="1:12" x14ac:dyDescent="0.2">
      <c r="B1632" s="3" t="s">
        <v>13</v>
      </c>
      <c r="C1632" s="3" t="s">
        <v>14</v>
      </c>
      <c r="D1632" s="2">
        <v>17480</v>
      </c>
      <c r="E1632" s="2">
        <v>838</v>
      </c>
      <c r="F1632" s="2">
        <f t="shared" si="78"/>
        <v>63</v>
      </c>
      <c r="G1632" s="2">
        <f t="shared" si="76"/>
        <v>0</v>
      </c>
      <c r="H1632" s="2">
        <f t="shared" si="77"/>
        <v>8188</v>
      </c>
      <c r="I1632" s="2">
        <v>540561</v>
      </c>
      <c r="L1632" s="2"/>
    </row>
    <row r="1633" spans="2:12" x14ac:dyDescent="0.2">
      <c r="B1633" s="3"/>
      <c r="C1633" s="3" t="s">
        <v>15</v>
      </c>
      <c r="D1633" s="2">
        <v>20539</v>
      </c>
      <c r="E1633" s="2">
        <v>1518</v>
      </c>
      <c r="F1633" s="2">
        <f t="shared" si="78"/>
        <v>102</v>
      </c>
      <c r="G1633" s="2">
        <f t="shared" ref="G1633:G1696" si="79">SUM(E1633-E1603)</f>
        <v>0</v>
      </c>
      <c r="L1633" s="2"/>
    </row>
    <row r="1634" spans="2:12" x14ac:dyDescent="0.2">
      <c r="B1634" s="3"/>
      <c r="C1634" s="3" t="s">
        <v>12</v>
      </c>
      <c r="D1634" s="2">
        <v>13575</v>
      </c>
      <c r="E1634" s="2">
        <v>859</v>
      </c>
      <c r="F1634" s="2">
        <f t="shared" si="78"/>
        <v>118</v>
      </c>
      <c r="G1634" s="2">
        <f t="shared" si="79"/>
        <v>0</v>
      </c>
      <c r="L1634" s="2"/>
    </row>
    <row r="1635" spans="2:12" x14ac:dyDescent="0.2">
      <c r="B1635" s="3"/>
      <c r="C1635" s="3" t="s">
        <v>33</v>
      </c>
      <c r="D1635" s="2">
        <v>7844</v>
      </c>
      <c r="E1635" s="2">
        <v>782</v>
      </c>
      <c r="F1635" s="2">
        <f t="shared" si="78"/>
        <v>32</v>
      </c>
      <c r="G1635" s="2">
        <f t="shared" si="79"/>
        <v>0</v>
      </c>
      <c r="L1635" s="2"/>
    </row>
    <row r="1636" spans="2:12" x14ac:dyDescent="0.2">
      <c r="B1636" s="3"/>
      <c r="C1636" s="3" t="s">
        <v>34</v>
      </c>
      <c r="D1636" s="2">
        <v>10505</v>
      </c>
      <c r="E1636" s="2">
        <v>679</v>
      </c>
      <c r="F1636" s="2">
        <f t="shared" si="78"/>
        <v>74</v>
      </c>
      <c r="G1636" s="2">
        <f t="shared" si="79"/>
        <v>0</v>
      </c>
      <c r="L1636" s="2"/>
    </row>
    <row r="1637" spans="2:12" x14ac:dyDescent="0.2">
      <c r="B1637" s="3" t="s">
        <v>23</v>
      </c>
      <c r="C1637" s="3" t="s">
        <v>24</v>
      </c>
      <c r="D1637" s="2">
        <v>19816</v>
      </c>
      <c r="E1637" s="2">
        <v>2364</v>
      </c>
      <c r="F1637" s="2">
        <f t="shared" si="78"/>
        <v>45</v>
      </c>
      <c r="H1637" s="2">
        <f t="shared" ref="H1637:H1672" si="80">SUM(I1637-I1607)</f>
        <v>21628</v>
      </c>
      <c r="I1637" s="2">
        <f>SUM(54881+417979)</f>
        <v>472860</v>
      </c>
      <c r="L1637" s="2"/>
    </row>
    <row r="1638" spans="2:12" x14ac:dyDescent="0.2">
      <c r="B1638" s="3"/>
      <c r="C1638" s="3" t="s">
        <v>25</v>
      </c>
      <c r="D1638" s="2">
        <v>8226</v>
      </c>
      <c r="E1638" s="2">
        <v>955</v>
      </c>
      <c r="F1638" s="2">
        <f t="shared" si="78"/>
        <v>11</v>
      </c>
      <c r="G1638" s="2">
        <f t="shared" si="79"/>
        <v>0</v>
      </c>
      <c r="L1638" s="2"/>
    </row>
    <row r="1639" spans="2:12" x14ac:dyDescent="0.2">
      <c r="B1639" s="3"/>
      <c r="C1639" s="3" t="s">
        <v>28</v>
      </c>
      <c r="D1639" s="2">
        <v>6516</v>
      </c>
      <c r="E1639" s="2">
        <v>778</v>
      </c>
      <c r="F1639" s="2">
        <f t="shared" si="78"/>
        <v>17</v>
      </c>
      <c r="G1639" s="2">
        <f t="shared" si="79"/>
        <v>0</v>
      </c>
      <c r="L1639" s="2"/>
    </row>
    <row r="1640" spans="2:12" x14ac:dyDescent="0.2">
      <c r="B1640" s="3"/>
      <c r="C1640" s="3" t="s">
        <v>38</v>
      </c>
      <c r="D1640" s="2">
        <v>1961</v>
      </c>
      <c r="E1640" s="2">
        <v>242</v>
      </c>
      <c r="F1640" s="2">
        <f t="shared" si="78"/>
        <v>13</v>
      </c>
      <c r="G1640" s="2">
        <f t="shared" si="79"/>
        <v>2</v>
      </c>
      <c r="L1640" s="2"/>
    </row>
    <row r="1641" spans="2:12" x14ac:dyDescent="0.2">
      <c r="B1641" s="3"/>
      <c r="C1641" s="3" t="s">
        <v>39</v>
      </c>
      <c r="D1641" s="2">
        <v>1298</v>
      </c>
      <c r="E1641" s="2">
        <v>96</v>
      </c>
      <c r="F1641" s="2">
        <f t="shared" si="78"/>
        <v>4</v>
      </c>
      <c r="G1641" s="2">
        <f t="shared" si="79"/>
        <v>0</v>
      </c>
      <c r="L1641" s="2"/>
    </row>
    <row r="1642" spans="2:12" x14ac:dyDescent="0.2">
      <c r="B1642" s="3" t="s">
        <v>16</v>
      </c>
      <c r="C1642" s="3" t="s">
        <v>17</v>
      </c>
      <c r="D1642" s="2">
        <v>17495</v>
      </c>
      <c r="E1642" s="2">
        <v>1235</v>
      </c>
      <c r="F1642" s="2">
        <f t="shared" si="78"/>
        <v>111</v>
      </c>
      <c r="G1642" s="2">
        <f t="shared" si="79"/>
        <v>2</v>
      </c>
      <c r="H1642" s="2">
        <f t="shared" si="80"/>
        <v>7019</v>
      </c>
      <c r="I1642" s="2">
        <f>SUM(68186+334928)</f>
        <v>403114</v>
      </c>
      <c r="L1642" s="2"/>
    </row>
    <row r="1643" spans="2:12" x14ac:dyDescent="0.2">
      <c r="B1643" s="3"/>
      <c r="C1643" s="3" t="s">
        <v>18</v>
      </c>
      <c r="D1643" s="2">
        <v>6576</v>
      </c>
      <c r="E1643" s="2">
        <v>633</v>
      </c>
      <c r="F1643" s="2">
        <f t="shared" si="78"/>
        <v>51</v>
      </c>
      <c r="G1643" s="2">
        <f t="shared" si="79"/>
        <v>0</v>
      </c>
      <c r="L1643" s="2"/>
    </row>
    <row r="1644" spans="2:12" x14ac:dyDescent="0.2">
      <c r="B1644" s="3"/>
      <c r="C1644" s="3" t="s">
        <v>19</v>
      </c>
      <c r="D1644" s="2">
        <v>6210</v>
      </c>
      <c r="E1644" s="2">
        <v>524</v>
      </c>
      <c r="F1644" s="2">
        <f t="shared" si="78"/>
        <v>31</v>
      </c>
      <c r="G1644" s="2">
        <f t="shared" si="79"/>
        <v>3</v>
      </c>
      <c r="L1644" s="2"/>
    </row>
    <row r="1645" spans="2:12" x14ac:dyDescent="0.2">
      <c r="B1645" s="3"/>
      <c r="C1645" s="3" t="s">
        <v>40</v>
      </c>
      <c r="D1645" s="2">
        <v>3667</v>
      </c>
      <c r="E1645" s="2">
        <v>209</v>
      </c>
      <c r="F1645" s="2">
        <f t="shared" si="78"/>
        <v>16</v>
      </c>
      <c r="G1645" s="2">
        <f t="shared" si="79"/>
        <v>3</v>
      </c>
      <c r="L1645" s="2"/>
    </row>
    <row r="1646" spans="2:12" x14ac:dyDescent="0.2">
      <c r="B1646" s="3"/>
      <c r="C1646" s="3" t="s">
        <v>41</v>
      </c>
      <c r="D1646" s="2">
        <v>3903</v>
      </c>
      <c r="E1646" s="2">
        <v>296</v>
      </c>
      <c r="F1646" s="2">
        <f t="shared" si="78"/>
        <v>18</v>
      </c>
      <c r="G1646" s="2">
        <f t="shared" si="79"/>
        <v>0</v>
      </c>
      <c r="L1646" s="2"/>
    </row>
    <row r="1647" spans="2:12" x14ac:dyDescent="0.2">
      <c r="B1647" s="3" t="s">
        <v>20</v>
      </c>
      <c r="C1647" s="3" t="s">
        <v>22</v>
      </c>
      <c r="D1647" s="2">
        <v>45952</v>
      </c>
      <c r="E1647" s="2">
        <v>2116</v>
      </c>
      <c r="F1647" s="2">
        <f t="shared" ref="F1647:F1676" si="81">SUM(D1647-D1617)</f>
        <v>998</v>
      </c>
      <c r="G1647" s="2">
        <f t="shared" si="79"/>
        <v>12</v>
      </c>
      <c r="H1647" s="2">
        <f t="shared" si="80"/>
        <v>52294</v>
      </c>
      <c r="I1647" s="2">
        <v>1696396</v>
      </c>
      <c r="L1647" s="2"/>
    </row>
    <row r="1648" spans="2:12" x14ac:dyDescent="0.2">
      <c r="B1648" s="3"/>
      <c r="C1648" s="3" t="s">
        <v>26</v>
      </c>
      <c r="D1648" s="2">
        <v>6799</v>
      </c>
      <c r="E1648" s="2">
        <v>275</v>
      </c>
      <c r="F1648" s="2">
        <f t="shared" si="81"/>
        <v>96</v>
      </c>
      <c r="G1648" s="2">
        <f t="shared" si="79"/>
        <v>0</v>
      </c>
      <c r="L1648" s="2"/>
    </row>
    <row r="1649" spans="1:12" x14ac:dyDescent="0.2">
      <c r="B1649" s="3"/>
      <c r="C1649" s="3" t="s">
        <v>27</v>
      </c>
      <c r="D1649" s="2">
        <v>6900</v>
      </c>
      <c r="E1649" s="2">
        <v>309</v>
      </c>
      <c r="F1649" s="2">
        <f t="shared" si="81"/>
        <v>329</v>
      </c>
      <c r="G1649" s="2">
        <f t="shared" si="79"/>
        <v>5</v>
      </c>
      <c r="L1649" s="2"/>
    </row>
    <row r="1650" spans="1:12" x14ac:dyDescent="0.2">
      <c r="C1650" s="3" t="s">
        <v>42</v>
      </c>
      <c r="D1650" s="2">
        <v>2647</v>
      </c>
      <c r="E1650" s="2">
        <v>140</v>
      </c>
      <c r="F1650" s="2">
        <f t="shared" si="81"/>
        <v>24</v>
      </c>
      <c r="G1650" s="2">
        <f t="shared" si="79"/>
        <v>1</v>
      </c>
      <c r="L1650" s="2"/>
    </row>
    <row r="1651" spans="1:12" x14ac:dyDescent="0.2">
      <c r="C1651" s="3" t="s">
        <v>43</v>
      </c>
      <c r="D1651" s="2">
        <v>5601</v>
      </c>
      <c r="E1651" s="2">
        <v>131</v>
      </c>
      <c r="F1651" s="2">
        <f t="shared" si="81"/>
        <v>162</v>
      </c>
      <c r="G1651" s="2">
        <f t="shared" si="79"/>
        <v>0</v>
      </c>
      <c r="L1651" s="2"/>
    </row>
    <row r="1652" spans="1:12" x14ac:dyDescent="0.2">
      <c r="A1652" s="1">
        <v>43977</v>
      </c>
      <c r="B1652" s="3" t="s">
        <v>5</v>
      </c>
      <c r="C1652" s="3" t="s">
        <v>6</v>
      </c>
      <c r="D1652" s="2">
        <v>60960</v>
      </c>
      <c r="E1652" s="2">
        <v>3905</v>
      </c>
      <c r="F1652" s="2">
        <f t="shared" si="81"/>
        <v>132</v>
      </c>
      <c r="G1652" s="2">
        <f t="shared" si="79"/>
        <v>5</v>
      </c>
      <c r="H1652" s="2">
        <f t="shared" si="80"/>
        <v>34679</v>
      </c>
      <c r="I1652" s="2">
        <v>1774128</v>
      </c>
      <c r="L1652" s="2"/>
    </row>
    <row r="1653" spans="1:12" x14ac:dyDescent="0.2">
      <c r="B1653" s="3"/>
      <c r="C1653" s="3" t="s">
        <v>7</v>
      </c>
      <c r="D1653" s="2">
        <v>54560</v>
      </c>
      <c r="E1653" s="2">
        <v>4384</v>
      </c>
      <c r="F1653" s="2">
        <f t="shared" si="81"/>
        <v>200</v>
      </c>
      <c r="G1653" s="2">
        <f t="shared" si="79"/>
        <v>9</v>
      </c>
      <c r="L1653" s="2"/>
    </row>
    <row r="1654" spans="1:12" x14ac:dyDescent="0.2">
      <c r="B1654" s="3"/>
      <c r="C1654" s="3" t="s">
        <v>8</v>
      </c>
      <c r="D1654" s="2">
        <v>39974</v>
      </c>
      <c r="E1654" s="2">
        <v>2601</v>
      </c>
      <c r="F1654" s="2">
        <f t="shared" si="81"/>
        <v>67</v>
      </c>
      <c r="G1654" s="2">
        <f t="shared" si="79"/>
        <v>4</v>
      </c>
      <c r="L1654" s="2"/>
    </row>
    <row r="1655" spans="1:12" x14ac:dyDescent="0.2">
      <c r="B1655" s="3"/>
      <c r="C1655" s="3" t="s">
        <v>35</v>
      </c>
      <c r="D1655" s="2">
        <v>44364</v>
      </c>
      <c r="E1655" s="2">
        <v>2938</v>
      </c>
      <c r="F1655" s="2">
        <f t="shared" si="81"/>
        <v>117</v>
      </c>
      <c r="G1655" s="2">
        <f t="shared" si="79"/>
        <v>6</v>
      </c>
      <c r="L1655" s="2"/>
    </row>
    <row r="1656" spans="1:12" x14ac:dyDescent="0.2">
      <c r="B1656" s="3"/>
      <c r="C1656" s="3" t="s">
        <v>14</v>
      </c>
      <c r="D1656" s="2">
        <v>39199</v>
      </c>
      <c r="E1656" s="2">
        <v>1900</v>
      </c>
      <c r="F1656" s="2">
        <f t="shared" si="81"/>
        <v>109</v>
      </c>
      <c r="G1656" s="2">
        <f t="shared" si="79"/>
        <v>12</v>
      </c>
      <c r="L1656" s="2"/>
    </row>
    <row r="1657" spans="1:12" x14ac:dyDescent="0.2">
      <c r="B1657" s="3" t="s">
        <v>9</v>
      </c>
      <c r="C1657" s="3" t="s">
        <v>10</v>
      </c>
      <c r="D1657" s="2">
        <v>17963</v>
      </c>
      <c r="E1657" s="2">
        <v>1528</v>
      </c>
      <c r="F1657" s="2">
        <f t="shared" si="81"/>
        <v>62</v>
      </c>
      <c r="G1657" s="2">
        <f t="shared" si="79"/>
        <v>3</v>
      </c>
      <c r="H1657" s="2">
        <f t="shared" si="80"/>
        <v>12095</v>
      </c>
      <c r="I1657" s="2">
        <v>635892</v>
      </c>
      <c r="L1657" s="2"/>
    </row>
    <row r="1658" spans="1:12" x14ac:dyDescent="0.2">
      <c r="B1658" s="3"/>
      <c r="C1658" s="3" t="s">
        <v>11</v>
      </c>
      <c r="D1658" s="2">
        <v>18096</v>
      </c>
      <c r="E1658" s="2">
        <v>1143</v>
      </c>
      <c r="F1658" s="2">
        <f t="shared" si="81"/>
        <v>45</v>
      </c>
      <c r="L1658" s="2"/>
    </row>
    <row r="1659" spans="1:12" x14ac:dyDescent="0.2">
      <c r="B1659" s="3"/>
      <c r="C1659" s="3" t="s">
        <v>12</v>
      </c>
      <c r="D1659" s="2">
        <v>17255</v>
      </c>
      <c r="E1659" s="2">
        <v>1605</v>
      </c>
      <c r="F1659" s="2">
        <f t="shared" si="81"/>
        <v>53</v>
      </c>
      <c r="G1659" s="2">
        <f t="shared" si="79"/>
        <v>10</v>
      </c>
      <c r="L1659" s="2"/>
    </row>
    <row r="1660" spans="1:12" x14ac:dyDescent="0.2">
      <c r="B1660" s="3"/>
      <c r="C1660" s="3" t="s">
        <v>36</v>
      </c>
      <c r="D1660" s="2">
        <v>15293</v>
      </c>
      <c r="E1660" s="2">
        <v>1030</v>
      </c>
      <c r="F1660" s="2">
        <f t="shared" si="81"/>
        <v>75</v>
      </c>
    </row>
    <row r="1661" spans="1:12" x14ac:dyDescent="0.2">
      <c r="B1661" s="3"/>
      <c r="C1661" s="3" t="s">
        <v>37</v>
      </c>
      <c r="D1661" s="2">
        <v>15826</v>
      </c>
      <c r="E1661" s="2">
        <v>892</v>
      </c>
      <c r="F1661" s="2">
        <f t="shared" si="81"/>
        <v>52</v>
      </c>
      <c r="G1661" s="2">
        <f t="shared" si="79"/>
        <v>1</v>
      </c>
    </row>
    <row r="1662" spans="1:12" x14ac:dyDescent="0.2">
      <c r="B1662" s="3" t="s">
        <v>13</v>
      </c>
      <c r="C1662" s="3" t="s">
        <v>14</v>
      </c>
      <c r="D1662" s="2">
        <v>17533</v>
      </c>
      <c r="E1662" s="2">
        <v>844</v>
      </c>
      <c r="F1662" s="2">
        <f t="shared" si="81"/>
        <v>53</v>
      </c>
      <c r="G1662" s="2">
        <f t="shared" si="79"/>
        <v>6</v>
      </c>
      <c r="H1662" s="2">
        <f t="shared" si="80"/>
        <v>4920</v>
      </c>
      <c r="I1662" s="2">
        <v>545481</v>
      </c>
    </row>
    <row r="1663" spans="1:12" x14ac:dyDescent="0.2">
      <c r="B1663" s="3"/>
      <c r="C1663" s="3" t="s">
        <v>15</v>
      </c>
      <c r="D1663" s="2">
        <v>20601</v>
      </c>
      <c r="E1663" s="2">
        <v>1535</v>
      </c>
      <c r="F1663" s="2">
        <f t="shared" si="81"/>
        <v>62</v>
      </c>
      <c r="G1663" s="2">
        <f t="shared" si="79"/>
        <v>17</v>
      </c>
    </row>
    <row r="1664" spans="1:12" x14ac:dyDescent="0.2">
      <c r="B1664" s="3"/>
      <c r="C1664" s="3" t="s">
        <v>12</v>
      </c>
      <c r="D1664" s="2">
        <v>13670</v>
      </c>
      <c r="E1664" s="2">
        <v>870</v>
      </c>
      <c r="F1664" s="2">
        <f t="shared" si="81"/>
        <v>95</v>
      </c>
      <c r="G1664" s="2">
        <f t="shared" si="79"/>
        <v>11</v>
      </c>
    </row>
    <row r="1665" spans="2:10" x14ac:dyDescent="0.2">
      <c r="B1665" s="3"/>
      <c r="C1665" s="3" t="s">
        <v>33</v>
      </c>
      <c r="D1665" s="2">
        <v>7863</v>
      </c>
      <c r="E1665" s="2">
        <v>791</v>
      </c>
      <c r="F1665" s="2">
        <f t="shared" si="81"/>
        <v>19</v>
      </c>
      <c r="G1665" s="2">
        <f t="shared" si="79"/>
        <v>9</v>
      </c>
    </row>
    <row r="1666" spans="2:10" x14ac:dyDescent="0.2">
      <c r="B1666" s="3"/>
      <c r="C1666" s="3" t="s">
        <v>34</v>
      </c>
      <c r="D1666" s="2">
        <v>10557</v>
      </c>
      <c r="E1666" s="2">
        <v>700</v>
      </c>
      <c r="F1666" s="2">
        <f t="shared" si="81"/>
        <v>52</v>
      </c>
      <c r="G1666" s="2">
        <f t="shared" si="79"/>
        <v>21</v>
      </c>
    </row>
    <row r="1667" spans="2:10" x14ac:dyDescent="0.2">
      <c r="B1667" s="3" t="s">
        <v>23</v>
      </c>
      <c r="C1667" s="3" t="s">
        <v>24</v>
      </c>
      <c r="D1667" s="2">
        <v>19926</v>
      </c>
      <c r="E1667" s="2">
        <v>2368</v>
      </c>
      <c r="F1667" s="2">
        <f t="shared" si="81"/>
        <v>110</v>
      </c>
      <c r="G1667" s="2">
        <f t="shared" si="79"/>
        <v>4</v>
      </c>
      <c r="H1667" s="2">
        <f t="shared" si="80"/>
        <v>11419</v>
      </c>
      <c r="I1667" s="2">
        <v>484279</v>
      </c>
    </row>
    <row r="1668" spans="2:10" x14ac:dyDescent="0.2">
      <c r="B1668" s="3"/>
      <c r="C1668" s="3" t="s">
        <v>25</v>
      </c>
      <c r="D1668" s="2">
        <v>8240</v>
      </c>
      <c r="E1668" s="2">
        <v>958</v>
      </c>
      <c r="F1668" s="2">
        <f t="shared" si="81"/>
        <v>14</v>
      </c>
      <c r="G1668" s="2">
        <f t="shared" si="79"/>
        <v>3</v>
      </c>
    </row>
    <row r="1669" spans="2:10" x14ac:dyDescent="0.2">
      <c r="B1669" s="3"/>
      <c r="C1669" s="3" t="s">
        <v>28</v>
      </c>
      <c r="D1669" s="2">
        <v>6528</v>
      </c>
      <c r="E1669" s="2">
        <v>779</v>
      </c>
      <c r="F1669" s="2">
        <f t="shared" si="81"/>
        <v>12</v>
      </c>
      <c r="G1669" s="2">
        <f t="shared" si="79"/>
        <v>1</v>
      </c>
    </row>
    <row r="1670" spans="2:10" x14ac:dyDescent="0.2">
      <c r="B1670" s="3"/>
      <c r="C1670" s="3" t="s">
        <v>38</v>
      </c>
      <c r="D1670" s="2">
        <v>1964</v>
      </c>
      <c r="E1670" s="2">
        <v>245</v>
      </c>
      <c r="F1670" s="2">
        <f t="shared" si="81"/>
        <v>3</v>
      </c>
      <c r="G1670" s="2">
        <f t="shared" si="79"/>
        <v>3</v>
      </c>
    </row>
    <row r="1671" spans="2:10" x14ac:dyDescent="0.2">
      <c r="B1671" s="3"/>
      <c r="C1671" s="3" t="s">
        <v>39</v>
      </c>
      <c r="D1671" s="2">
        <v>1301</v>
      </c>
      <c r="E1671" s="2">
        <v>96</v>
      </c>
      <c r="F1671" s="2">
        <f t="shared" si="81"/>
        <v>3</v>
      </c>
      <c r="G1671" s="2">
        <f t="shared" si="79"/>
        <v>0</v>
      </c>
    </row>
    <row r="1672" spans="2:10" x14ac:dyDescent="0.2">
      <c r="B1672" s="3" t="s">
        <v>16</v>
      </c>
      <c r="C1672" s="3" t="s">
        <v>17</v>
      </c>
      <c r="D1672" s="2">
        <v>17597</v>
      </c>
      <c r="E1672" s="2">
        <v>1243</v>
      </c>
      <c r="F1672" s="2">
        <f t="shared" si="81"/>
        <v>102</v>
      </c>
      <c r="G1672" s="2">
        <f t="shared" si="79"/>
        <v>8</v>
      </c>
      <c r="H1672" s="2">
        <f t="shared" si="80"/>
        <v>5358</v>
      </c>
      <c r="I1672" s="2">
        <f>SUM(68637+339835)</f>
        <v>408472</v>
      </c>
    </row>
    <row r="1673" spans="2:10" x14ac:dyDescent="0.2">
      <c r="B1673" s="3"/>
      <c r="C1673" s="3" t="s">
        <v>18</v>
      </c>
      <c r="D1673" s="2">
        <v>6598</v>
      </c>
      <c r="E1673" s="2">
        <v>635</v>
      </c>
      <c r="F1673" s="2">
        <f t="shared" si="81"/>
        <v>22</v>
      </c>
      <c r="G1673" s="2">
        <f t="shared" si="79"/>
        <v>2</v>
      </c>
    </row>
    <row r="1674" spans="2:10" x14ac:dyDescent="0.2">
      <c r="B1674" s="3"/>
      <c r="C1674" s="3" t="s">
        <v>19</v>
      </c>
      <c r="D1674" s="2">
        <v>6243</v>
      </c>
      <c r="E1674" s="2">
        <v>524</v>
      </c>
      <c r="F1674" s="2">
        <f t="shared" si="81"/>
        <v>33</v>
      </c>
      <c r="G1674" s="2">
        <f t="shared" si="79"/>
        <v>0</v>
      </c>
    </row>
    <row r="1675" spans="2:10" x14ac:dyDescent="0.2">
      <c r="B1675" s="3"/>
      <c r="C1675" s="3" t="s">
        <v>40</v>
      </c>
      <c r="D1675" s="2">
        <v>3676</v>
      </c>
      <c r="E1675" s="2">
        <v>210</v>
      </c>
      <c r="F1675" s="2">
        <f t="shared" si="81"/>
        <v>9</v>
      </c>
      <c r="G1675" s="2">
        <f t="shared" si="79"/>
        <v>1</v>
      </c>
    </row>
    <row r="1676" spans="2:10" x14ac:dyDescent="0.2">
      <c r="B1676" s="3"/>
      <c r="C1676" s="3" t="s">
        <v>41</v>
      </c>
      <c r="D1676" s="2">
        <v>3919</v>
      </c>
      <c r="E1676" s="2">
        <v>296</v>
      </c>
      <c r="F1676" s="2">
        <f t="shared" si="81"/>
        <v>16</v>
      </c>
      <c r="G1676" s="2">
        <f t="shared" si="79"/>
        <v>0</v>
      </c>
    </row>
    <row r="1677" spans="2:10" x14ac:dyDescent="0.2">
      <c r="B1677" s="3" t="s">
        <v>20</v>
      </c>
      <c r="C1677" s="3" t="s">
        <v>22</v>
      </c>
      <c r="D1677" s="2">
        <v>47760</v>
      </c>
      <c r="E1677" s="2">
        <v>2143</v>
      </c>
      <c r="F1677" s="2">
        <f>SUM(D1677-D1647)</f>
        <v>1808</v>
      </c>
      <c r="G1677" s="2">
        <f t="shared" si="79"/>
        <v>27</v>
      </c>
      <c r="H1677" s="2">
        <f>SUM(I1677-I1647)</f>
        <v>40498</v>
      </c>
      <c r="I1677" s="2">
        <v>1736894</v>
      </c>
      <c r="J1677" s="2"/>
    </row>
    <row r="1678" spans="2:10" x14ac:dyDescent="0.2">
      <c r="B1678" s="3"/>
      <c r="C1678" s="3" t="s">
        <v>26</v>
      </c>
      <c r="D1678" s="2">
        <v>6884</v>
      </c>
      <c r="E1678" s="2">
        <v>290</v>
      </c>
      <c r="F1678" s="2">
        <f t="shared" ref="F1678:F1741" si="82">SUM(D1678-D1648)</f>
        <v>85</v>
      </c>
      <c r="G1678" s="2">
        <f t="shared" si="79"/>
        <v>15</v>
      </c>
    </row>
    <row r="1679" spans="2:10" x14ac:dyDescent="0.2">
      <c r="B1679" s="3"/>
      <c r="C1679" s="3" t="s">
        <v>27</v>
      </c>
      <c r="D1679" s="2">
        <v>6917</v>
      </c>
      <c r="E1679" s="2">
        <v>314</v>
      </c>
      <c r="F1679" s="2">
        <f t="shared" si="82"/>
        <v>17</v>
      </c>
      <c r="G1679" s="2">
        <f t="shared" si="79"/>
        <v>5</v>
      </c>
    </row>
    <row r="1680" spans="2:10" x14ac:dyDescent="0.2">
      <c r="C1680" s="3" t="s">
        <v>42</v>
      </c>
      <c r="D1680" s="2">
        <v>2659</v>
      </c>
      <c r="E1680" s="2">
        <v>140</v>
      </c>
      <c r="F1680" s="2">
        <f t="shared" si="82"/>
        <v>12</v>
      </c>
      <c r="G1680" s="2">
        <f t="shared" si="79"/>
        <v>0</v>
      </c>
    </row>
    <row r="1681" spans="1:10" x14ac:dyDescent="0.2">
      <c r="C1681" s="3" t="s">
        <v>43</v>
      </c>
      <c r="D1681" s="2">
        <v>5651</v>
      </c>
      <c r="E1681" s="2">
        <v>131</v>
      </c>
      <c r="F1681" s="2">
        <f t="shared" si="82"/>
        <v>50</v>
      </c>
      <c r="G1681" s="2">
        <f t="shared" si="79"/>
        <v>0</v>
      </c>
    </row>
    <row r="1682" spans="1:10" x14ac:dyDescent="0.2">
      <c r="A1682" s="1">
        <v>43978</v>
      </c>
      <c r="B1682" s="3" t="s">
        <v>5</v>
      </c>
      <c r="C1682" s="3" t="s">
        <v>6</v>
      </c>
      <c r="D1682" s="2">
        <v>61125</v>
      </c>
      <c r="E1682" s="2">
        <v>3909</v>
      </c>
      <c r="F1682" s="2">
        <f t="shared" si="82"/>
        <v>165</v>
      </c>
      <c r="G1682" s="2">
        <f t="shared" si="79"/>
        <v>4</v>
      </c>
      <c r="H1682" s="2">
        <f>SUM(I1682-I1652)</f>
        <v>37416</v>
      </c>
      <c r="I1682" s="2">
        <v>1811544</v>
      </c>
      <c r="J1682" s="2"/>
    </row>
    <row r="1683" spans="1:10" x14ac:dyDescent="0.2">
      <c r="B1683" s="3"/>
      <c r="C1683" s="3" t="s">
        <v>7</v>
      </c>
      <c r="D1683" s="2">
        <v>54779</v>
      </c>
      <c r="E1683" s="2">
        <v>4392</v>
      </c>
      <c r="F1683" s="2">
        <f t="shared" si="82"/>
        <v>219</v>
      </c>
      <c r="G1683" s="2">
        <f t="shared" si="79"/>
        <v>8</v>
      </c>
      <c r="H1683" s="2">
        <f t="shared" ref="H1683:H1746" si="83">SUM(I1683-I1653)</f>
        <v>0</v>
      </c>
      <c r="J1683" s="2"/>
    </row>
    <row r="1684" spans="1:10" x14ac:dyDescent="0.2">
      <c r="B1684" s="3"/>
      <c r="C1684" s="3" t="s">
        <v>8</v>
      </c>
      <c r="D1684" s="2">
        <v>40034</v>
      </c>
      <c r="E1684" s="2">
        <v>2604</v>
      </c>
      <c r="F1684" s="2">
        <f t="shared" si="82"/>
        <v>60</v>
      </c>
      <c r="G1684" s="2">
        <f t="shared" si="79"/>
        <v>3</v>
      </c>
      <c r="H1684" s="2">
        <f t="shared" si="83"/>
        <v>0</v>
      </c>
      <c r="J1684" s="2"/>
    </row>
    <row r="1685" spans="1:10" x14ac:dyDescent="0.2">
      <c r="B1685" s="3"/>
      <c r="C1685" s="3" t="s">
        <v>35</v>
      </c>
      <c r="D1685" s="2">
        <v>44503</v>
      </c>
      <c r="E1685" s="2">
        <v>2943</v>
      </c>
      <c r="F1685" s="2">
        <f t="shared" si="82"/>
        <v>139</v>
      </c>
      <c r="G1685" s="2">
        <f t="shared" si="79"/>
        <v>5</v>
      </c>
      <c r="H1685" s="2">
        <f t="shared" si="83"/>
        <v>0</v>
      </c>
      <c r="J1685" s="2"/>
    </row>
    <row r="1686" spans="1:10" x14ac:dyDescent="0.2">
      <c r="B1686" s="3"/>
      <c r="C1686" s="3" t="s">
        <v>14</v>
      </c>
      <c r="D1686" s="2">
        <v>39258</v>
      </c>
      <c r="E1686" s="2">
        <v>1910</v>
      </c>
      <c r="F1686" s="2">
        <f t="shared" si="82"/>
        <v>59</v>
      </c>
      <c r="G1686" s="2">
        <f t="shared" si="79"/>
        <v>10</v>
      </c>
      <c r="H1686" s="2">
        <f t="shared" si="83"/>
        <v>0</v>
      </c>
      <c r="J1686" s="2"/>
    </row>
    <row r="1687" spans="1:10" x14ac:dyDescent="0.2">
      <c r="B1687" s="3" t="s">
        <v>9</v>
      </c>
      <c r="C1687" s="3" t="s">
        <v>10</v>
      </c>
      <c r="D1687" s="2">
        <v>18023</v>
      </c>
      <c r="E1687" s="2">
        <v>1547</v>
      </c>
      <c r="F1687" s="2">
        <f t="shared" si="82"/>
        <v>60</v>
      </c>
      <c r="G1687" s="2">
        <f t="shared" si="79"/>
        <v>19</v>
      </c>
      <c r="H1687" s="2">
        <f t="shared" si="83"/>
        <v>24433</v>
      </c>
      <c r="I1687" s="2">
        <v>660325</v>
      </c>
      <c r="J1687" s="2"/>
    </row>
    <row r="1688" spans="1:10" x14ac:dyDescent="0.2">
      <c r="B1688" s="3"/>
      <c r="C1688" s="3" t="s">
        <v>11</v>
      </c>
      <c r="D1688" s="2">
        <v>18132</v>
      </c>
      <c r="E1688" s="2">
        <v>1158</v>
      </c>
      <c r="F1688" s="2">
        <f t="shared" si="82"/>
        <v>36</v>
      </c>
      <c r="G1688" s="2">
        <f t="shared" si="79"/>
        <v>15</v>
      </c>
      <c r="H1688" s="2">
        <f t="shared" si="83"/>
        <v>0</v>
      </c>
    </row>
    <row r="1689" spans="1:10" x14ac:dyDescent="0.2">
      <c r="B1689" s="3"/>
      <c r="C1689" s="3" t="s">
        <v>12</v>
      </c>
      <c r="D1689" s="2">
        <v>17338</v>
      </c>
      <c r="E1689" s="2">
        <v>1624</v>
      </c>
      <c r="F1689" s="2">
        <f t="shared" si="82"/>
        <v>83</v>
      </c>
      <c r="G1689" s="2">
        <f t="shared" si="79"/>
        <v>19</v>
      </c>
      <c r="H1689" s="2">
        <f t="shared" si="83"/>
        <v>0</v>
      </c>
    </row>
    <row r="1690" spans="1:10" x14ac:dyDescent="0.2">
      <c r="B1690" s="3"/>
      <c r="C1690" s="3" t="s">
        <v>36</v>
      </c>
      <c r="D1690" s="2">
        <v>15324</v>
      </c>
      <c r="E1690" s="2">
        <v>1042</v>
      </c>
      <c r="F1690" s="2">
        <f t="shared" si="82"/>
        <v>31</v>
      </c>
      <c r="G1690" s="2">
        <f t="shared" si="79"/>
        <v>12</v>
      </c>
      <c r="H1690" s="2">
        <f t="shared" si="83"/>
        <v>0</v>
      </c>
    </row>
    <row r="1691" spans="1:10" x14ac:dyDescent="0.2">
      <c r="B1691" s="3"/>
      <c r="C1691" s="3" t="s">
        <v>37</v>
      </c>
      <c r="D1691" s="2">
        <v>15873</v>
      </c>
      <c r="E1691" s="2">
        <v>899</v>
      </c>
      <c r="F1691" s="2">
        <f t="shared" si="82"/>
        <v>47</v>
      </c>
      <c r="G1691" s="2">
        <f t="shared" si="79"/>
        <v>7</v>
      </c>
      <c r="H1691" s="2">
        <f t="shared" si="83"/>
        <v>0</v>
      </c>
    </row>
    <row r="1692" spans="1:10" x14ac:dyDescent="0.2">
      <c r="B1692" s="3" t="s">
        <v>13</v>
      </c>
      <c r="C1692" s="3" t="s">
        <v>14</v>
      </c>
      <c r="D1692" s="2">
        <v>17596</v>
      </c>
      <c r="E1692" s="2">
        <v>850</v>
      </c>
      <c r="F1692" s="2">
        <f t="shared" si="82"/>
        <v>63</v>
      </c>
      <c r="G1692" s="2">
        <f t="shared" si="79"/>
        <v>6</v>
      </c>
      <c r="H1692" s="2">
        <f t="shared" si="83"/>
        <v>6663</v>
      </c>
      <c r="I1692" s="2">
        <v>552144</v>
      </c>
    </row>
    <row r="1693" spans="1:10" x14ac:dyDescent="0.2">
      <c r="B1693" s="3"/>
      <c r="C1693" s="3" t="s">
        <v>15</v>
      </c>
      <c r="D1693" s="2">
        <v>20706</v>
      </c>
      <c r="E1693" s="2">
        <v>1549</v>
      </c>
      <c r="F1693" s="2">
        <f t="shared" si="82"/>
        <v>105</v>
      </c>
      <c r="G1693" s="2">
        <f t="shared" si="79"/>
        <v>14</v>
      </c>
      <c r="H1693" s="2">
        <f t="shared" si="83"/>
        <v>0</v>
      </c>
    </row>
    <row r="1694" spans="1:10" x14ac:dyDescent="0.2">
      <c r="B1694" s="3"/>
      <c r="C1694" s="3" t="s">
        <v>12</v>
      </c>
      <c r="D1694" s="2">
        <v>13778</v>
      </c>
      <c r="E1694" s="2">
        <v>878</v>
      </c>
      <c r="F1694" s="2">
        <f t="shared" si="82"/>
        <v>108</v>
      </c>
      <c r="G1694" s="2">
        <f t="shared" si="79"/>
        <v>8</v>
      </c>
      <c r="H1694" s="2">
        <f t="shared" si="83"/>
        <v>0</v>
      </c>
    </row>
    <row r="1695" spans="1:10" x14ac:dyDescent="0.2">
      <c r="B1695" s="3"/>
      <c r="C1695" s="3" t="s">
        <v>33</v>
      </c>
      <c r="D1695" s="2">
        <v>7880</v>
      </c>
      <c r="E1695" s="2">
        <v>794</v>
      </c>
      <c r="F1695" s="2">
        <f t="shared" si="82"/>
        <v>17</v>
      </c>
      <c r="G1695" s="2">
        <f t="shared" si="79"/>
        <v>3</v>
      </c>
      <c r="H1695" s="2">
        <f t="shared" si="83"/>
        <v>0</v>
      </c>
    </row>
    <row r="1696" spans="1:10" x14ac:dyDescent="0.2">
      <c r="B1696" s="3"/>
      <c r="C1696" s="3" t="s">
        <v>34</v>
      </c>
      <c r="D1696" s="2">
        <v>10647</v>
      </c>
      <c r="E1696" s="2">
        <v>716</v>
      </c>
      <c r="F1696" s="2">
        <f t="shared" si="82"/>
        <v>90</v>
      </c>
      <c r="G1696" s="2">
        <f t="shared" si="79"/>
        <v>16</v>
      </c>
      <c r="H1696" s="2">
        <f t="shared" si="83"/>
        <v>0</v>
      </c>
    </row>
    <row r="1697" spans="1:9" x14ac:dyDescent="0.2">
      <c r="B1697" s="3" t="s">
        <v>23</v>
      </c>
      <c r="C1697" s="3" t="s">
        <v>24</v>
      </c>
      <c r="D1697" s="2">
        <v>19999</v>
      </c>
      <c r="E1697" s="2">
        <v>2406</v>
      </c>
      <c r="F1697" s="2">
        <f t="shared" si="82"/>
        <v>73</v>
      </c>
      <c r="G1697" s="2">
        <f t="shared" ref="G1697:G1760" si="84">SUM(E1697-E1667)</f>
        <v>38</v>
      </c>
      <c r="H1697" s="2">
        <f t="shared" si="83"/>
        <v>9973</v>
      </c>
      <c r="I1697" s="2">
        <f>SUM(55608+438644)</f>
        <v>494252</v>
      </c>
    </row>
    <row r="1698" spans="1:9" x14ac:dyDescent="0.2">
      <c r="B1698" s="3"/>
      <c r="C1698" s="3" t="s">
        <v>25</v>
      </c>
      <c r="D1698" s="2">
        <v>8260</v>
      </c>
      <c r="E1698" s="2">
        <v>961</v>
      </c>
      <c r="F1698" s="2">
        <f t="shared" si="82"/>
        <v>20</v>
      </c>
      <c r="G1698" s="2">
        <f t="shared" si="84"/>
        <v>3</v>
      </c>
      <c r="H1698" s="2">
        <f t="shared" si="83"/>
        <v>0</v>
      </c>
    </row>
    <row r="1699" spans="1:9" x14ac:dyDescent="0.2">
      <c r="B1699" s="3"/>
      <c r="C1699" s="3" t="s">
        <v>28</v>
      </c>
      <c r="D1699" s="2">
        <v>6558</v>
      </c>
      <c r="E1699" s="2">
        <v>784</v>
      </c>
      <c r="F1699" s="2">
        <f t="shared" si="82"/>
        <v>30</v>
      </c>
      <c r="G1699" s="2">
        <f t="shared" si="84"/>
        <v>5</v>
      </c>
      <c r="H1699" s="2">
        <f t="shared" si="83"/>
        <v>0</v>
      </c>
    </row>
    <row r="1700" spans="1:9" x14ac:dyDescent="0.2">
      <c r="B1700" s="3"/>
      <c r="C1700" s="3" t="s">
        <v>38</v>
      </c>
      <c r="D1700" s="2">
        <v>1971</v>
      </c>
      <c r="E1700" s="2">
        <v>247</v>
      </c>
      <c r="F1700" s="2">
        <f t="shared" si="82"/>
        <v>7</v>
      </c>
      <c r="G1700" s="2">
        <f t="shared" si="84"/>
        <v>2</v>
      </c>
      <c r="H1700" s="2">
        <f t="shared" si="83"/>
        <v>0</v>
      </c>
    </row>
    <row r="1701" spans="1:9" x14ac:dyDescent="0.2">
      <c r="B1701" s="3"/>
      <c r="C1701" s="3" t="s">
        <v>39</v>
      </c>
      <c r="D1701" s="2">
        <v>1305</v>
      </c>
      <c r="E1701" s="2">
        <v>97</v>
      </c>
      <c r="F1701" s="2">
        <f t="shared" si="82"/>
        <v>4</v>
      </c>
      <c r="G1701" s="2">
        <f t="shared" si="84"/>
        <v>1</v>
      </c>
      <c r="H1701" s="2">
        <f t="shared" si="83"/>
        <v>0</v>
      </c>
    </row>
    <row r="1702" spans="1:9" x14ac:dyDescent="0.2">
      <c r="B1702" s="3" t="s">
        <v>16</v>
      </c>
      <c r="C1702" s="3" t="s">
        <v>17</v>
      </c>
      <c r="D1702" s="2">
        <v>17839</v>
      </c>
      <c r="E1702" s="2">
        <v>1262</v>
      </c>
      <c r="F1702" s="2">
        <f t="shared" si="82"/>
        <v>242</v>
      </c>
      <c r="G1702" s="2">
        <f t="shared" si="84"/>
        <v>19</v>
      </c>
      <c r="H1702" s="2">
        <f t="shared" si="83"/>
        <v>10935</v>
      </c>
      <c r="I1702" s="2">
        <f>SUM(69417+349990)</f>
        <v>419407</v>
      </c>
    </row>
    <row r="1703" spans="1:9" x14ac:dyDescent="0.2">
      <c r="B1703" s="3"/>
      <c r="C1703" s="3" t="s">
        <v>18</v>
      </c>
      <c r="D1703" s="2">
        <v>6738</v>
      </c>
      <c r="E1703" s="2">
        <v>662</v>
      </c>
      <c r="F1703" s="2">
        <f t="shared" si="82"/>
        <v>140</v>
      </c>
      <c r="G1703" s="2">
        <f t="shared" si="84"/>
        <v>27</v>
      </c>
      <c r="H1703" s="2">
        <f t="shared" si="83"/>
        <v>0</v>
      </c>
    </row>
    <row r="1704" spans="1:9" x14ac:dyDescent="0.2">
      <c r="B1704" s="3"/>
      <c r="C1704" s="3" t="s">
        <v>19</v>
      </c>
      <c r="D1704" s="2">
        <v>6289</v>
      </c>
      <c r="E1704" s="2">
        <v>536</v>
      </c>
      <c r="F1704" s="2">
        <f t="shared" si="82"/>
        <v>46</v>
      </c>
      <c r="G1704" s="2">
        <f t="shared" si="84"/>
        <v>12</v>
      </c>
      <c r="H1704" s="2">
        <f t="shared" si="83"/>
        <v>0</v>
      </c>
    </row>
    <row r="1705" spans="1:9" x14ac:dyDescent="0.2">
      <c r="B1705" s="3"/>
      <c r="C1705" s="3" t="s">
        <v>40</v>
      </c>
      <c r="D1705" s="2">
        <v>3699</v>
      </c>
      <c r="E1705" s="2">
        <v>215</v>
      </c>
      <c r="F1705" s="2">
        <f t="shared" si="82"/>
        <v>23</v>
      </c>
      <c r="G1705" s="2">
        <f t="shared" si="84"/>
        <v>5</v>
      </c>
      <c r="H1705" s="2">
        <f t="shared" si="83"/>
        <v>0</v>
      </c>
    </row>
    <row r="1706" spans="1:9" x14ac:dyDescent="0.2">
      <c r="B1706" s="3"/>
      <c r="C1706" s="3" t="s">
        <v>41</v>
      </c>
      <c r="D1706" s="2">
        <v>3952</v>
      </c>
      <c r="E1706" s="2">
        <v>301</v>
      </c>
      <c r="F1706" s="2">
        <f t="shared" si="82"/>
        <v>33</v>
      </c>
      <c r="G1706" s="2">
        <f t="shared" si="84"/>
        <v>5</v>
      </c>
      <c r="H1706" s="2">
        <f t="shared" si="83"/>
        <v>0</v>
      </c>
    </row>
    <row r="1707" spans="1:9" x14ac:dyDescent="0.2">
      <c r="B1707" s="3" t="s">
        <v>20</v>
      </c>
      <c r="C1707" s="3" t="s">
        <v>22</v>
      </c>
      <c r="D1707" s="2">
        <v>48711</v>
      </c>
      <c r="E1707" s="2">
        <v>2195</v>
      </c>
      <c r="F1707" s="2">
        <f t="shared" si="82"/>
        <v>951</v>
      </c>
      <c r="G1707" s="2">
        <f t="shared" si="84"/>
        <v>52</v>
      </c>
      <c r="H1707" s="2">
        <f t="shared" si="83"/>
        <v>53665</v>
      </c>
      <c r="I1707" s="2">
        <v>1790559</v>
      </c>
    </row>
    <row r="1708" spans="1:9" x14ac:dyDescent="0.2">
      <c r="B1708" s="3"/>
      <c r="C1708" s="3" t="s">
        <v>26</v>
      </c>
      <c r="D1708" s="2">
        <v>6985</v>
      </c>
      <c r="E1708" s="2">
        <v>297</v>
      </c>
      <c r="F1708" s="2">
        <f t="shared" si="82"/>
        <v>101</v>
      </c>
      <c r="G1708" s="2">
        <f t="shared" si="84"/>
        <v>7</v>
      </c>
      <c r="H1708" s="2">
        <f t="shared" si="83"/>
        <v>0</v>
      </c>
    </row>
    <row r="1709" spans="1:9" x14ac:dyDescent="0.2">
      <c r="B1709" s="3"/>
      <c r="C1709" s="3" t="s">
        <v>27</v>
      </c>
      <c r="D1709" s="2">
        <v>7156</v>
      </c>
      <c r="E1709" s="2">
        <v>320</v>
      </c>
      <c r="F1709" s="2">
        <f t="shared" si="82"/>
        <v>239</v>
      </c>
      <c r="G1709" s="2">
        <f t="shared" si="84"/>
        <v>6</v>
      </c>
      <c r="H1709" s="2">
        <f t="shared" si="83"/>
        <v>0</v>
      </c>
    </row>
    <row r="1710" spans="1:9" x14ac:dyDescent="0.2">
      <c r="C1710" s="3" t="s">
        <v>42</v>
      </c>
      <c r="D1710" s="2">
        <v>2680</v>
      </c>
      <c r="E1710" s="2">
        <v>141</v>
      </c>
      <c r="F1710" s="2">
        <f t="shared" si="82"/>
        <v>21</v>
      </c>
      <c r="G1710" s="2">
        <f t="shared" si="84"/>
        <v>1</v>
      </c>
      <c r="H1710" s="2">
        <f t="shared" si="83"/>
        <v>0</v>
      </c>
    </row>
    <row r="1711" spans="1:9" x14ac:dyDescent="0.2">
      <c r="C1711" s="3" t="s">
        <v>43</v>
      </c>
      <c r="D1711" s="2">
        <v>5849</v>
      </c>
      <c r="E1711" s="2">
        <v>136</v>
      </c>
      <c r="F1711" s="2">
        <f t="shared" si="82"/>
        <v>198</v>
      </c>
      <c r="G1711" s="2">
        <f t="shared" si="84"/>
        <v>5</v>
      </c>
      <c r="H1711" s="2">
        <f t="shared" si="83"/>
        <v>0</v>
      </c>
    </row>
    <row r="1712" spans="1:9" x14ac:dyDescent="0.2">
      <c r="A1712" s="1">
        <v>43979</v>
      </c>
      <c r="B1712" s="3" t="s">
        <v>5</v>
      </c>
      <c r="C1712" s="3" t="s">
        <v>6</v>
      </c>
      <c r="D1712" s="2">
        <v>61400</v>
      </c>
      <c r="E1712" s="2">
        <v>3918</v>
      </c>
      <c r="F1712" s="2">
        <f t="shared" si="82"/>
        <v>275</v>
      </c>
      <c r="G1712" s="2">
        <f t="shared" si="84"/>
        <v>9</v>
      </c>
      <c r="H1712" s="2">
        <f t="shared" si="83"/>
        <v>65245</v>
      </c>
      <c r="I1712" s="2">
        <v>1876789</v>
      </c>
    </row>
    <row r="1713" spans="2:9" x14ac:dyDescent="0.2">
      <c r="B1713" s="3"/>
      <c r="C1713" s="3" t="s">
        <v>7</v>
      </c>
      <c r="D1713" s="2">
        <v>55147</v>
      </c>
      <c r="E1713" s="2">
        <v>4398</v>
      </c>
      <c r="F1713" s="2">
        <f t="shared" si="82"/>
        <v>368</v>
      </c>
      <c r="G1713" s="2">
        <f t="shared" si="84"/>
        <v>6</v>
      </c>
      <c r="H1713" s="2">
        <f t="shared" si="83"/>
        <v>0</v>
      </c>
    </row>
    <row r="1714" spans="2:9" x14ac:dyDescent="0.2">
      <c r="B1714" s="3"/>
      <c r="C1714" s="3" t="s">
        <v>8</v>
      </c>
      <c r="D1714" s="2">
        <v>40140</v>
      </c>
      <c r="E1714" s="2">
        <v>2608</v>
      </c>
      <c r="F1714" s="2">
        <f t="shared" si="82"/>
        <v>106</v>
      </c>
      <c r="G1714" s="2">
        <f t="shared" si="84"/>
        <v>4</v>
      </c>
      <c r="H1714" s="2">
        <f t="shared" si="83"/>
        <v>0</v>
      </c>
    </row>
    <row r="1715" spans="2:9" x14ac:dyDescent="0.2">
      <c r="B1715" s="3"/>
      <c r="C1715" s="3" t="s">
        <v>35</v>
      </c>
      <c r="D1715" s="2">
        <v>44753</v>
      </c>
      <c r="E1715" s="2">
        <v>2947</v>
      </c>
      <c r="F1715" s="2">
        <f t="shared" si="82"/>
        <v>250</v>
      </c>
      <c r="G1715" s="2">
        <f t="shared" si="84"/>
        <v>4</v>
      </c>
      <c r="H1715" s="2">
        <f t="shared" si="83"/>
        <v>0</v>
      </c>
    </row>
    <row r="1716" spans="2:9" x14ac:dyDescent="0.2">
      <c r="B1716" s="3"/>
      <c r="C1716" s="3" t="s">
        <v>14</v>
      </c>
      <c r="D1716" s="2">
        <v>39359</v>
      </c>
      <c r="E1716" s="2">
        <v>1920</v>
      </c>
      <c r="F1716" s="2">
        <f t="shared" si="82"/>
        <v>101</v>
      </c>
      <c r="G1716" s="2">
        <f t="shared" si="84"/>
        <v>10</v>
      </c>
      <c r="H1716" s="2">
        <f t="shared" si="83"/>
        <v>0</v>
      </c>
    </row>
    <row r="1717" spans="2:9" x14ac:dyDescent="0.2">
      <c r="B1717" s="3" t="s">
        <v>9</v>
      </c>
      <c r="C1717" s="3" t="s">
        <v>10</v>
      </c>
      <c r="D1717" s="2">
        <v>18158</v>
      </c>
      <c r="E1717" s="2">
        <v>1553</v>
      </c>
      <c r="F1717" s="2">
        <f t="shared" si="82"/>
        <v>135</v>
      </c>
      <c r="G1717" s="2">
        <f t="shared" si="84"/>
        <v>6</v>
      </c>
      <c r="H1717" s="2">
        <f t="shared" si="83"/>
        <v>25532</v>
      </c>
      <c r="I1717" s="2">
        <v>685857</v>
      </c>
    </row>
    <row r="1718" spans="2:9" x14ac:dyDescent="0.2">
      <c r="B1718" s="3"/>
      <c r="C1718" s="3" t="s">
        <v>11</v>
      </c>
      <c r="D1718" s="2">
        <v>18226</v>
      </c>
      <c r="E1718" s="2">
        <v>1161</v>
      </c>
      <c r="F1718" s="2">
        <f t="shared" si="82"/>
        <v>94</v>
      </c>
      <c r="G1718" s="2">
        <f t="shared" si="84"/>
        <v>3</v>
      </c>
      <c r="H1718" s="2">
        <f t="shared" si="83"/>
        <v>0</v>
      </c>
    </row>
    <row r="1719" spans="2:9" x14ac:dyDescent="0.2">
      <c r="B1719" s="3"/>
      <c r="C1719" s="3" t="s">
        <v>12</v>
      </c>
      <c r="D1719" s="2">
        <v>17450</v>
      </c>
      <c r="E1719" s="2">
        <v>1628</v>
      </c>
      <c r="F1719" s="2">
        <f t="shared" si="82"/>
        <v>112</v>
      </c>
      <c r="G1719" s="2">
        <f t="shared" si="84"/>
        <v>4</v>
      </c>
      <c r="H1719" s="2">
        <f t="shared" si="83"/>
        <v>0</v>
      </c>
    </row>
    <row r="1720" spans="2:9" x14ac:dyDescent="0.2">
      <c r="B1720" s="3"/>
      <c r="C1720" s="3" t="s">
        <v>36</v>
      </c>
      <c r="D1720" s="2">
        <v>15475</v>
      </c>
      <c r="E1720" s="2">
        <v>1047</v>
      </c>
      <c r="F1720" s="2">
        <f t="shared" si="82"/>
        <v>151</v>
      </c>
      <c r="G1720" s="2">
        <f t="shared" si="84"/>
        <v>5</v>
      </c>
      <c r="H1720" s="2">
        <f t="shared" si="83"/>
        <v>0</v>
      </c>
    </row>
    <row r="1721" spans="2:9" x14ac:dyDescent="0.2">
      <c r="B1721" s="3"/>
      <c r="C1721" s="3" t="s">
        <v>37</v>
      </c>
      <c r="D1721" s="2">
        <v>15959</v>
      </c>
      <c r="E1721" s="2">
        <v>903</v>
      </c>
      <c r="F1721" s="2">
        <f t="shared" si="82"/>
        <v>86</v>
      </c>
      <c r="G1721" s="2">
        <f t="shared" si="84"/>
        <v>4</v>
      </c>
      <c r="H1721" s="2">
        <f t="shared" si="83"/>
        <v>0</v>
      </c>
    </row>
    <row r="1722" spans="2:9" x14ac:dyDescent="0.2">
      <c r="B1722" s="3" t="s">
        <v>13</v>
      </c>
      <c r="C1722" s="3" t="s">
        <v>14</v>
      </c>
      <c r="D1722" s="2">
        <v>17698</v>
      </c>
      <c r="E1722" s="2">
        <v>859</v>
      </c>
      <c r="F1722" s="2">
        <f t="shared" si="82"/>
        <v>102</v>
      </c>
      <c r="G1722" s="2">
        <f t="shared" si="84"/>
        <v>9</v>
      </c>
      <c r="H1722" s="2">
        <f t="shared" si="83"/>
        <v>10179</v>
      </c>
      <c r="I1722" s="2">
        <v>562323</v>
      </c>
    </row>
    <row r="1723" spans="2:9" x14ac:dyDescent="0.2">
      <c r="B1723" s="3"/>
      <c r="C1723" s="3" t="s">
        <v>15</v>
      </c>
      <c r="D1723" s="2">
        <v>20857</v>
      </c>
      <c r="E1723" s="2">
        <v>1564</v>
      </c>
      <c r="F1723" s="2">
        <f t="shared" si="82"/>
        <v>151</v>
      </c>
      <c r="G1723" s="2">
        <f t="shared" si="84"/>
        <v>15</v>
      </c>
      <c r="H1723" s="2">
        <f t="shared" si="83"/>
        <v>0</v>
      </c>
    </row>
    <row r="1724" spans="2:9" x14ac:dyDescent="0.2">
      <c r="B1724" s="3"/>
      <c r="C1724" s="3" t="s">
        <v>12</v>
      </c>
      <c r="D1724" s="2">
        <v>13899</v>
      </c>
      <c r="E1724" s="2">
        <v>895</v>
      </c>
      <c r="F1724" s="2">
        <f t="shared" si="82"/>
        <v>121</v>
      </c>
      <c r="G1724" s="2">
        <f t="shared" si="84"/>
        <v>17</v>
      </c>
      <c r="H1724" s="2">
        <f t="shared" si="83"/>
        <v>0</v>
      </c>
    </row>
    <row r="1725" spans="2:9" x14ac:dyDescent="0.2">
      <c r="B1725" s="3"/>
      <c r="C1725" s="3" t="s">
        <v>33</v>
      </c>
      <c r="D1725" s="2">
        <v>7919</v>
      </c>
      <c r="E1725" s="2">
        <v>799</v>
      </c>
      <c r="F1725" s="2">
        <f t="shared" si="82"/>
        <v>39</v>
      </c>
      <c r="G1725" s="2">
        <f t="shared" si="84"/>
        <v>5</v>
      </c>
      <c r="H1725" s="2">
        <f t="shared" si="83"/>
        <v>0</v>
      </c>
    </row>
    <row r="1726" spans="2:9" x14ac:dyDescent="0.2">
      <c r="B1726" s="3"/>
      <c r="C1726" s="3" t="s">
        <v>34</v>
      </c>
      <c r="D1726" s="2">
        <v>10713</v>
      </c>
      <c r="E1726" s="2">
        <v>738</v>
      </c>
      <c r="F1726" s="2">
        <f t="shared" si="82"/>
        <v>66</v>
      </c>
      <c r="G1726" s="2">
        <f t="shared" si="84"/>
        <v>22</v>
      </c>
      <c r="H1726" s="2">
        <f t="shared" si="83"/>
        <v>0</v>
      </c>
    </row>
    <row r="1727" spans="2:9" x14ac:dyDescent="0.2">
      <c r="B1727" s="3" t="s">
        <v>23</v>
      </c>
      <c r="C1727" s="3" t="s">
        <v>24</v>
      </c>
      <c r="D1727" s="2">
        <v>20059</v>
      </c>
      <c r="E1727" s="2">
        <v>2410</v>
      </c>
      <c r="F1727" s="2">
        <f t="shared" si="82"/>
        <v>60</v>
      </c>
      <c r="G1727" s="2">
        <f t="shared" si="84"/>
        <v>4</v>
      </c>
      <c r="H1727" s="2">
        <f t="shared" si="83"/>
        <v>9206</v>
      </c>
      <c r="I1727" s="2">
        <f>SUM(55014+448444)</f>
        <v>503458</v>
      </c>
    </row>
    <row r="1728" spans="2:9" x14ac:dyDescent="0.2">
      <c r="B1728" s="3"/>
      <c r="C1728" s="3" t="s">
        <v>25</v>
      </c>
      <c r="D1728" s="2">
        <v>8281</v>
      </c>
      <c r="E1728" s="2">
        <v>971</v>
      </c>
      <c r="F1728" s="2">
        <f t="shared" si="82"/>
        <v>21</v>
      </c>
      <c r="G1728" s="2">
        <f t="shared" si="84"/>
        <v>10</v>
      </c>
      <c r="H1728" s="2">
        <f t="shared" si="83"/>
        <v>0</v>
      </c>
    </row>
    <row r="1729" spans="1:9" x14ac:dyDescent="0.2">
      <c r="B1729" s="3"/>
      <c r="C1729" s="3" t="s">
        <v>28</v>
      </c>
      <c r="D1729" s="2">
        <v>6586</v>
      </c>
      <c r="E1729" s="2">
        <v>787</v>
      </c>
      <c r="F1729" s="2">
        <f t="shared" si="82"/>
        <v>28</v>
      </c>
      <c r="G1729" s="2">
        <f t="shared" si="84"/>
        <v>3</v>
      </c>
      <c r="H1729" s="2">
        <f t="shared" si="83"/>
        <v>0</v>
      </c>
    </row>
    <row r="1730" spans="1:9" x14ac:dyDescent="0.2">
      <c r="B1730" s="3"/>
      <c r="C1730" s="3" t="s">
        <v>38</v>
      </c>
      <c r="D1730" s="2">
        <v>1983</v>
      </c>
      <c r="E1730" s="2">
        <v>249</v>
      </c>
      <c r="F1730" s="2">
        <f t="shared" si="82"/>
        <v>12</v>
      </c>
      <c r="G1730" s="2">
        <f t="shared" si="84"/>
        <v>2</v>
      </c>
      <c r="H1730" s="2">
        <f t="shared" si="83"/>
        <v>0</v>
      </c>
    </row>
    <row r="1731" spans="1:9" x14ac:dyDescent="0.2">
      <c r="B1731" s="3"/>
      <c r="C1731" s="3" t="s">
        <v>39</v>
      </c>
      <c r="D1731" s="2">
        <v>1313</v>
      </c>
      <c r="E1731" s="2">
        <v>100</v>
      </c>
      <c r="F1731" s="2">
        <f t="shared" si="82"/>
        <v>8</v>
      </c>
      <c r="G1731" s="2">
        <f t="shared" si="84"/>
        <v>3</v>
      </c>
      <c r="H1731" s="2">
        <f t="shared" si="83"/>
        <v>0</v>
      </c>
    </row>
    <row r="1732" spans="1:9" x14ac:dyDescent="0.2">
      <c r="B1732" s="3" t="s">
        <v>16</v>
      </c>
      <c r="C1732" s="3" t="s">
        <v>17</v>
      </c>
      <c r="D1732" s="2">
        <v>17972</v>
      </c>
      <c r="E1732" s="2">
        <v>1282</v>
      </c>
      <c r="F1732" s="2">
        <f t="shared" si="82"/>
        <v>133</v>
      </c>
      <c r="G1732" s="2">
        <f t="shared" si="84"/>
        <v>20</v>
      </c>
      <c r="H1732" s="2">
        <f t="shared" si="83"/>
        <v>8439</v>
      </c>
      <c r="I1732" s="2">
        <f>SUM(70042+357804)</f>
        <v>427846</v>
      </c>
    </row>
    <row r="1733" spans="1:9" x14ac:dyDescent="0.2">
      <c r="B1733" s="3"/>
      <c r="C1733" s="3" t="s">
        <v>18</v>
      </c>
      <c r="D1733" s="2">
        <v>6811</v>
      </c>
      <c r="E1733" s="2">
        <v>675</v>
      </c>
      <c r="F1733" s="2">
        <f t="shared" si="82"/>
        <v>73</v>
      </c>
      <c r="G1733" s="2">
        <f t="shared" si="84"/>
        <v>13</v>
      </c>
      <c r="H1733" s="2">
        <f t="shared" si="83"/>
        <v>0</v>
      </c>
    </row>
    <row r="1734" spans="1:9" x14ac:dyDescent="0.2">
      <c r="B1734" s="3"/>
      <c r="C1734" s="3" t="s">
        <v>19</v>
      </c>
      <c r="D1734" s="2">
        <v>6337</v>
      </c>
      <c r="E1734" s="2">
        <v>544</v>
      </c>
      <c r="F1734" s="2">
        <f t="shared" si="82"/>
        <v>48</v>
      </c>
      <c r="G1734" s="2">
        <f t="shared" si="84"/>
        <v>8</v>
      </c>
      <c r="H1734" s="2">
        <f t="shared" si="83"/>
        <v>0</v>
      </c>
    </row>
    <row r="1735" spans="1:9" x14ac:dyDescent="0.2">
      <c r="B1735" s="3"/>
      <c r="C1735" s="3" t="s">
        <v>40</v>
      </c>
      <c r="D1735" s="2">
        <v>3719</v>
      </c>
      <c r="E1735" s="2">
        <v>218</v>
      </c>
      <c r="F1735" s="2">
        <f t="shared" si="82"/>
        <v>20</v>
      </c>
      <c r="G1735" s="2">
        <f t="shared" si="84"/>
        <v>3</v>
      </c>
      <c r="H1735" s="2">
        <f t="shared" si="83"/>
        <v>0</v>
      </c>
    </row>
    <row r="1736" spans="1:9" x14ac:dyDescent="0.2">
      <c r="B1736" s="3"/>
      <c r="C1736" s="3" t="s">
        <v>41</v>
      </c>
      <c r="D1736" s="2">
        <v>3973</v>
      </c>
      <c r="E1736" s="2">
        <v>308</v>
      </c>
      <c r="F1736" s="2">
        <f t="shared" si="82"/>
        <v>21</v>
      </c>
      <c r="G1736" s="2">
        <f t="shared" si="84"/>
        <v>7</v>
      </c>
      <c r="H1736" s="2">
        <f t="shared" si="83"/>
        <v>0</v>
      </c>
    </row>
    <row r="1737" spans="1:9" x14ac:dyDescent="0.2">
      <c r="B1737" s="3" t="s">
        <v>20</v>
      </c>
      <c r="C1737" s="3" t="s">
        <v>22</v>
      </c>
      <c r="D1737" s="2">
        <v>49861</v>
      </c>
      <c r="E1737" s="2">
        <v>2241</v>
      </c>
      <c r="F1737" s="2">
        <f t="shared" si="82"/>
        <v>1150</v>
      </c>
      <c r="G1737" s="2">
        <f t="shared" si="84"/>
        <v>46</v>
      </c>
      <c r="H1737" s="2">
        <f t="shared" si="83"/>
        <v>44919</v>
      </c>
      <c r="I1737" s="2">
        <v>1835478</v>
      </c>
    </row>
    <row r="1738" spans="1:9" x14ac:dyDescent="0.2">
      <c r="B1738" s="3"/>
      <c r="C1738" s="3" t="s">
        <v>26</v>
      </c>
      <c r="D1738" s="2">
        <v>7102</v>
      </c>
      <c r="E1738" s="2">
        <v>307</v>
      </c>
      <c r="F1738" s="2">
        <f t="shared" si="82"/>
        <v>117</v>
      </c>
      <c r="G1738" s="2">
        <f t="shared" si="84"/>
        <v>10</v>
      </c>
      <c r="H1738" s="2">
        <f t="shared" si="83"/>
        <v>0</v>
      </c>
    </row>
    <row r="1739" spans="1:9" x14ac:dyDescent="0.2">
      <c r="B1739" s="3"/>
      <c r="C1739" s="3" t="s">
        <v>27</v>
      </c>
      <c r="D1739" s="2">
        <v>7240</v>
      </c>
      <c r="E1739" s="2">
        <v>331</v>
      </c>
      <c r="F1739" s="2">
        <f t="shared" si="82"/>
        <v>84</v>
      </c>
      <c r="G1739" s="2">
        <f t="shared" si="84"/>
        <v>11</v>
      </c>
      <c r="H1739" s="2">
        <f t="shared" si="83"/>
        <v>0</v>
      </c>
    </row>
    <row r="1740" spans="1:9" x14ac:dyDescent="0.2">
      <c r="C1740" s="3" t="s">
        <v>42</v>
      </c>
      <c r="D1740" s="2">
        <v>2698</v>
      </c>
      <c r="E1740" s="2">
        <v>141</v>
      </c>
      <c r="F1740" s="2">
        <f t="shared" si="82"/>
        <v>18</v>
      </c>
      <c r="G1740" s="2">
        <f t="shared" si="84"/>
        <v>0</v>
      </c>
      <c r="H1740" s="2">
        <f t="shared" si="83"/>
        <v>0</v>
      </c>
    </row>
    <row r="1741" spans="1:9" x14ac:dyDescent="0.2">
      <c r="C1741" s="3" t="s">
        <v>43</v>
      </c>
      <c r="D1741" s="2">
        <v>6045</v>
      </c>
      <c r="E1741" s="2">
        <v>142</v>
      </c>
      <c r="F1741" s="2">
        <f t="shared" si="82"/>
        <v>196</v>
      </c>
      <c r="G1741" s="2">
        <f t="shared" si="84"/>
        <v>6</v>
      </c>
      <c r="H1741" s="2">
        <f t="shared" si="83"/>
        <v>0</v>
      </c>
    </row>
    <row r="1742" spans="1:9" x14ac:dyDescent="0.2">
      <c r="A1742" s="1">
        <v>43980</v>
      </c>
      <c r="B1742" s="3" t="s">
        <v>5</v>
      </c>
      <c r="C1742" s="3" t="s">
        <v>6</v>
      </c>
      <c r="D1742" s="2">
        <v>61644</v>
      </c>
      <c r="E1742" s="2">
        <v>3918</v>
      </c>
      <c r="F1742" s="2">
        <f t="shared" ref="F1742:F1796" si="85">SUM(D1742-D1712)</f>
        <v>244</v>
      </c>
      <c r="G1742" s="2">
        <f t="shared" si="84"/>
        <v>0</v>
      </c>
      <c r="H1742" s="2">
        <f t="shared" si="83"/>
        <v>67341</v>
      </c>
      <c r="I1742" s="2">
        <v>1944130</v>
      </c>
    </row>
    <row r="1743" spans="1:9" x14ac:dyDescent="0.2">
      <c r="B1743" s="3"/>
      <c r="C1743" s="3" t="s">
        <v>7</v>
      </c>
      <c r="D1743" s="2">
        <v>55446</v>
      </c>
      <c r="E1743" s="2">
        <v>4405</v>
      </c>
      <c r="F1743" s="2">
        <f t="shared" si="85"/>
        <v>299</v>
      </c>
      <c r="G1743" s="2">
        <f t="shared" si="84"/>
        <v>7</v>
      </c>
      <c r="H1743" s="2">
        <f t="shared" si="83"/>
        <v>0</v>
      </c>
    </row>
    <row r="1744" spans="1:9" x14ac:dyDescent="0.2">
      <c r="B1744" s="3"/>
      <c r="C1744" s="3" t="s">
        <v>8</v>
      </c>
      <c r="D1744" s="2">
        <v>40226</v>
      </c>
      <c r="E1744" s="2">
        <v>2611</v>
      </c>
      <c r="F1744" s="2">
        <f t="shared" si="85"/>
        <v>86</v>
      </c>
      <c r="G1744" s="2">
        <f t="shared" si="84"/>
        <v>3</v>
      </c>
      <c r="H1744" s="2">
        <f t="shared" si="83"/>
        <v>0</v>
      </c>
    </row>
    <row r="1745" spans="2:9" x14ac:dyDescent="0.2">
      <c r="B1745" s="3"/>
      <c r="C1745" s="3" t="s">
        <v>35</v>
      </c>
      <c r="D1745" s="2">
        <v>44974</v>
      </c>
      <c r="E1745" s="2">
        <v>2952</v>
      </c>
      <c r="F1745" s="2">
        <f t="shared" si="85"/>
        <v>221</v>
      </c>
      <c r="G1745" s="2">
        <f t="shared" si="84"/>
        <v>5</v>
      </c>
      <c r="H1745" s="2">
        <f t="shared" si="83"/>
        <v>0</v>
      </c>
    </row>
    <row r="1746" spans="2:9" x14ac:dyDescent="0.2">
      <c r="B1746" s="3"/>
      <c r="C1746" s="3" t="s">
        <v>14</v>
      </c>
      <c r="D1746" s="2">
        <v>39445</v>
      </c>
      <c r="E1746" s="2">
        <v>1928</v>
      </c>
      <c r="F1746" s="2">
        <f t="shared" si="85"/>
        <v>86</v>
      </c>
      <c r="G1746" s="2">
        <f t="shared" si="84"/>
        <v>8</v>
      </c>
      <c r="H1746" s="2">
        <f t="shared" si="83"/>
        <v>0</v>
      </c>
    </row>
    <row r="1747" spans="2:9" x14ac:dyDescent="0.2">
      <c r="B1747" s="3" t="s">
        <v>9</v>
      </c>
      <c r="C1747" s="3" t="s">
        <v>10</v>
      </c>
      <c r="D1747" s="2">
        <v>18223</v>
      </c>
      <c r="E1747" s="2">
        <v>1567</v>
      </c>
      <c r="F1747" s="2">
        <f t="shared" si="85"/>
        <v>65</v>
      </c>
      <c r="G1747" s="2">
        <f t="shared" si="84"/>
        <v>14</v>
      </c>
      <c r="H1747" s="2">
        <f t="shared" ref="H1747:H1765" si="86">SUM(I1747-I1717)</f>
        <v>30554</v>
      </c>
      <c r="I1747" s="2">
        <v>716411</v>
      </c>
    </row>
    <row r="1748" spans="2:9" x14ac:dyDescent="0.2">
      <c r="B1748" s="3"/>
      <c r="C1748" s="3" t="s">
        <v>11</v>
      </c>
      <c r="D1748" s="2">
        <v>18287</v>
      </c>
      <c r="E1748" s="2">
        <v>1168</v>
      </c>
      <c r="F1748" s="2">
        <f t="shared" si="85"/>
        <v>61</v>
      </c>
      <c r="G1748" s="2">
        <f t="shared" si="84"/>
        <v>7</v>
      </c>
      <c r="H1748" s="2">
        <f t="shared" si="86"/>
        <v>0</v>
      </c>
    </row>
    <row r="1749" spans="2:9" x14ac:dyDescent="0.2">
      <c r="B1749" s="3"/>
      <c r="C1749" s="3" t="s">
        <v>12</v>
      </c>
      <c r="D1749" s="2">
        <v>17546</v>
      </c>
      <c r="E1749" s="2">
        <v>1647</v>
      </c>
      <c r="F1749" s="2">
        <f t="shared" si="85"/>
        <v>96</v>
      </c>
      <c r="G1749" s="2">
        <f t="shared" si="84"/>
        <v>19</v>
      </c>
      <c r="H1749" s="2">
        <f t="shared" si="86"/>
        <v>0</v>
      </c>
    </row>
    <row r="1750" spans="2:9" x14ac:dyDescent="0.2">
      <c r="B1750" s="3"/>
      <c r="C1750" s="3" t="s">
        <v>36</v>
      </c>
      <c r="D1750" s="2">
        <v>15610</v>
      </c>
      <c r="E1750" s="2">
        <v>1060</v>
      </c>
      <c r="F1750" s="2">
        <f t="shared" si="85"/>
        <v>135</v>
      </c>
      <c r="G1750" s="2">
        <f t="shared" si="84"/>
        <v>13</v>
      </c>
      <c r="H1750" s="2">
        <f t="shared" si="86"/>
        <v>0</v>
      </c>
    </row>
    <row r="1751" spans="2:9" x14ac:dyDescent="0.2">
      <c r="B1751" s="3"/>
      <c r="C1751" s="3" t="s">
        <v>37</v>
      </c>
      <c r="D1751" s="2">
        <v>16045</v>
      </c>
      <c r="E1751" s="2">
        <v>917</v>
      </c>
      <c r="F1751" s="2">
        <f t="shared" si="85"/>
        <v>86</v>
      </c>
      <c r="G1751" s="2">
        <f t="shared" si="84"/>
        <v>14</v>
      </c>
      <c r="H1751" s="2">
        <f t="shared" si="86"/>
        <v>0</v>
      </c>
    </row>
    <row r="1752" spans="2:9" x14ac:dyDescent="0.2">
      <c r="B1752" s="3" t="s">
        <v>13</v>
      </c>
      <c r="C1752" s="3" t="s">
        <v>14</v>
      </c>
      <c r="D1752" s="2">
        <v>17786</v>
      </c>
      <c r="E1752" s="2">
        <v>861</v>
      </c>
      <c r="F1752" s="2">
        <f t="shared" si="85"/>
        <v>88</v>
      </c>
      <c r="G1752" s="2">
        <f t="shared" si="84"/>
        <v>2</v>
      </c>
      <c r="H1752" s="2">
        <f t="shared" si="86"/>
        <v>9422</v>
      </c>
      <c r="I1752" s="2">
        <v>571745</v>
      </c>
    </row>
    <row r="1753" spans="2:9" x14ac:dyDescent="0.2">
      <c r="B1753" s="3"/>
      <c r="C1753" s="3" t="s">
        <v>15</v>
      </c>
      <c r="D1753" s="2">
        <v>20972</v>
      </c>
      <c r="E1753" s="2">
        <v>1583</v>
      </c>
      <c r="F1753" s="2">
        <f t="shared" si="85"/>
        <v>115</v>
      </c>
      <c r="G1753" s="2">
        <f t="shared" si="84"/>
        <v>19</v>
      </c>
      <c r="H1753" s="2">
        <f t="shared" si="86"/>
        <v>0</v>
      </c>
    </row>
    <row r="1754" spans="2:9" x14ac:dyDescent="0.2">
      <c r="B1754" s="3"/>
      <c r="C1754" s="3" t="s">
        <v>12</v>
      </c>
      <c r="D1754" s="2">
        <v>13994</v>
      </c>
      <c r="E1754" s="2">
        <v>906</v>
      </c>
      <c r="F1754" s="2">
        <f t="shared" si="85"/>
        <v>95</v>
      </c>
      <c r="G1754" s="2">
        <f t="shared" si="84"/>
        <v>11</v>
      </c>
      <c r="H1754" s="2">
        <f t="shared" si="86"/>
        <v>0</v>
      </c>
    </row>
    <row r="1755" spans="2:9" x14ac:dyDescent="0.2">
      <c r="B1755" s="3"/>
      <c r="C1755" s="3" t="s">
        <v>33</v>
      </c>
      <c r="D1755" s="2">
        <v>7959</v>
      </c>
      <c r="E1755" s="2">
        <v>811</v>
      </c>
      <c r="F1755" s="2">
        <f t="shared" si="85"/>
        <v>40</v>
      </c>
      <c r="G1755" s="2">
        <f t="shared" si="84"/>
        <v>12</v>
      </c>
      <c r="H1755" s="2">
        <f t="shared" si="86"/>
        <v>0</v>
      </c>
    </row>
    <row r="1756" spans="2:9" x14ac:dyDescent="0.2">
      <c r="B1756" s="3"/>
      <c r="C1756" s="3" t="s">
        <v>34</v>
      </c>
      <c r="D1756" s="2">
        <v>10816</v>
      </c>
      <c r="E1756" s="2">
        <v>746</v>
      </c>
      <c r="F1756" s="2">
        <f t="shared" si="85"/>
        <v>103</v>
      </c>
      <c r="G1756" s="2">
        <f t="shared" si="84"/>
        <v>8</v>
      </c>
      <c r="H1756" s="2">
        <f t="shared" si="86"/>
        <v>0</v>
      </c>
    </row>
    <row r="1757" spans="2:9" x14ac:dyDescent="0.2">
      <c r="B1757" s="3" t="s">
        <v>23</v>
      </c>
      <c r="C1757" s="3" t="s">
        <v>24</v>
      </c>
      <c r="D1757" s="2">
        <v>20227</v>
      </c>
      <c r="E1757" s="2">
        <v>2425</v>
      </c>
      <c r="F1757" s="2">
        <f t="shared" si="85"/>
        <v>168</v>
      </c>
      <c r="G1757" s="2">
        <f t="shared" si="84"/>
        <v>15</v>
      </c>
      <c r="H1757" s="2">
        <f t="shared" si="86"/>
        <v>18149</v>
      </c>
      <c r="I1757" s="2">
        <v>521607</v>
      </c>
    </row>
    <row r="1758" spans="2:9" x14ac:dyDescent="0.2">
      <c r="B1758" s="3"/>
      <c r="C1758" s="3" t="s">
        <v>25</v>
      </c>
      <c r="D1758" s="2">
        <v>8311</v>
      </c>
      <c r="E1758" s="2">
        <v>975</v>
      </c>
      <c r="F1758" s="2">
        <f t="shared" si="85"/>
        <v>30</v>
      </c>
      <c r="G1758" s="2">
        <f t="shared" si="84"/>
        <v>4</v>
      </c>
      <c r="H1758" s="2">
        <f t="shared" si="86"/>
        <v>0</v>
      </c>
    </row>
    <row r="1759" spans="2:9" x14ac:dyDescent="0.2">
      <c r="B1759" s="3"/>
      <c r="C1759" s="3" t="s">
        <v>28</v>
      </c>
      <c r="D1759" s="2">
        <v>6616</v>
      </c>
      <c r="E1759" s="2">
        <v>793</v>
      </c>
      <c r="F1759" s="2">
        <f t="shared" si="85"/>
        <v>30</v>
      </c>
      <c r="G1759" s="2">
        <f t="shared" si="84"/>
        <v>6</v>
      </c>
      <c r="H1759" s="2">
        <f t="shared" si="86"/>
        <v>0</v>
      </c>
    </row>
    <row r="1760" spans="2:9" x14ac:dyDescent="0.2">
      <c r="B1760" s="3"/>
      <c r="C1760" s="3" t="s">
        <v>38</v>
      </c>
      <c r="D1760" s="2">
        <v>1998</v>
      </c>
      <c r="E1760" s="2">
        <v>250</v>
      </c>
      <c r="F1760" s="2">
        <f t="shared" si="85"/>
        <v>15</v>
      </c>
      <c r="G1760" s="2">
        <f t="shared" si="84"/>
        <v>1</v>
      </c>
      <c r="H1760" s="2">
        <f t="shared" si="86"/>
        <v>0</v>
      </c>
    </row>
    <row r="1761" spans="1:9" x14ac:dyDescent="0.2">
      <c r="B1761" s="3"/>
      <c r="C1761" s="3" t="s">
        <v>39</v>
      </c>
      <c r="D1761" s="2">
        <v>1318</v>
      </c>
      <c r="E1761" s="2">
        <v>100</v>
      </c>
      <c r="F1761" s="2">
        <f t="shared" si="85"/>
        <v>5</v>
      </c>
      <c r="G1761" s="2">
        <f t="shared" ref="G1761:G1824" si="87">SUM(E1761-E1731)</f>
        <v>0</v>
      </c>
      <c r="H1761" s="2">
        <f t="shared" si="86"/>
        <v>0</v>
      </c>
    </row>
    <row r="1762" spans="1:9" x14ac:dyDescent="0.2">
      <c r="B1762" s="3" t="s">
        <v>16</v>
      </c>
      <c r="C1762" s="3" t="s">
        <v>17</v>
      </c>
      <c r="D1762" s="2">
        <v>18156</v>
      </c>
      <c r="E1762" s="2">
        <v>1300</v>
      </c>
      <c r="F1762" s="2">
        <f t="shared" si="85"/>
        <v>184</v>
      </c>
      <c r="G1762" s="2">
        <f t="shared" si="87"/>
        <v>18</v>
      </c>
      <c r="H1762" s="2">
        <f t="shared" si="86"/>
        <v>9859</v>
      </c>
      <c r="I1762" s="2">
        <f>SUM(70735+366970)</f>
        <v>437705</v>
      </c>
    </row>
    <row r="1763" spans="1:9" x14ac:dyDescent="0.2">
      <c r="B1763" s="3"/>
      <c r="C1763" s="3" t="s">
        <v>18</v>
      </c>
      <c r="D1763" s="2">
        <v>6906</v>
      </c>
      <c r="E1763" s="2">
        <v>677</v>
      </c>
      <c r="F1763" s="2">
        <f t="shared" si="85"/>
        <v>95</v>
      </c>
      <c r="G1763" s="2">
        <f t="shared" si="87"/>
        <v>2</v>
      </c>
      <c r="H1763" s="2">
        <f t="shared" si="86"/>
        <v>0</v>
      </c>
    </row>
    <row r="1764" spans="1:9" x14ac:dyDescent="0.2">
      <c r="B1764" s="3"/>
      <c r="C1764" s="3" t="s">
        <v>19</v>
      </c>
      <c r="D1764" s="2">
        <v>6379</v>
      </c>
      <c r="E1764" s="2">
        <v>550</v>
      </c>
      <c r="F1764" s="2">
        <f t="shared" si="85"/>
        <v>42</v>
      </c>
      <c r="G1764" s="2">
        <f t="shared" si="87"/>
        <v>6</v>
      </c>
      <c r="H1764" s="2">
        <f t="shared" si="86"/>
        <v>0</v>
      </c>
    </row>
    <row r="1765" spans="1:9" x14ac:dyDescent="0.2">
      <c r="B1765" s="3"/>
      <c r="C1765" s="3" t="s">
        <v>40</v>
      </c>
      <c r="D1765" s="2">
        <v>3738</v>
      </c>
      <c r="E1765" s="2">
        <v>222</v>
      </c>
      <c r="F1765" s="2">
        <f t="shared" si="85"/>
        <v>19</v>
      </c>
      <c r="G1765" s="2">
        <f t="shared" si="87"/>
        <v>4</v>
      </c>
      <c r="H1765" s="2">
        <f t="shared" si="86"/>
        <v>0</v>
      </c>
    </row>
    <row r="1766" spans="1:9" x14ac:dyDescent="0.2">
      <c r="B1766" s="3"/>
      <c r="C1766" s="3" t="s">
        <v>41</v>
      </c>
      <c r="D1766" s="2">
        <v>3988</v>
      </c>
      <c r="E1766" s="2">
        <v>311</v>
      </c>
      <c r="F1766" s="2">
        <f t="shared" si="85"/>
        <v>15</v>
      </c>
      <c r="G1766" s="2">
        <f t="shared" si="87"/>
        <v>3</v>
      </c>
      <c r="H1766" s="2">
        <f>SUM(I1766-I1736)</f>
        <v>0</v>
      </c>
    </row>
    <row r="1767" spans="1:9" x14ac:dyDescent="0.2">
      <c r="B1767" s="3" t="s">
        <v>20</v>
      </c>
      <c r="C1767" s="3" t="s">
        <v>22</v>
      </c>
      <c r="D1767" s="2">
        <v>51578</v>
      </c>
      <c r="E1767" s="2">
        <v>2290</v>
      </c>
      <c r="F1767" s="2">
        <f t="shared" si="85"/>
        <v>1717</v>
      </c>
      <c r="G1767" s="2">
        <f t="shared" si="87"/>
        <v>49</v>
      </c>
      <c r="H1767" s="2">
        <f t="shared" ref="H1767:H1826" si="88">SUM(I1767-I1737)</f>
        <v>53117</v>
      </c>
      <c r="I1767" s="2">
        <v>1888595</v>
      </c>
    </row>
    <row r="1768" spans="1:9" x14ac:dyDescent="0.2">
      <c r="B1768" s="3"/>
      <c r="C1768" s="3" t="s">
        <v>26</v>
      </c>
      <c r="D1768" s="2">
        <v>7242</v>
      </c>
      <c r="E1768" s="2">
        <v>312</v>
      </c>
      <c r="F1768" s="2">
        <f t="shared" si="85"/>
        <v>140</v>
      </c>
      <c r="G1768" s="2">
        <f t="shared" si="87"/>
        <v>5</v>
      </c>
      <c r="H1768" s="2">
        <f t="shared" si="88"/>
        <v>0</v>
      </c>
    </row>
    <row r="1769" spans="1:9" x14ac:dyDescent="0.2">
      <c r="B1769" s="3"/>
      <c r="C1769" s="3" t="s">
        <v>27</v>
      </c>
      <c r="D1769" s="2">
        <v>7376</v>
      </c>
      <c r="E1769" s="2">
        <v>339</v>
      </c>
      <c r="F1769" s="2">
        <f t="shared" si="85"/>
        <v>136</v>
      </c>
      <c r="G1769" s="2">
        <f t="shared" si="87"/>
        <v>8</v>
      </c>
      <c r="H1769" s="2">
        <f t="shared" si="88"/>
        <v>0</v>
      </c>
    </row>
    <row r="1770" spans="1:9" x14ac:dyDescent="0.2">
      <c r="C1770" s="3" t="s">
        <v>42</v>
      </c>
      <c r="D1770" s="2">
        <v>2707</v>
      </c>
      <c r="E1770" s="2">
        <v>141</v>
      </c>
      <c r="F1770" s="2">
        <f t="shared" si="85"/>
        <v>9</v>
      </c>
      <c r="G1770" s="2">
        <f t="shared" si="87"/>
        <v>0</v>
      </c>
      <c r="H1770" s="2">
        <f t="shared" si="88"/>
        <v>0</v>
      </c>
    </row>
    <row r="1771" spans="1:9" x14ac:dyDescent="0.2">
      <c r="C1771" s="3" t="s">
        <v>43</v>
      </c>
      <c r="D1771" s="2">
        <v>6176</v>
      </c>
      <c r="E1771" s="2">
        <v>145</v>
      </c>
      <c r="F1771" s="2">
        <f t="shared" si="85"/>
        <v>131</v>
      </c>
      <c r="G1771" s="2">
        <f t="shared" si="87"/>
        <v>3</v>
      </c>
      <c r="H1771" s="2">
        <f t="shared" si="88"/>
        <v>0</v>
      </c>
    </row>
    <row r="1772" spans="1:9" x14ac:dyDescent="0.2">
      <c r="A1772" s="1">
        <v>43981</v>
      </c>
      <c r="B1772" s="3" t="s">
        <v>5</v>
      </c>
      <c r="C1772" s="3" t="s">
        <v>6</v>
      </c>
      <c r="D1772" s="2">
        <v>61827</v>
      </c>
      <c r="E1772" s="2">
        <v>3920</v>
      </c>
      <c r="F1772" s="2">
        <f t="shared" si="85"/>
        <v>183</v>
      </c>
      <c r="G1772" s="2">
        <f t="shared" si="87"/>
        <v>2</v>
      </c>
      <c r="H1772" s="2">
        <f t="shared" si="88"/>
        <v>61251</v>
      </c>
      <c r="I1772" s="2">
        <v>2005381</v>
      </c>
    </row>
    <row r="1773" spans="1:9" x14ac:dyDescent="0.2">
      <c r="B1773" s="3"/>
      <c r="C1773" s="3" t="s">
        <v>7</v>
      </c>
      <c r="D1773" s="2">
        <v>55727</v>
      </c>
      <c r="E1773" s="2">
        <v>4413</v>
      </c>
      <c r="F1773" s="2">
        <f t="shared" si="85"/>
        <v>281</v>
      </c>
      <c r="G1773" s="2">
        <f t="shared" si="87"/>
        <v>8</v>
      </c>
      <c r="H1773" s="2">
        <f t="shared" si="88"/>
        <v>0</v>
      </c>
    </row>
    <row r="1774" spans="1:9" x14ac:dyDescent="0.2">
      <c r="B1774" s="3"/>
      <c r="C1774" s="3" t="s">
        <v>8</v>
      </c>
      <c r="D1774" s="2">
        <v>40307</v>
      </c>
      <c r="E1774" s="2">
        <v>2615</v>
      </c>
      <c r="F1774" s="2">
        <f t="shared" si="85"/>
        <v>81</v>
      </c>
      <c r="G1774" s="2">
        <f t="shared" si="87"/>
        <v>4</v>
      </c>
      <c r="H1774" s="2">
        <f t="shared" si="88"/>
        <v>0</v>
      </c>
    </row>
    <row r="1775" spans="1:9" x14ac:dyDescent="0.2">
      <c r="B1775" s="3"/>
      <c r="C1775" s="3" t="s">
        <v>35</v>
      </c>
      <c r="D1775" s="2">
        <v>45116</v>
      </c>
      <c r="E1775" s="2">
        <v>2956</v>
      </c>
      <c r="F1775" s="2">
        <f t="shared" si="85"/>
        <v>142</v>
      </c>
      <c r="G1775" s="2">
        <f t="shared" si="87"/>
        <v>4</v>
      </c>
      <c r="H1775" s="2">
        <f t="shared" si="88"/>
        <v>0</v>
      </c>
    </row>
    <row r="1776" spans="1:9" x14ac:dyDescent="0.2">
      <c r="B1776" s="3"/>
      <c r="C1776" s="3" t="s">
        <v>14</v>
      </c>
      <c r="D1776" s="2">
        <v>39532</v>
      </c>
      <c r="E1776" s="2">
        <v>1941</v>
      </c>
      <c r="F1776" s="2">
        <f t="shared" si="85"/>
        <v>87</v>
      </c>
      <c r="G1776" s="2">
        <f t="shared" si="87"/>
        <v>13</v>
      </c>
      <c r="H1776" s="2">
        <f t="shared" si="88"/>
        <v>0</v>
      </c>
    </row>
    <row r="1777" spans="2:9" x14ac:dyDescent="0.2">
      <c r="B1777" s="3" t="s">
        <v>9</v>
      </c>
      <c r="C1777" s="3" t="s">
        <v>10</v>
      </c>
      <c r="E1777" s="2">
        <v>1573</v>
      </c>
      <c r="G1777" s="2">
        <f t="shared" si="87"/>
        <v>6</v>
      </c>
      <c r="H1777" s="2">
        <f t="shared" si="88"/>
        <v>28897</v>
      </c>
      <c r="I1777" s="2">
        <v>745308</v>
      </c>
    </row>
    <row r="1778" spans="2:9" x14ac:dyDescent="0.2">
      <c r="B1778" s="3"/>
      <c r="C1778" s="3" t="s">
        <v>11</v>
      </c>
      <c r="D1778" s="2">
        <v>18343</v>
      </c>
      <c r="E1778" s="2">
        <v>1173</v>
      </c>
      <c r="F1778" s="2">
        <f t="shared" si="85"/>
        <v>56</v>
      </c>
      <c r="G1778" s="2">
        <f t="shared" si="87"/>
        <v>5</v>
      </c>
      <c r="H1778" s="2">
        <f t="shared" si="88"/>
        <v>0</v>
      </c>
    </row>
    <row r="1779" spans="2:9" x14ac:dyDescent="0.2">
      <c r="B1779" s="3"/>
      <c r="C1779" s="3" t="s">
        <v>12</v>
      </c>
      <c r="D1779" s="2">
        <v>17594</v>
      </c>
      <c r="E1779" s="2">
        <v>1657</v>
      </c>
      <c r="F1779" s="2">
        <f t="shared" si="85"/>
        <v>48</v>
      </c>
      <c r="G1779" s="2">
        <f t="shared" si="87"/>
        <v>10</v>
      </c>
      <c r="H1779" s="2">
        <f t="shared" si="88"/>
        <v>0</v>
      </c>
    </row>
    <row r="1780" spans="2:9" x14ac:dyDescent="0.2">
      <c r="B1780" s="3"/>
      <c r="C1780" s="3" t="s">
        <v>36</v>
      </c>
      <c r="H1780" s="2">
        <f t="shared" si="88"/>
        <v>0</v>
      </c>
    </row>
    <row r="1781" spans="2:9" x14ac:dyDescent="0.2">
      <c r="B1781" s="3"/>
      <c r="C1781" s="3" t="s">
        <v>37</v>
      </c>
      <c r="D1781" s="2">
        <v>16099</v>
      </c>
      <c r="E1781" s="2">
        <v>925</v>
      </c>
      <c r="F1781" s="2">
        <f t="shared" si="85"/>
        <v>54</v>
      </c>
      <c r="G1781" s="2">
        <f t="shared" si="87"/>
        <v>8</v>
      </c>
      <c r="H1781" s="2">
        <f t="shared" si="88"/>
        <v>0</v>
      </c>
    </row>
    <row r="1782" spans="2:9" x14ac:dyDescent="0.2">
      <c r="B1782" s="3" t="s">
        <v>13</v>
      </c>
      <c r="C1782" s="3" t="s">
        <v>14</v>
      </c>
      <c r="D1782" s="2">
        <v>17873</v>
      </c>
      <c r="E1782" s="2">
        <v>868</v>
      </c>
      <c r="F1782" s="2">
        <f t="shared" si="85"/>
        <v>87</v>
      </c>
      <c r="G1782" s="2">
        <f t="shared" si="87"/>
        <v>7</v>
      </c>
      <c r="H1782" s="2">
        <f t="shared" si="88"/>
        <v>10774</v>
      </c>
      <c r="I1782" s="2">
        <v>582519</v>
      </c>
    </row>
    <row r="1783" spans="2:9" x14ac:dyDescent="0.2">
      <c r="B1783" s="3"/>
      <c r="C1783" s="3" t="s">
        <v>15</v>
      </c>
      <c r="D1783" s="2">
        <v>21124</v>
      </c>
      <c r="E1783" s="2">
        <v>1596</v>
      </c>
      <c r="F1783" s="2">
        <f t="shared" si="85"/>
        <v>152</v>
      </c>
      <c r="G1783" s="2">
        <f t="shared" si="87"/>
        <v>13</v>
      </c>
      <c r="H1783" s="2">
        <f t="shared" si="88"/>
        <v>0</v>
      </c>
    </row>
    <row r="1784" spans="2:9" x14ac:dyDescent="0.2">
      <c r="B1784" s="3"/>
      <c r="C1784" s="3" t="s">
        <v>12</v>
      </c>
      <c r="D1784" s="2">
        <v>14099</v>
      </c>
      <c r="E1784" s="2">
        <v>909</v>
      </c>
      <c r="F1784" s="2">
        <f t="shared" si="85"/>
        <v>105</v>
      </c>
      <c r="G1784" s="2">
        <f t="shared" si="87"/>
        <v>3</v>
      </c>
      <c r="H1784" s="2">
        <f t="shared" si="88"/>
        <v>0</v>
      </c>
    </row>
    <row r="1785" spans="2:9" x14ac:dyDescent="0.2">
      <c r="B1785" s="3"/>
      <c r="C1785" s="3" t="s">
        <v>33</v>
      </c>
      <c r="D1785" s="2">
        <v>8016</v>
      </c>
      <c r="E1785" s="2">
        <v>815</v>
      </c>
      <c r="F1785" s="2">
        <f t="shared" si="85"/>
        <v>57</v>
      </c>
      <c r="G1785" s="2">
        <f t="shared" si="87"/>
        <v>4</v>
      </c>
      <c r="H1785" s="2">
        <f t="shared" si="88"/>
        <v>0</v>
      </c>
    </row>
    <row r="1786" spans="2:9" x14ac:dyDescent="0.2">
      <c r="B1786" s="3"/>
      <c r="C1786" s="3" t="s">
        <v>34</v>
      </c>
      <c r="D1786" s="2">
        <v>10901</v>
      </c>
      <c r="E1786" s="2">
        <v>753</v>
      </c>
      <c r="F1786" s="2">
        <f t="shared" si="85"/>
        <v>85</v>
      </c>
      <c r="G1786" s="2">
        <f t="shared" si="87"/>
        <v>7</v>
      </c>
      <c r="H1786" s="2">
        <f t="shared" si="88"/>
        <v>0</v>
      </c>
    </row>
    <row r="1787" spans="2:9" x14ac:dyDescent="0.2">
      <c r="B1787" s="3" t="s">
        <v>23</v>
      </c>
      <c r="C1787" s="3" t="s">
        <v>24</v>
      </c>
      <c r="D1787" s="2">
        <f>SUM(10937+9317)</f>
        <v>20254</v>
      </c>
      <c r="E1787" s="2">
        <f>SUM(1082+1370)</f>
        <v>2452</v>
      </c>
      <c r="F1787" s="2">
        <f t="shared" si="85"/>
        <v>27</v>
      </c>
      <c r="G1787" s="2">
        <f t="shared" si="87"/>
        <v>27</v>
      </c>
      <c r="H1787" s="2">
        <f t="shared" si="88"/>
        <v>17205</v>
      </c>
      <c r="I1787" s="2">
        <f>SUM(56884+481928)</f>
        <v>538812</v>
      </c>
    </row>
    <row r="1788" spans="2:9" x14ac:dyDescent="0.2">
      <c r="B1788" s="3"/>
      <c r="C1788" s="3" t="s">
        <v>25</v>
      </c>
      <c r="D1788" s="2">
        <v>8319</v>
      </c>
      <c r="E1788" s="2">
        <v>983</v>
      </c>
      <c r="F1788" s="2">
        <f t="shared" si="85"/>
        <v>8</v>
      </c>
      <c r="G1788" s="2">
        <f t="shared" si="87"/>
        <v>8</v>
      </c>
      <c r="H1788" s="2">
        <f t="shared" si="88"/>
        <v>0</v>
      </c>
    </row>
    <row r="1789" spans="2:9" x14ac:dyDescent="0.2">
      <c r="B1789" s="3"/>
      <c r="C1789" s="3" t="s">
        <v>28</v>
      </c>
      <c r="D1789" s="2">
        <v>6624</v>
      </c>
      <c r="E1789" s="2">
        <v>802</v>
      </c>
      <c r="F1789" s="2">
        <f t="shared" si="85"/>
        <v>8</v>
      </c>
      <c r="G1789" s="2">
        <f t="shared" si="87"/>
        <v>9</v>
      </c>
      <c r="H1789" s="2">
        <f t="shared" si="88"/>
        <v>0</v>
      </c>
    </row>
    <row r="1790" spans="2:9" x14ac:dyDescent="0.2">
      <c r="B1790" s="3"/>
      <c r="C1790" s="3" t="s">
        <v>38</v>
      </c>
      <c r="D1790" s="2">
        <v>2004</v>
      </c>
      <c r="E1790" s="2">
        <v>252</v>
      </c>
      <c r="F1790" s="2">
        <f t="shared" si="85"/>
        <v>6</v>
      </c>
      <c r="G1790" s="2">
        <f t="shared" si="87"/>
        <v>2</v>
      </c>
      <c r="H1790" s="2">
        <f t="shared" si="88"/>
        <v>0</v>
      </c>
    </row>
    <row r="1791" spans="2:9" x14ac:dyDescent="0.2">
      <c r="B1791" s="3"/>
      <c r="C1791" s="3" t="s">
        <v>39</v>
      </c>
      <c r="D1791" s="2">
        <v>1331</v>
      </c>
      <c r="E1791" s="2">
        <v>99</v>
      </c>
      <c r="F1791" s="2">
        <f t="shared" si="85"/>
        <v>13</v>
      </c>
      <c r="G1791" s="2">
        <f t="shared" si="87"/>
        <v>-1</v>
      </c>
      <c r="H1791" s="2">
        <f t="shared" si="88"/>
        <v>0</v>
      </c>
    </row>
    <row r="1792" spans="2:9" x14ac:dyDescent="0.2">
      <c r="B1792" s="3" t="s">
        <v>16</v>
      </c>
      <c r="C1792" s="3" t="s">
        <v>17</v>
      </c>
      <c r="D1792" s="2">
        <v>18347</v>
      </c>
      <c r="E1792" s="2">
        <v>1308</v>
      </c>
      <c r="F1792" s="2">
        <f t="shared" si="85"/>
        <v>191</v>
      </c>
      <c r="G1792" s="2">
        <f t="shared" si="87"/>
        <v>8</v>
      </c>
      <c r="H1792" s="2">
        <f t="shared" si="88"/>
        <v>9441</v>
      </c>
      <c r="I1792" s="2">
        <f>SUM(71415+375731)</f>
        <v>447146</v>
      </c>
    </row>
    <row r="1793" spans="1:9" x14ac:dyDescent="0.2">
      <c r="B1793" s="3"/>
      <c r="C1793" s="3" t="s">
        <v>18</v>
      </c>
      <c r="D1793" s="2">
        <v>7006</v>
      </c>
      <c r="E1793" s="2">
        <v>682</v>
      </c>
      <c r="F1793" s="2">
        <f t="shared" si="85"/>
        <v>100</v>
      </c>
      <c r="G1793" s="2">
        <f t="shared" si="87"/>
        <v>5</v>
      </c>
      <c r="H1793" s="2">
        <f t="shared" si="88"/>
        <v>0</v>
      </c>
    </row>
    <row r="1794" spans="1:9" x14ac:dyDescent="0.2">
      <c r="B1794" s="3"/>
      <c r="C1794" s="3" t="s">
        <v>19</v>
      </c>
      <c r="D1794" s="2">
        <v>6420</v>
      </c>
      <c r="E1794" s="2">
        <v>558</v>
      </c>
      <c r="F1794" s="2">
        <f t="shared" si="85"/>
        <v>41</v>
      </c>
      <c r="G1794" s="2">
        <f t="shared" si="87"/>
        <v>8</v>
      </c>
      <c r="H1794" s="2">
        <f t="shared" si="88"/>
        <v>0</v>
      </c>
    </row>
    <row r="1795" spans="1:9" x14ac:dyDescent="0.2">
      <c r="B1795" s="3"/>
      <c r="C1795" s="3" t="s">
        <v>40</v>
      </c>
      <c r="D1795" s="2">
        <v>3747</v>
      </c>
      <c r="E1795" s="2">
        <v>228</v>
      </c>
      <c r="F1795" s="2">
        <f t="shared" si="85"/>
        <v>9</v>
      </c>
      <c r="G1795" s="2">
        <f t="shared" si="87"/>
        <v>6</v>
      </c>
      <c r="H1795" s="2">
        <f t="shared" si="88"/>
        <v>0</v>
      </c>
    </row>
    <row r="1796" spans="1:9" x14ac:dyDescent="0.2">
      <c r="B1796" s="3"/>
      <c r="C1796" s="3" t="s">
        <v>41</v>
      </c>
      <c r="D1796" s="2">
        <v>4002</v>
      </c>
      <c r="E1796" s="2">
        <v>316</v>
      </c>
      <c r="F1796" s="2">
        <f t="shared" si="85"/>
        <v>14</v>
      </c>
      <c r="G1796" s="2">
        <f t="shared" si="87"/>
        <v>5</v>
      </c>
      <c r="H1796" s="2">
        <f t="shared" si="88"/>
        <v>0</v>
      </c>
    </row>
    <row r="1797" spans="1:9" x14ac:dyDescent="0.2">
      <c r="B1797" s="3" t="s">
        <v>20</v>
      </c>
      <c r="C1797" s="3" t="s">
        <v>22</v>
      </c>
      <c r="D1797" s="2">
        <v>53627</v>
      </c>
      <c r="E1797" s="2">
        <v>2338</v>
      </c>
      <c r="F1797" s="2">
        <f>SUM(D1797-D1767)</f>
        <v>2049</v>
      </c>
      <c r="G1797" s="2">
        <f t="shared" si="87"/>
        <v>48</v>
      </c>
      <c r="H1797" s="2">
        <f t="shared" si="88"/>
        <v>56253</v>
      </c>
      <c r="I1797" s="2">
        <v>1944848</v>
      </c>
    </row>
    <row r="1798" spans="1:9" x14ac:dyDescent="0.2">
      <c r="B1798" s="3"/>
      <c r="C1798" s="3" t="s">
        <v>26</v>
      </c>
      <c r="D1798" s="2">
        <v>7387</v>
      </c>
      <c r="E1798" s="2">
        <v>312</v>
      </c>
      <c r="F1798" s="2">
        <f t="shared" ref="F1798:F1811" si="89">SUM(D1798-D1768)</f>
        <v>145</v>
      </c>
      <c r="G1798" s="2">
        <f t="shared" si="87"/>
        <v>0</v>
      </c>
      <c r="H1798" s="2">
        <f t="shared" si="88"/>
        <v>0</v>
      </c>
    </row>
    <row r="1799" spans="1:9" x14ac:dyDescent="0.2">
      <c r="B1799" s="3"/>
      <c r="C1799" s="3" t="s">
        <v>27</v>
      </c>
      <c r="D1799" s="2">
        <v>7492</v>
      </c>
      <c r="E1799" s="2">
        <v>339</v>
      </c>
      <c r="F1799" s="2">
        <f t="shared" si="89"/>
        <v>116</v>
      </c>
      <c r="G1799" s="2">
        <f t="shared" si="87"/>
        <v>0</v>
      </c>
      <c r="H1799" s="2">
        <f t="shared" si="88"/>
        <v>0</v>
      </c>
    </row>
    <row r="1800" spans="1:9" x14ac:dyDescent="0.2">
      <c r="C1800" s="3" t="s">
        <v>42</v>
      </c>
      <c r="D1800" s="2">
        <v>2741</v>
      </c>
      <c r="E1800" s="2">
        <v>141</v>
      </c>
      <c r="F1800" s="2">
        <f t="shared" si="89"/>
        <v>34</v>
      </c>
      <c r="G1800" s="2">
        <f t="shared" si="87"/>
        <v>0</v>
      </c>
      <c r="H1800" s="2">
        <f t="shared" si="88"/>
        <v>0</v>
      </c>
    </row>
    <row r="1801" spans="1:9" x14ac:dyDescent="0.2">
      <c r="C1801" s="3" t="s">
        <v>43</v>
      </c>
      <c r="D1801" s="2">
        <v>6354</v>
      </c>
      <c r="E1801" s="2">
        <v>146</v>
      </c>
      <c r="F1801" s="2">
        <f t="shared" si="89"/>
        <v>178</v>
      </c>
      <c r="G1801" s="2">
        <f t="shared" si="87"/>
        <v>1</v>
      </c>
      <c r="H1801" s="2">
        <f t="shared" si="88"/>
        <v>0</v>
      </c>
    </row>
    <row r="1802" spans="1:9" x14ac:dyDescent="0.2">
      <c r="A1802" s="1">
        <v>43982</v>
      </c>
      <c r="B1802" s="3" t="s">
        <v>5</v>
      </c>
      <c r="C1802" s="3" t="s">
        <v>6</v>
      </c>
      <c r="D1802" s="2">
        <v>61975</v>
      </c>
      <c r="E1802" s="2">
        <v>3929</v>
      </c>
      <c r="F1802" s="2">
        <f t="shared" si="89"/>
        <v>148</v>
      </c>
      <c r="G1802" s="2">
        <f t="shared" si="87"/>
        <v>9</v>
      </c>
      <c r="H1802" s="2">
        <f t="shared" si="88"/>
        <v>58444</v>
      </c>
      <c r="I1802" s="2">
        <v>2063825</v>
      </c>
    </row>
    <row r="1803" spans="1:9" x14ac:dyDescent="0.2">
      <c r="B1803" s="3"/>
      <c r="C1803" s="3" t="s">
        <v>7</v>
      </c>
      <c r="D1803" s="2">
        <v>55900</v>
      </c>
      <c r="E1803" s="2">
        <v>4416</v>
      </c>
      <c r="F1803" s="2">
        <f t="shared" si="89"/>
        <v>173</v>
      </c>
      <c r="G1803" s="2">
        <f t="shared" si="87"/>
        <v>3</v>
      </c>
      <c r="H1803" s="2">
        <f t="shared" si="88"/>
        <v>0</v>
      </c>
    </row>
    <row r="1804" spans="1:9" x14ac:dyDescent="0.2">
      <c r="B1804" s="3"/>
      <c r="C1804" s="3" t="s">
        <v>8</v>
      </c>
      <c r="D1804" s="2">
        <v>40396</v>
      </c>
      <c r="E1804" s="2">
        <v>2615</v>
      </c>
      <c r="F1804" s="2">
        <f t="shared" si="89"/>
        <v>89</v>
      </c>
      <c r="G1804" s="2">
        <f t="shared" si="87"/>
        <v>0</v>
      </c>
      <c r="H1804" s="2">
        <f t="shared" si="88"/>
        <v>0</v>
      </c>
    </row>
    <row r="1805" spans="1:9" x14ac:dyDescent="0.2">
      <c r="B1805" s="3"/>
      <c r="C1805" s="3" t="s">
        <v>35</v>
      </c>
      <c r="D1805" s="2">
        <v>45253</v>
      </c>
      <c r="E1805" s="2">
        <v>2960</v>
      </c>
      <c r="F1805" s="2">
        <f t="shared" si="89"/>
        <v>137</v>
      </c>
      <c r="G1805" s="2">
        <f t="shared" si="87"/>
        <v>4</v>
      </c>
      <c r="H1805" s="2">
        <f t="shared" si="88"/>
        <v>0</v>
      </c>
    </row>
    <row r="1806" spans="1:9" x14ac:dyDescent="0.2">
      <c r="B1806" s="3"/>
      <c r="C1806" s="3" t="s">
        <v>14</v>
      </c>
      <c r="D1806" s="2">
        <v>39643</v>
      </c>
      <c r="E1806" s="2">
        <v>1949</v>
      </c>
      <c r="F1806" s="2">
        <f t="shared" si="89"/>
        <v>111</v>
      </c>
      <c r="G1806" s="2">
        <f t="shared" si="87"/>
        <v>8</v>
      </c>
      <c r="H1806" s="2">
        <f t="shared" si="88"/>
        <v>0</v>
      </c>
    </row>
    <row r="1807" spans="1:9" x14ac:dyDescent="0.2">
      <c r="B1807" s="3" t="s">
        <v>9</v>
      </c>
      <c r="C1807" s="3" t="s">
        <v>10</v>
      </c>
      <c r="D1807" s="2">
        <v>18272</v>
      </c>
      <c r="E1807" s="2">
        <v>1579</v>
      </c>
      <c r="G1807" s="2">
        <f t="shared" si="87"/>
        <v>6</v>
      </c>
      <c r="H1807" s="2">
        <f t="shared" si="88"/>
        <v>837</v>
      </c>
      <c r="I1807" s="2">
        <v>746145</v>
      </c>
    </row>
    <row r="1808" spans="1:9" x14ac:dyDescent="0.2">
      <c r="B1808" s="3"/>
      <c r="C1808" s="3" t="s">
        <v>11</v>
      </c>
      <c r="D1808" s="2">
        <v>18419</v>
      </c>
      <c r="E1808" s="2">
        <v>1183</v>
      </c>
      <c r="F1808" s="2">
        <f t="shared" si="89"/>
        <v>76</v>
      </c>
      <c r="G1808" s="2">
        <f t="shared" si="87"/>
        <v>10</v>
      </c>
      <c r="H1808" s="2">
        <f t="shared" si="88"/>
        <v>0</v>
      </c>
    </row>
    <row r="1809" spans="2:12" x14ac:dyDescent="0.2">
      <c r="B1809" s="3"/>
      <c r="C1809" s="3" t="s">
        <v>12</v>
      </c>
      <c r="D1809" s="2">
        <v>17629</v>
      </c>
      <c r="E1809" s="2">
        <v>1664</v>
      </c>
      <c r="F1809" s="2">
        <f t="shared" si="89"/>
        <v>35</v>
      </c>
      <c r="G1809" s="2">
        <f t="shared" si="87"/>
        <v>7</v>
      </c>
      <c r="H1809" s="2">
        <f t="shared" si="88"/>
        <v>0</v>
      </c>
    </row>
    <row r="1810" spans="2:12" x14ac:dyDescent="0.2">
      <c r="B1810" s="3"/>
      <c r="C1810" s="3" t="s">
        <v>36</v>
      </c>
      <c r="D1810" s="2">
        <v>15821</v>
      </c>
      <c r="E1810" s="2">
        <v>1073</v>
      </c>
      <c r="H1810" s="2">
        <f t="shared" si="88"/>
        <v>0</v>
      </c>
    </row>
    <row r="1811" spans="2:12" x14ac:dyDescent="0.2">
      <c r="B1811" s="3"/>
      <c r="C1811" s="3" t="s">
        <v>37</v>
      </c>
      <c r="D1811" s="2">
        <v>16170</v>
      </c>
      <c r="E1811" s="2">
        <v>928</v>
      </c>
      <c r="F1811" s="2">
        <f t="shared" si="89"/>
        <v>71</v>
      </c>
      <c r="G1811" s="2">
        <f t="shared" si="87"/>
        <v>3</v>
      </c>
      <c r="H1811" s="2">
        <f t="shared" si="88"/>
        <v>0</v>
      </c>
    </row>
    <row r="1812" spans="2:12" x14ac:dyDescent="0.2">
      <c r="B1812" s="3" t="s">
        <v>13</v>
      </c>
      <c r="C1812" s="3" t="s">
        <v>14</v>
      </c>
      <c r="D1812" s="2">
        <v>17936</v>
      </c>
      <c r="E1812" s="2">
        <v>871</v>
      </c>
      <c r="F1812" s="2">
        <f>SUM(D1812-D1782)</f>
        <v>63</v>
      </c>
      <c r="G1812" s="2">
        <f t="shared" si="87"/>
        <v>3</v>
      </c>
      <c r="H1812" s="2">
        <f t="shared" si="88"/>
        <v>10334</v>
      </c>
      <c r="I1812" s="2">
        <v>592853</v>
      </c>
    </row>
    <row r="1813" spans="2:12" x14ac:dyDescent="0.2">
      <c r="B1813" s="3"/>
      <c r="C1813" s="3" t="s">
        <v>15</v>
      </c>
      <c r="D1813" s="2">
        <v>21287</v>
      </c>
      <c r="E1813" s="2">
        <v>1615</v>
      </c>
      <c r="F1813" s="2">
        <f t="shared" ref="F1813:F1816" si="90">SUM(D1813-D1783)</f>
        <v>163</v>
      </c>
      <c r="G1813" s="2">
        <f t="shared" si="87"/>
        <v>19</v>
      </c>
      <c r="H1813" s="2">
        <f t="shared" si="88"/>
        <v>0</v>
      </c>
    </row>
    <row r="1814" spans="2:12" x14ac:dyDescent="0.2">
      <c r="B1814" s="3"/>
      <c r="C1814" s="3" t="s">
        <v>12</v>
      </c>
      <c r="D1814" s="2">
        <v>14225</v>
      </c>
      <c r="E1814" s="2">
        <v>925</v>
      </c>
      <c r="F1814" s="2">
        <f t="shared" si="90"/>
        <v>126</v>
      </c>
      <c r="G1814" s="2">
        <f t="shared" si="87"/>
        <v>16</v>
      </c>
      <c r="H1814" s="2">
        <f t="shared" si="88"/>
        <v>0</v>
      </c>
    </row>
    <row r="1815" spans="2:12" x14ac:dyDescent="0.2">
      <c r="B1815" s="3"/>
      <c r="C1815" s="3" t="s">
        <v>33</v>
      </c>
      <c r="D1815" s="2">
        <v>8079</v>
      </c>
      <c r="E1815" s="2">
        <v>821</v>
      </c>
      <c r="F1815" s="2">
        <f t="shared" si="90"/>
        <v>63</v>
      </c>
      <c r="G1815" s="2">
        <f t="shared" si="87"/>
        <v>6</v>
      </c>
      <c r="H1815" s="2">
        <f t="shared" si="88"/>
        <v>0</v>
      </c>
      <c r="L1815" s="2"/>
    </row>
    <row r="1816" spans="2:12" x14ac:dyDescent="0.2">
      <c r="B1816" s="3"/>
      <c r="C1816" s="3" t="s">
        <v>34</v>
      </c>
      <c r="D1816" s="2">
        <v>11018</v>
      </c>
      <c r="E1816" s="2">
        <v>767</v>
      </c>
      <c r="F1816" s="2">
        <f t="shared" si="90"/>
        <v>117</v>
      </c>
      <c r="G1816" s="2">
        <f t="shared" si="87"/>
        <v>14</v>
      </c>
      <c r="H1816" s="2">
        <f t="shared" si="88"/>
        <v>0</v>
      </c>
      <c r="L1816" s="2"/>
    </row>
    <row r="1817" spans="2:12" x14ac:dyDescent="0.2">
      <c r="B1817" s="3" t="s">
        <v>23</v>
      </c>
      <c r="C1817" s="3" t="s">
        <v>24</v>
      </c>
      <c r="D1817" s="2">
        <f>SUM(11041+9374)</f>
        <v>20415</v>
      </c>
      <c r="E1817" s="2">
        <f>SUM(1087+1374)</f>
        <v>2461</v>
      </c>
      <c r="F1817" s="2">
        <f>SUM(D1817-D1787)</f>
        <v>161</v>
      </c>
      <c r="G1817" s="2">
        <f t="shared" si="87"/>
        <v>9</v>
      </c>
      <c r="H1817" s="2">
        <f t="shared" si="88"/>
        <v>15818</v>
      </c>
      <c r="I1817" s="2">
        <v>554630</v>
      </c>
      <c r="L1817" s="2"/>
    </row>
    <row r="1818" spans="2:12" x14ac:dyDescent="0.2">
      <c r="B1818" s="3"/>
      <c r="C1818" s="3" t="s">
        <v>25</v>
      </c>
      <c r="D1818" s="2">
        <v>8396</v>
      </c>
      <c r="E1818" s="2">
        <v>988</v>
      </c>
      <c r="F1818" s="2">
        <f t="shared" ref="F1818:F1826" si="91">SUM(D1818-D1788)</f>
        <v>77</v>
      </c>
      <c r="G1818" s="2">
        <f t="shared" si="87"/>
        <v>5</v>
      </c>
      <c r="H1818" s="2">
        <f t="shared" si="88"/>
        <v>0</v>
      </c>
      <c r="L1818" s="2"/>
    </row>
    <row r="1819" spans="2:12" x14ac:dyDescent="0.2">
      <c r="B1819" s="3"/>
      <c r="C1819" s="3" t="s">
        <v>28</v>
      </c>
      <c r="D1819" s="2">
        <v>6695</v>
      </c>
      <c r="E1819" s="2">
        <v>810</v>
      </c>
      <c r="F1819" s="2">
        <f t="shared" si="91"/>
        <v>71</v>
      </c>
      <c r="G1819" s="2">
        <f t="shared" si="87"/>
        <v>8</v>
      </c>
      <c r="H1819" s="2">
        <f t="shared" si="88"/>
        <v>0</v>
      </c>
      <c r="L1819" s="2"/>
    </row>
    <row r="1820" spans="2:12" x14ac:dyDescent="0.2">
      <c r="B1820" s="3"/>
      <c r="C1820" s="3" t="s">
        <v>38</v>
      </c>
      <c r="D1820" s="2">
        <v>2013</v>
      </c>
      <c r="E1820" s="2">
        <v>252</v>
      </c>
      <c r="F1820" s="2">
        <f t="shared" si="91"/>
        <v>9</v>
      </c>
      <c r="G1820" s="2">
        <f t="shared" si="87"/>
        <v>0</v>
      </c>
      <c r="H1820" s="2">
        <f t="shared" si="88"/>
        <v>0</v>
      </c>
      <c r="L1820" s="2"/>
    </row>
    <row r="1821" spans="2:12" x14ac:dyDescent="0.2">
      <c r="B1821" s="3"/>
      <c r="C1821" s="3" t="s">
        <v>39</v>
      </c>
      <c r="D1821" s="2">
        <v>1336</v>
      </c>
      <c r="E1821" s="2">
        <v>99</v>
      </c>
      <c r="F1821" s="2">
        <f t="shared" si="91"/>
        <v>5</v>
      </c>
      <c r="G1821" s="2">
        <f t="shared" si="87"/>
        <v>0</v>
      </c>
      <c r="H1821" s="2">
        <f t="shared" si="88"/>
        <v>0</v>
      </c>
      <c r="L1821" s="2"/>
    </row>
    <row r="1822" spans="2:12" x14ac:dyDescent="0.2">
      <c r="B1822" s="3" t="s">
        <v>16</v>
      </c>
      <c r="C1822" s="3" t="s">
        <v>17</v>
      </c>
      <c r="D1822" s="2">
        <v>18426</v>
      </c>
      <c r="E1822" s="2">
        <v>1316</v>
      </c>
      <c r="F1822" s="2">
        <f t="shared" si="91"/>
        <v>79</v>
      </c>
      <c r="G1822" s="2">
        <f t="shared" si="87"/>
        <v>8</v>
      </c>
      <c r="L1822" s="2"/>
    </row>
    <row r="1823" spans="2:12" x14ac:dyDescent="0.2">
      <c r="B1823" s="3"/>
      <c r="C1823" s="3" t="s">
        <v>18</v>
      </c>
      <c r="D1823" s="2">
        <v>7061</v>
      </c>
      <c r="E1823" s="2">
        <v>684</v>
      </c>
      <c r="F1823" s="2">
        <f t="shared" si="91"/>
        <v>55</v>
      </c>
      <c r="G1823" s="2">
        <f t="shared" si="87"/>
        <v>2</v>
      </c>
      <c r="H1823" s="2">
        <f t="shared" si="88"/>
        <v>0</v>
      </c>
      <c r="L1823" s="2"/>
    </row>
    <row r="1824" spans="2:12" x14ac:dyDescent="0.2">
      <c r="B1824" s="3"/>
      <c r="C1824" s="3" t="s">
        <v>19</v>
      </c>
      <c r="D1824" s="2">
        <v>6461</v>
      </c>
      <c r="E1824" s="2">
        <v>558</v>
      </c>
      <c r="F1824" s="2">
        <f t="shared" si="91"/>
        <v>41</v>
      </c>
      <c r="G1824" s="2">
        <f t="shared" si="87"/>
        <v>0</v>
      </c>
      <c r="H1824" s="2">
        <f t="shared" si="88"/>
        <v>0</v>
      </c>
      <c r="L1824" s="2"/>
    </row>
    <row r="1825" spans="1:12" x14ac:dyDescent="0.2">
      <c r="B1825" s="3"/>
      <c r="C1825" s="3" t="s">
        <v>40</v>
      </c>
      <c r="D1825" s="2">
        <v>3765</v>
      </c>
      <c r="E1825" s="2">
        <v>228</v>
      </c>
      <c r="F1825" s="2">
        <f t="shared" si="91"/>
        <v>18</v>
      </c>
      <c r="G1825" s="2">
        <f t="shared" ref="G1825:G1888" si="92">SUM(E1825-E1795)</f>
        <v>0</v>
      </c>
      <c r="H1825" s="2">
        <f t="shared" si="88"/>
        <v>0</v>
      </c>
      <c r="L1825" s="2"/>
    </row>
    <row r="1826" spans="1:12" x14ac:dyDescent="0.2">
      <c r="B1826" s="3"/>
      <c r="C1826" s="3" t="s">
        <v>41</v>
      </c>
      <c r="D1826" s="2">
        <v>4061</v>
      </c>
      <c r="E1826" s="2">
        <v>317</v>
      </c>
      <c r="F1826" s="2">
        <f t="shared" si="91"/>
        <v>59</v>
      </c>
      <c r="G1826" s="2">
        <f t="shared" si="92"/>
        <v>1</v>
      </c>
      <c r="H1826" s="2">
        <f t="shared" si="88"/>
        <v>0</v>
      </c>
      <c r="L1826" s="2"/>
    </row>
    <row r="1827" spans="1:12" x14ac:dyDescent="0.2">
      <c r="B1827" s="3" t="s">
        <v>20</v>
      </c>
      <c r="C1827" s="3" t="s">
        <v>22</v>
      </c>
      <c r="D1827" s="2">
        <v>54925</v>
      </c>
      <c r="E1827" s="2">
        <v>2362</v>
      </c>
      <c r="F1827" s="2">
        <f>SUM(D1827-D1797)</f>
        <v>1298</v>
      </c>
      <c r="G1827" s="2">
        <f t="shared" si="92"/>
        <v>24</v>
      </c>
      <c r="H1827" s="2">
        <f>SUM(I1827-I1797)</f>
        <v>67735</v>
      </c>
      <c r="I1827" s="2">
        <v>2012583</v>
      </c>
      <c r="L1827" s="2"/>
    </row>
    <row r="1828" spans="1:12" x14ac:dyDescent="0.2">
      <c r="B1828" s="3"/>
      <c r="C1828" s="3" t="s">
        <v>26</v>
      </c>
      <c r="D1828" s="2">
        <v>7483</v>
      </c>
      <c r="E1828" s="2">
        <v>312</v>
      </c>
      <c r="F1828" s="2">
        <f t="shared" ref="F1828:F1886" si="93">SUM(D1828-D1798)</f>
        <v>96</v>
      </c>
      <c r="G1828" s="2">
        <f t="shared" si="92"/>
        <v>0</v>
      </c>
      <c r="H1828" s="2">
        <f t="shared" ref="H1828:H1891" si="94">SUM(I1828-I1798)</f>
        <v>0</v>
      </c>
      <c r="L1828" s="2"/>
    </row>
    <row r="1829" spans="1:12" x14ac:dyDescent="0.2">
      <c r="B1829" s="3"/>
      <c r="C1829" s="3" t="s">
        <v>27</v>
      </c>
      <c r="D1829" s="2">
        <v>7704</v>
      </c>
      <c r="E1829" s="2">
        <v>344</v>
      </c>
      <c r="F1829" s="2">
        <f t="shared" si="93"/>
        <v>212</v>
      </c>
      <c r="G1829" s="2">
        <f t="shared" si="92"/>
        <v>5</v>
      </c>
      <c r="H1829" s="2">
        <f t="shared" si="94"/>
        <v>0</v>
      </c>
      <c r="L1829" s="2"/>
    </row>
    <row r="1830" spans="1:12" x14ac:dyDescent="0.2">
      <c r="C1830" s="3" t="s">
        <v>42</v>
      </c>
      <c r="D1830" s="2">
        <v>2785</v>
      </c>
      <c r="E1830" s="2">
        <v>144</v>
      </c>
      <c r="F1830" s="2">
        <f t="shared" si="93"/>
        <v>44</v>
      </c>
      <c r="G1830" s="2">
        <f t="shared" si="92"/>
        <v>3</v>
      </c>
      <c r="H1830" s="2">
        <f t="shared" si="94"/>
        <v>0</v>
      </c>
      <c r="L1830" s="2"/>
    </row>
    <row r="1831" spans="1:12" x14ac:dyDescent="0.2">
      <c r="C1831" s="3" t="s">
        <v>43</v>
      </c>
      <c r="D1831" s="2">
        <v>6532</v>
      </c>
      <c r="E1831" s="2">
        <v>147</v>
      </c>
      <c r="F1831" s="2">
        <f t="shared" si="93"/>
        <v>178</v>
      </c>
      <c r="G1831" s="2">
        <f t="shared" si="92"/>
        <v>1</v>
      </c>
      <c r="H1831" s="2">
        <f t="shared" si="94"/>
        <v>0</v>
      </c>
      <c r="L1831" s="2"/>
    </row>
    <row r="1832" spans="1:12" x14ac:dyDescent="0.2">
      <c r="A1832" s="1">
        <v>43983</v>
      </c>
      <c r="B1832" s="3" t="s">
        <v>5</v>
      </c>
      <c r="C1832" s="3" t="s">
        <v>6</v>
      </c>
      <c r="D1832" s="2">
        <v>62094</v>
      </c>
      <c r="E1832" s="2">
        <v>3936</v>
      </c>
      <c r="F1832" s="2">
        <f t="shared" si="93"/>
        <v>119</v>
      </c>
      <c r="G1832" s="2">
        <f t="shared" si="92"/>
        <v>7</v>
      </c>
      <c r="H1832" s="2">
        <f t="shared" si="94"/>
        <v>49952</v>
      </c>
      <c r="I1832" s="2">
        <v>2113777</v>
      </c>
      <c r="L1832" s="2"/>
    </row>
    <row r="1833" spans="1:12" x14ac:dyDescent="0.2">
      <c r="B1833" s="3"/>
      <c r="C1833" s="3" t="s">
        <v>7</v>
      </c>
      <c r="D1833" s="2">
        <v>56053</v>
      </c>
      <c r="E1833" s="2">
        <v>4422</v>
      </c>
      <c r="F1833" s="2">
        <f t="shared" si="93"/>
        <v>153</v>
      </c>
      <c r="G1833" s="2">
        <f t="shared" si="92"/>
        <v>6</v>
      </c>
      <c r="H1833" s="2">
        <f t="shared" si="94"/>
        <v>0</v>
      </c>
      <c r="L1833" s="2"/>
    </row>
    <row r="1834" spans="1:12" x14ac:dyDescent="0.2">
      <c r="B1834" s="3"/>
      <c r="C1834" s="3" t="s">
        <v>8</v>
      </c>
      <c r="D1834" s="2">
        <v>40479</v>
      </c>
      <c r="E1834" s="2">
        <v>2619</v>
      </c>
      <c r="F1834" s="2">
        <f t="shared" si="93"/>
        <v>83</v>
      </c>
      <c r="G1834" s="2">
        <f t="shared" si="92"/>
        <v>4</v>
      </c>
      <c r="H1834" s="2">
        <f t="shared" si="94"/>
        <v>0</v>
      </c>
      <c r="L1834" s="2"/>
    </row>
    <row r="1835" spans="1:12" x14ac:dyDescent="0.2">
      <c r="B1835" s="3"/>
      <c r="C1835" s="3" t="s">
        <v>35</v>
      </c>
      <c r="D1835" s="2">
        <v>45359</v>
      </c>
      <c r="E1835" s="2">
        <v>2966</v>
      </c>
      <c r="F1835" s="2">
        <f t="shared" si="93"/>
        <v>106</v>
      </c>
      <c r="G1835" s="2">
        <f t="shared" si="92"/>
        <v>6</v>
      </c>
      <c r="H1835" s="2">
        <f t="shared" si="94"/>
        <v>0</v>
      </c>
      <c r="L1835" s="2"/>
    </row>
    <row r="1836" spans="1:12" x14ac:dyDescent="0.2">
      <c r="B1836" s="3"/>
      <c r="C1836" s="3" t="s">
        <v>14</v>
      </c>
      <c r="D1836" s="2">
        <v>39705</v>
      </c>
      <c r="E1836" s="2">
        <v>1954</v>
      </c>
      <c r="F1836" s="2">
        <f t="shared" si="93"/>
        <v>62</v>
      </c>
      <c r="G1836" s="2">
        <f t="shared" si="92"/>
        <v>5</v>
      </c>
      <c r="H1836" s="2">
        <f t="shared" si="94"/>
        <v>0</v>
      </c>
      <c r="L1836" s="2"/>
    </row>
    <row r="1837" spans="1:12" x14ac:dyDescent="0.2">
      <c r="B1837" s="3" t="s">
        <v>9</v>
      </c>
      <c r="C1837" s="3" t="s">
        <v>10</v>
      </c>
      <c r="D1837" s="2">
        <v>18302</v>
      </c>
      <c r="E1837" s="2">
        <v>1580</v>
      </c>
      <c r="F1837" s="2">
        <f t="shared" si="93"/>
        <v>30</v>
      </c>
      <c r="G1837" s="2">
        <f t="shared" si="92"/>
        <v>1</v>
      </c>
      <c r="H1837" s="2">
        <f t="shared" si="94"/>
        <v>49455</v>
      </c>
      <c r="I1837" s="2">
        <v>795600</v>
      </c>
      <c r="L1837" s="2"/>
    </row>
    <row r="1838" spans="1:12" x14ac:dyDescent="0.2">
      <c r="B1838" s="3"/>
      <c r="C1838" s="3" t="s">
        <v>11</v>
      </c>
      <c r="D1838" s="2">
        <v>18428</v>
      </c>
      <c r="F1838" s="2">
        <f t="shared" si="93"/>
        <v>9</v>
      </c>
      <c r="H1838" s="2">
        <f t="shared" si="94"/>
        <v>0</v>
      </c>
      <c r="L1838" s="2"/>
    </row>
    <row r="1839" spans="1:12" x14ac:dyDescent="0.2">
      <c r="B1839" s="3"/>
      <c r="C1839" s="3" t="s">
        <v>12</v>
      </c>
      <c r="D1839" s="2">
        <v>17695</v>
      </c>
      <c r="E1839" s="2">
        <v>1667</v>
      </c>
      <c r="F1839" s="2">
        <f t="shared" si="93"/>
        <v>66</v>
      </c>
      <c r="G1839" s="2">
        <f t="shared" si="92"/>
        <v>3</v>
      </c>
      <c r="H1839" s="2">
        <f t="shared" si="94"/>
        <v>0</v>
      </c>
      <c r="L1839" s="2"/>
    </row>
    <row r="1840" spans="1:12" x14ac:dyDescent="0.2">
      <c r="B1840" s="3"/>
      <c r="C1840" s="3" t="s">
        <v>36</v>
      </c>
      <c r="D1840" s="2">
        <v>15858</v>
      </c>
      <c r="E1840" s="2">
        <v>1074</v>
      </c>
      <c r="F1840" s="2">
        <f t="shared" si="93"/>
        <v>37</v>
      </c>
      <c r="G1840" s="2">
        <f t="shared" si="92"/>
        <v>1</v>
      </c>
      <c r="H1840" s="2">
        <f t="shared" si="94"/>
        <v>0</v>
      </c>
      <c r="L1840" s="2"/>
    </row>
    <row r="1841" spans="2:9" x14ac:dyDescent="0.2">
      <c r="B1841" s="3"/>
      <c r="C1841" s="3" t="s">
        <v>37</v>
      </c>
      <c r="D1841" s="2">
        <v>16200</v>
      </c>
      <c r="E1841" s="2">
        <v>929</v>
      </c>
      <c r="F1841" s="2">
        <f t="shared" si="93"/>
        <v>30</v>
      </c>
      <c r="G1841" s="2">
        <f t="shared" si="92"/>
        <v>1</v>
      </c>
      <c r="H1841" s="2">
        <f t="shared" si="94"/>
        <v>0</v>
      </c>
    </row>
    <row r="1842" spans="2:9" x14ac:dyDescent="0.2">
      <c r="B1842" s="3" t="s">
        <v>13</v>
      </c>
      <c r="C1842" s="3" t="s">
        <v>14</v>
      </c>
      <c r="D1842" s="2">
        <v>18581</v>
      </c>
      <c r="E1842" s="2">
        <v>896</v>
      </c>
      <c r="F1842" s="2">
        <f t="shared" si="93"/>
        <v>645</v>
      </c>
      <c r="G1842" s="2">
        <f t="shared" si="92"/>
        <v>25</v>
      </c>
      <c r="H1842" s="2">
        <f t="shared" si="94"/>
        <v>7066</v>
      </c>
      <c r="I1842" s="2">
        <v>599919</v>
      </c>
    </row>
    <row r="1843" spans="2:9" x14ac:dyDescent="0.2">
      <c r="B1843" s="3"/>
      <c r="C1843" s="3" t="s">
        <v>15</v>
      </c>
      <c r="D1843" s="2">
        <v>22224</v>
      </c>
      <c r="E1843" s="2">
        <v>1650</v>
      </c>
      <c r="F1843" s="2">
        <f t="shared" si="93"/>
        <v>937</v>
      </c>
      <c r="G1843" s="2">
        <f t="shared" si="92"/>
        <v>35</v>
      </c>
      <c r="H1843" s="2">
        <f t="shared" si="94"/>
        <v>0</v>
      </c>
    </row>
    <row r="1844" spans="2:9" x14ac:dyDescent="0.2">
      <c r="B1844" s="3"/>
      <c r="C1844" s="3" t="s">
        <v>12</v>
      </c>
      <c r="D1844" s="2">
        <v>14721</v>
      </c>
      <c r="E1844" s="2">
        <v>968</v>
      </c>
      <c r="F1844" s="2">
        <f t="shared" si="93"/>
        <v>496</v>
      </c>
      <c r="G1844" s="2">
        <f t="shared" si="92"/>
        <v>43</v>
      </c>
      <c r="H1844" s="2">
        <f t="shared" si="94"/>
        <v>0</v>
      </c>
    </row>
    <row r="1845" spans="2:9" x14ac:dyDescent="0.2">
      <c r="B1845" s="3"/>
      <c r="C1845" s="3" t="s">
        <v>33</v>
      </c>
      <c r="D1845" s="2">
        <v>8586</v>
      </c>
      <c r="E1845" s="2">
        <v>841</v>
      </c>
      <c r="F1845" s="2">
        <f t="shared" si="93"/>
        <v>507</v>
      </c>
      <c r="G1845" s="2">
        <f t="shared" si="92"/>
        <v>20</v>
      </c>
      <c r="H1845" s="2">
        <f t="shared" si="94"/>
        <v>0</v>
      </c>
    </row>
    <row r="1846" spans="2:9" x14ac:dyDescent="0.2">
      <c r="B1846" s="3"/>
      <c r="C1846" s="3" t="s">
        <v>34</v>
      </c>
      <c r="D1846" s="2">
        <v>11352</v>
      </c>
      <c r="E1846" s="2">
        <v>779</v>
      </c>
      <c r="F1846" s="2">
        <f t="shared" si="93"/>
        <v>334</v>
      </c>
      <c r="G1846" s="2">
        <f t="shared" si="92"/>
        <v>12</v>
      </c>
      <c r="H1846" s="2">
        <f t="shared" si="94"/>
        <v>0</v>
      </c>
    </row>
    <row r="1847" spans="2:9" x14ac:dyDescent="0.2">
      <c r="B1847" s="3" t="s">
        <v>23</v>
      </c>
      <c r="C1847" s="3" t="s">
        <v>24</v>
      </c>
      <c r="D1847" s="2">
        <v>20446</v>
      </c>
      <c r="E1847" s="2">
        <v>2463</v>
      </c>
      <c r="F1847" s="2">
        <f t="shared" si="93"/>
        <v>31</v>
      </c>
      <c r="G1847" s="2">
        <f t="shared" si="92"/>
        <v>2</v>
      </c>
      <c r="H1847" s="2">
        <f t="shared" si="94"/>
        <v>13393</v>
      </c>
      <c r="I1847" s="2">
        <v>568023</v>
      </c>
    </row>
    <row r="1848" spans="2:9" x14ac:dyDescent="0.2">
      <c r="B1848" s="3"/>
      <c r="C1848" s="3" t="s">
        <v>25</v>
      </c>
      <c r="D1848" s="2">
        <v>8407</v>
      </c>
      <c r="E1848" s="2">
        <v>992</v>
      </c>
      <c r="F1848" s="2">
        <f t="shared" si="93"/>
        <v>11</v>
      </c>
      <c r="G1848" s="2">
        <f t="shared" si="92"/>
        <v>4</v>
      </c>
      <c r="H1848" s="2">
        <f t="shared" si="94"/>
        <v>0</v>
      </c>
    </row>
    <row r="1849" spans="2:9" x14ac:dyDescent="0.2">
      <c r="B1849" s="3"/>
      <c r="C1849" s="3" t="s">
        <v>28</v>
      </c>
      <c r="D1849" s="2">
        <v>6707</v>
      </c>
      <c r="E1849" s="2">
        <v>814</v>
      </c>
      <c r="F1849" s="2">
        <f t="shared" si="93"/>
        <v>12</v>
      </c>
      <c r="G1849" s="2">
        <f t="shared" si="92"/>
        <v>4</v>
      </c>
      <c r="H1849" s="2">
        <f t="shared" si="94"/>
        <v>0</v>
      </c>
    </row>
    <row r="1850" spans="2:9" x14ac:dyDescent="0.2">
      <c r="B1850" s="3"/>
      <c r="C1850" s="3" t="s">
        <v>38</v>
      </c>
      <c r="D1850" s="2">
        <v>2015</v>
      </c>
      <c r="E1850" s="2">
        <v>252</v>
      </c>
      <c r="F1850" s="2">
        <f t="shared" si="93"/>
        <v>2</v>
      </c>
      <c r="G1850" s="2">
        <f t="shared" si="92"/>
        <v>0</v>
      </c>
      <c r="H1850" s="2">
        <f t="shared" si="94"/>
        <v>0</v>
      </c>
    </row>
    <row r="1851" spans="2:9" x14ac:dyDescent="0.2">
      <c r="B1851" s="3"/>
      <c r="C1851" s="3" t="s">
        <v>39</v>
      </c>
      <c r="D1851" s="2">
        <v>1337</v>
      </c>
      <c r="E1851" s="2">
        <v>99</v>
      </c>
      <c r="F1851" s="2">
        <f t="shared" si="93"/>
        <v>1</v>
      </c>
      <c r="G1851" s="2">
        <f t="shared" si="92"/>
        <v>0</v>
      </c>
      <c r="H1851" s="2">
        <f t="shared" si="94"/>
        <v>0</v>
      </c>
    </row>
    <row r="1852" spans="2:9" x14ac:dyDescent="0.2">
      <c r="B1852" s="3" t="s">
        <v>16</v>
      </c>
      <c r="C1852" s="3" t="s">
        <v>17</v>
      </c>
      <c r="D1852" s="2">
        <v>18517</v>
      </c>
      <c r="E1852" s="2">
        <v>1320</v>
      </c>
      <c r="F1852" s="2">
        <f t="shared" si="93"/>
        <v>91</v>
      </c>
      <c r="G1852" s="2">
        <f t="shared" si="92"/>
        <v>4</v>
      </c>
      <c r="H1852" s="2">
        <f t="shared" si="94"/>
        <v>461713</v>
      </c>
      <c r="I1852" s="2">
        <f>SUM(72282+389431)</f>
        <v>461713</v>
      </c>
    </row>
    <row r="1853" spans="2:9" x14ac:dyDescent="0.2">
      <c r="B1853" s="3"/>
      <c r="C1853" s="3" t="s">
        <v>18</v>
      </c>
      <c r="D1853" s="2">
        <v>7093</v>
      </c>
      <c r="E1853" s="2">
        <v>693</v>
      </c>
      <c r="F1853" s="2">
        <f t="shared" si="93"/>
        <v>32</v>
      </c>
      <c r="G1853" s="2">
        <f t="shared" si="92"/>
        <v>9</v>
      </c>
      <c r="H1853" s="2">
        <f t="shared" si="94"/>
        <v>0</v>
      </c>
    </row>
    <row r="1854" spans="2:9" x14ac:dyDescent="0.2">
      <c r="B1854" s="3"/>
      <c r="C1854" s="3" t="s">
        <v>19</v>
      </c>
      <c r="D1854" s="2">
        <v>6481</v>
      </c>
      <c r="E1854" s="2">
        <v>559</v>
      </c>
      <c r="F1854" s="2">
        <f t="shared" si="93"/>
        <v>20</v>
      </c>
      <c r="G1854" s="2">
        <f t="shared" si="92"/>
        <v>1</v>
      </c>
      <c r="H1854" s="2">
        <f t="shared" si="94"/>
        <v>0</v>
      </c>
    </row>
    <row r="1855" spans="2:9" x14ac:dyDescent="0.2">
      <c r="B1855" s="3"/>
      <c r="C1855" s="3" t="s">
        <v>40</v>
      </c>
      <c r="D1855" s="2">
        <v>3770</v>
      </c>
      <c r="E1855" s="2">
        <v>228</v>
      </c>
      <c r="F1855" s="2">
        <f t="shared" si="93"/>
        <v>5</v>
      </c>
      <c r="G1855" s="2">
        <f t="shared" si="92"/>
        <v>0</v>
      </c>
      <c r="H1855" s="2">
        <f t="shared" si="94"/>
        <v>0</v>
      </c>
    </row>
    <row r="1856" spans="2:9" x14ac:dyDescent="0.2">
      <c r="B1856" s="3"/>
      <c r="C1856" s="3" t="s">
        <v>41</v>
      </c>
      <c r="D1856" s="2">
        <v>4074</v>
      </c>
      <c r="E1856" s="2">
        <v>317</v>
      </c>
      <c r="F1856" s="2">
        <f t="shared" si="93"/>
        <v>13</v>
      </c>
      <c r="G1856" s="2">
        <f t="shared" si="92"/>
        <v>0</v>
      </c>
      <c r="H1856" s="2">
        <f t="shared" si="94"/>
        <v>0</v>
      </c>
    </row>
    <row r="1857" spans="1:9" x14ac:dyDescent="0.2">
      <c r="B1857" s="3" t="s">
        <v>20</v>
      </c>
      <c r="C1857" s="3" t="s">
        <v>22</v>
      </c>
      <c r="D1857" s="2">
        <v>55899</v>
      </c>
      <c r="E1857" s="2">
        <v>2384</v>
      </c>
      <c r="F1857" s="2">
        <f t="shared" si="93"/>
        <v>974</v>
      </c>
      <c r="G1857" s="2">
        <f t="shared" si="92"/>
        <v>22</v>
      </c>
      <c r="H1857" s="2">
        <f t="shared" si="94"/>
        <v>59008</v>
      </c>
      <c r="I1857" s="2">
        <v>2071591</v>
      </c>
    </row>
    <row r="1858" spans="1:9" x14ac:dyDescent="0.2">
      <c r="B1858" s="3"/>
      <c r="C1858" s="3" t="s">
        <v>26</v>
      </c>
      <c r="D1858" s="2">
        <v>7556</v>
      </c>
      <c r="E1858" s="2">
        <v>312</v>
      </c>
      <c r="F1858" s="2">
        <f t="shared" si="93"/>
        <v>73</v>
      </c>
      <c r="G1858" s="2">
        <f t="shared" si="92"/>
        <v>0</v>
      </c>
      <c r="H1858" s="2">
        <f t="shared" si="94"/>
        <v>0</v>
      </c>
    </row>
    <row r="1859" spans="1:9" x14ac:dyDescent="0.2">
      <c r="B1859" s="3"/>
      <c r="C1859" s="3" t="s">
        <v>27</v>
      </c>
      <c r="D1859" s="2">
        <v>7921</v>
      </c>
      <c r="E1859" s="2">
        <v>344</v>
      </c>
      <c r="F1859" s="2">
        <f t="shared" si="93"/>
        <v>217</v>
      </c>
      <c r="G1859" s="2">
        <f t="shared" si="92"/>
        <v>0</v>
      </c>
      <c r="H1859" s="2">
        <f t="shared" si="94"/>
        <v>0</v>
      </c>
    </row>
    <row r="1860" spans="1:9" x14ac:dyDescent="0.2">
      <c r="C1860" s="3" t="s">
        <v>42</v>
      </c>
      <c r="D1860" s="2">
        <v>2797</v>
      </c>
      <c r="E1860" s="2">
        <v>144</v>
      </c>
      <c r="F1860" s="2">
        <f t="shared" si="93"/>
        <v>12</v>
      </c>
      <c r="G1860" s="2">
        <f t="shared" si="92"/>
        <v>0</v>
      </c>
      <c r="H1860" s="2">
        <f t="shared" si="94"/>
        <v>0</v>
      </c>
    </row>
    <row r="1861" spans="1:9" x14ac:dyDescent="0.2">
      <c r="C1861" s="3" t="s">
        <v>43</v>
      </c>
      <c r="D1861" s="2">
        <v>6640</v>
      </c>
      <c r="E1861" s="2">
        <v>147</v>
      </c>
      <c r="F1861" s="2">
        <f t="shared" si="93"/>
        <v>108</v>
      </c>
      <c r="G1861" s="2">
        <f t="shared" si="92"/>
        <v>0</v>
      </c>
      <c r="H1861" s="2">
        <f t="shared" si="94"/>
        <v>0</v>
      </c>
    </row>
    <row r="1862" spans="1:9" x14ac:dyDescent="0.2">
      <c r="A1862" s="1">
        <v>43984</v>
      </c>
      <c r="B1862" s="3" t="s">
        <v>5</v>
      </c>
      <c r="C1862" s="3" t="s">
        <v>6</v>
      </c>
      <c r="D1862" s="2">
        <v>62293</v>
      </c>
      <c r="E1862" s="2">
        <v>3942</v>
      </c>
      <c r="F1862" s="2">
        <f t="shared" si="93"/>
        <v>199</v>
      </c>
      <c r="G1862" s="2">
        <f t="shared" si="92"/>
        <v>6</v>
      </c>
      <c r="H1862" s="2">
        <f t="shared" si="94"/>
        <v>54054</v>
      </c>
      <c r="I1862" s="2">
        <v>2167831</v>
      </c>
    </row>
    <row r="1863" spans="1:9" x14ac:dyDescent="0.2">
      <c r="B1863" s="3"/>
      <c r="C1863" s="3" t="s">
        <v>7</v>
      </c>
      <c r="D1863" s="2">
        <v>56242</v>
      </c>
      <c r="E1863" s="2">
        <v>4427</v>
      </c>
      <c r="F1863" s="2">
        <f t="shared" si="93"/>
        <v>189</v>
      </c>
      <c r="G1863" s="2">
        <f t="shared" si="92"/>
        <v>5</v>
      </c>
      <c r="H1863" s="2">
        <f t="shared" si="94"/>
        <v>0</v>
      </c>
    </row>
    <row r="1864" spans="1:9" x14ac:dyDescent="0.2">
      <c r="B1864" s="3"/>
      <c r="C1864" s="3" t="s">
        <v>8</v>
      </c>
      <c r="D1864" s="2">
        <v>40572</v>
      </c>
      <c r="E1864" s="2">
        <v>2622</v>
      </c>
      <c r="F1864" s="2">
        <f t="shared" si="93"/>
        <v>93</v>
      </c>
      <c r="G1864" s="2">
        <f t="shared" si="92"/>
        <v>3</v>
      </c>
      <c r="H1864" s="2">
        <f t="shared" si="94"/>
        <v>0</v>
      </c>
    </row>
    <row r="1865" spans="1:9" x14ac:dyDescent="0.2">
      <c r="B1865" s="3"/>
      <c r="C1865" s="3" t="s">
        <v>35</v>
      </c>
      <c r="D1865" s="2">
        <v>45466</v>
      </c>
      <c r="E1865" s="2">
        <v>2970</v>
      </c>
      <c r="F1865" s="2">
        <f t="shared" si="93"/>
        <v>107</v>
      </c>
      <c r="G1865" s="2">
        <f t="shared" si="92"/>
        <v>4</v>
      </c>
      <c r="H1865" s="2">
        <f t="shared" si="94"/>
        <v>0</v>
      </c>
    </row>
    <row r="1866" spans="1:9" x14ac:dyDescent="0.2">
      <c r="B1866" s="3"/>
      <c r="C1866" s="3" t="s">
        <v>14</v>
      </c>
      <c r="D1866" s="2">
        <v>39980</v>
      </c>
      <c r="E1866" s="2">
        <v>1957</v>
      </c>
      <c r="F1866" s="2">
        <f t="shared" si="93"/>
        <v>275</v>
      </c>
      <c r="G1866" s="2">
        <f t="shared" si="92"/>
        <v>3</v>
      </c>
      <c r="H1866" s="2">
        <f t="shared" si="94"/>
        <v>0</v>
      </c>
    </row>
    <row r="1867" spans="1:9" x14ac:dyDescent="0.2">
      <c r="B1867" s="3" t="s">
        <v>9</v>
      </c>
      <c r="C1867" s="3" t="s">
        <v>10</v>
      </c>
      <c r="D1867" s="2">
        <v>18333</v>
      </c>
      <c r="E1867" s="2">
        <v>1584</v>
      </c>
      <c r="F1867" s="2">
        <f t="shared" si="93"/>
        <v>31</v>
      </c>
      <c r="G1867" s="2">
        <f t="shared" si="92"/>
        <v>4</v>
      </c>
      <c r="H1867" s="2">
        <f t="shared" si="94"/>
        <v>22077</v>
      </c>
      <c r="I1867" s="2">
        <v>817677</v>
      </c>
    </row>
    <row r="1868" spans="1:9" x14ac:dyDescent="0.2">
      <c r="B1868" s="3"/>
      <c r="C1868" s="3" t="s">
        <v>11</v>
      </c>
      <c r="D1868" s="2">
        <v>18455</v>
      </c>
      <c r="E1868" s="2">
        <v>1188</v>
      </c>
      <c r="F1868" s="2">
        <f t="shared" si="93"/>
        <v>27</v>
      </c>
      <c r="H1868" s="2">
        <f t="shared" si="94"/>
        <v>0</v>
      </c>
    </row>
    <row r="1869" spans="1:9" x14ac:dyDescent="0.2">
      <c r="B1869" s="3"/>
      <c r="C1869" s="3" t="s">
        <v>12</v>
      </c>
      <c r="D1869" s="2">
        <v>17752</v>
      </c>
      <c r="E1869" s="2">
        <v>1672</v>
      </c>
      <c r="F1869" s="2">
        <f t="shared" si="93"/>
        <v>57</v>
      </c>
      <c r="G1869" s="2">
        <f t="shared" si="92"/>
        <v>5</v>
      </c>
      <c r="H1869" s="2">
        <f t="shared" si="94"/>
        <v>0</v>
      </c>
    </row>
    <row r="1870" spans="1:9" x14ac:dyDescent="0.2">
      <c r="B1870" s="3"/>
      <c r="C1870" s="3" t="s">
        <v>36</v>
      </c>
      <c r="D1870" s="2">
        <v>15868</v>
      </c>
      <c r="E1870" s="2">
        <v>1078</v>
      </c>
      <c r="F1870" s="2">
        <f t="shared" si="93"/>
        <v>10</v>
      </c>
      <c r="G1870" s="2">
        <f t="shared" si="92"/>
        <v>4</v>
      </c>
      <c r="H1870" s="2">
        <f t="shared" si="94"/>
        <v>0</v>
      </c>
    </row>
    <row r="1871" spans="1:9" x14ac:dyDescent="0.2">
      <c r="B1871" s="3"/>
      <c r="C1871" s="3" t="s">
        <v>37</v>
      </c>
      <c r="D1871" s="2">
        <v>16234</v>
      </c>
      <c r="E1871" s="2">
        <v>931</v>
      </c>
      <c r="F1871" s="2">
        <f t="shared" si="93"/>
        <v>34</v>
      </c>
      <c r="G1871" s="2">
        <f t="shared" si="92"/>
        <v>2</v>
      </c>
      <c r="H1871" s="2">
        <f t="shared" si="94"/>
        <v>0</v>
      </c>
    </row>
    <row r="1872" spans="1:9" x14ac:dyDescent="0.2">
      <c r="B1872" s="3" t="s">
        <v>13</v>
      </c>
      <c r="C1872" s="3" t="s">
        <v>14</v>
      </c>
      <c r="D1872" s="2">
        <v>18636</v>
      </c>
      <c r="E1872" s="2">
        <v>902</v>
      </c>
      <c r="F1872" s="2">
        <f t="shared" si="93"/>
        <v>55</v>
      </c>
      <c r="G1872" s="2">
        <f t="shared" si="92"/>
        <v>6</v>
      </c>
      <c r="H1872" s="2">
        <f t="shared" si="94"/>
        <v>5852</v>
      </c>
      <c r="I1872" s="2">
        <v>605771</v>
      </c>
    </row>
    <row r="1873" spans="2:9" x14ac:dyDescent="0.2">
      <c r="B1873" s="3"/>
      <c r="C1873" s="3" t="s">
        <v>15</v>
      </c>
      <c r="D1873" s="2">
        <v>22296</v>
      </c>
      <c r="E1873" s="2">
        <v>1663</v>
      </c>
      <c r="F1873" s="2">
        <f t="shared" si="93"/>
        <v>72</v>
      </c>
      <c r="G1873" s="2">
        <f t="shared" si="92"/>
        <v>13</v>
      </c>
      <c r="H1873" s="2">
        <f t="shared" si="94"/>
        <v>0</v>
      </c>
    </row>
    <row r="1874" spans="2:9" x14ac:dyDescent="0.2">
      <c r="B1874" s="3"/>
      <c r="C1874" s="3" t="s">
        <v>12</v>
      </c>
      <c r="D1874" s="2">
        <v>14795</v>
      </c>
      <c r="E1874" s="2">
        <v>971</v>
      </c>
      <c r="F1874" s="2">
        <f t="shared" si="93"/>
        <v>74</v>
      </c>
      <c r="G1874" s="2">
        <f t="shared" si="92"/>
        <v>3</v>
      </c>
      <c r="H1874" s="2">
        <f t="shared" si="94"/>
        <v>0</v>
      </c>
    </row>
    <row r="1875" spans="2:9" x14ac:dyDescent="0.2">
      <c r="B1875" s="3"/>
      <c r="C1875" s="3" t="s">
        <v>33</v>
      </c>
      <c r="D1875" s="2">
        <v>8600</v>
      </c>
      <c r="E1875" s="2">
        <v>845</v>
      </c>
      <c r="F1875" s="2">
        <f t="shared" si="93"/>
        <v>14</v>
      </c>
      <c r="G1875" s="2">
        <f t="shared" si="92"/>
        <v>4</v>
      </c>
      <c r="H1875" s="2">
        <f t="shared" si="94"/>
        <v>0</v>
      </c>
    </row>
    <row r="1876" spans="2:9" x14ac:dyDescent="0.2">
      <c r="B1876" s="3"/>
      <c r="C1876" s="3" t="s">
        <v>34</v>
      </c>
      <c r="D1876" s="2">
        <v>11438</v>
      </c>
      <c r="E1876" s="2">
        <v>790</v>
      </c>
      <c r="F1876" s="2">
        <f t="shared" si="93"/>
        <v>86</v>
      </c>
      <c r="G1876" s="2">
        <f t="shared" si="92"/>
        <v>11</v>
      </c>
      <c r="H1876" s="2">
        <f t="shared" si="94"/>
        <v>0</v>
      </c>
    </row>
    <row r="1877" spans="2:9" x14ac:dyDescent="0.2">
      <c r="B1877" s="3" t="s">
        <v>23</v>
      </c>
      <c r="C1877" s="3" t="s">
        <v>24</v>
      </c>
      <c r="D1877" s="2">
        <v>20468</v>
      </c>
      <c r="E1877" s="2">
        <v>2475</v>
      </c>
      <c r="F1877" s="2">
        <f t="shared" si="93"/>
        <v>22</v>
      </c>
      <c r="G1877" s="2">
        <f t="shared" si="92"/>
        <v>12</v>
      </c>
      <c r="H1877" s="2">
        <f t="shared" si="94"/>
        <v>9245</v>
      </c>
      <c r="I1877" s="2">
        <v>577268</v>
      </c>
    </row>
    <row r="1878" spans="2:9" x14ac:dyDescent="0.2">
      <c r="B1878" s="3"/>
      <c r="C1878" s="3" t="s">
        <v>25</v>
      </c>
      <c r="D1878" s="2">
        <v>8412</v>
      </c>
      <c r="E1878" s="2">
        <v>999</v>
      </c>
      <c r="F1878" s="2">
        <f t="shared" si="93"/>
        <v>5</v>
      </c>
      <c r="G1878" s="2">
        <f t="shared" si="92"/>
        <v>7</v>
      </c>
      <c r="H1878" s="2">
        <f t="shared" si="94"/>
        <v>0</v>
      </c>
    </row>
    <row r="1879" spans="2:9" x14ac:dyDescent="0.2">
      <c r="B1879" s="3"/>
      <c r="C1879" s="3" t="s">
        <v>28</v>
      </c>
      <c r="D1879" s="2">
        <v>6720</v>
      </c>
      <c r="E1879" s="2">
        <v>818</v>
      </c>
      <c r="F1879" s="2">
        <f t="shared" si="93"/>
        <v>13</v>
      </c>
      <c r="G1879" s="2">
        <f t="shared" si="92"/>
        <v>4</v>
      </c>
      <c r="H1879" s="2">
        <f t="shared" si="94"/>
        <v>0</v>
      </c>
    </row>
    <row r="1880" spans="2:9" x14ac:dyDescent="0.2">
      <c r="B1880" s="3"/>
      <c r="C1880" s="3" t="s">
        <v>38</v>
      </c>
      <c r="D1880" s="2">
        <v>2021</v>
      </c>
      <c r="E1880" s="2">
        <v>252</v>
      </c>
      <c r="F1880" s="2">
        <f t="shared" si="93"/>
        <v>6</v>
      </c>
      <c r="G1880" s="2">
        <f t="shared" si="92"/>
        <v>0</v>
      </c>
      <c r="H1880" s="2">
        <f t="shared" si="94"/>
        <v>0</v>
      </c>
    </row>
    <row r="1881" spans="2:9" x14ac:dyDescent="0.2">
      <c r="B1881" s="3"/>
      <c r="C1881" s="3" t="s">
        <v>39</v>
      </c>
      <c r="D1881" s="2">
        <v>1340</v>
      </c>
      <c r="E1881" s="2">
        <v>99</v>
      </c>
      <c r="F1881" s="2">
        <f t="shared" si="93"/>
        <v>3</v>
      </c>
      <c r="G1881" s="2">
        <f t="shared" si="92"/>
        <v>0</v>
      </c>
      <c r="H1881" s="2">
        <f t="shared" si="94"/>
        <v>0</v>
      </c>
    </row>
    <row r="1882" spans="2:9" x14ac:dyDescent="0.2">
      <c r="B1882" s="3" t="s">
        <v>16</v>
      </c>
      <c r="C1882" s="3" t="s">
        <v>17</v>
      </c>
      <c r="D1882" s="2">
        <v>18703</v>
      </c>
      <c r="E1882" s="2">
        <v>1346</v>
      </c>
      <c r="F1882" s="2">
        <f t="shared" si="93"/>
        <v>186</v>
      </c>
      <c r="G1882" s="2">
        <f t="shared" si="92"/>
        <v>26</v>
      </c>
      <c r="H1882" s="2">
        <f t="shared" si="94"/>
        <v>10542</v>
      </c>
      <c r="I1882" s="2">
        <f>SUM(72894+399361)</f>
        <v>472255</v>
      </c>
    </row>
    <row r="1883" spans="2:9" x14ac:dyDescent="0.2">
      <c r="B1883" s="3"/>
      <c r="C1883" s="3" t="s">
        <v>18</v>
      </c>
      <c r="D1883" s="2">
        <v>7172</v>
      </c>
      <c r="E1883" s="2">
        <v>699</v>
      </c>
      <c r="F1883" s="2">
        <f t="shared" si="93"/>
        <v>79</v>
      </c>
      <c r="G1883" s="2">
        <f t="shared" si="92"/>
        <v>6</v>
      </c>
      <c r="H1883" s="2">
        <f t="shared" si="94"/>
        <v>0</v>
      </c>
    </row>
    <row r="1884" spans="2:9" x14ac:dyDescent="0.2">
      <c r="B1884" s="3"/>
      <c r="C1884" s="3" t="s">
        <v>19</v>
      </c>
      <c r="D1884" s="2">
        <v>6496</v>
      </c>
      <c r="E1884" s="2">
        <v>567</v>
      </c>
      <c r="F1884" s="2">
        <f t="shared" si="93"/>
        <v>15</v>
      </c>
      <c r="G1884" s="2">
        <f t="shared" si="92"/>
        <v>8</v>
      </c>
      <c r="H1884" s="2">
        <f t="shared" si="94"/>
        <v>0</v>
      </c>
    </row>
    <row r="1885" spans="2:9" x14ac:dyDescent="0.2">
      <c r="B1885" s="3"/>
      <c r="C1885" s="3" t="s">
        <v>40</v>
      </c>
      <c r="D1885" s="2">
        <v>3780</v>
      </c>
      <c r="E1885" s="2">
        <v>235</v>
      </c>
      <c r="F1885" s="2">
        <f t="shared" si="93"/>
        <v>10</v>
      </c>
      <c r="G1885" s="2">
        <f t="shared" si="92"/>
        <v>7</v>
      </c>
      <c r="H1885" s="2">
        <f t="shared" si="94"/>
        <v>0</v>
      </c>
    </row>
    <row r="1886" spans="2:9" x14ac:dyDescent="0.2">
      <c r="B1886" s="3"/>
      <c r="C1886" s="3" t="s">
        <v>41</v>
      </c>
      <c r="D1886" s="2">
        <v>4107</v>
      </c>
      <c r="E1886" s="2">
        <v>321</v>
      </c>
      <c r="F1886" s="2">
        <f t="shared" si="93"/>
        <v>33</v>
      </c>
      <c r="G1886" s="2">
        <f t="shared" si="92"/>
        <v>4</v>
      </c>
      <c r="H1886" s="2">
        <f t="shared" si="94"/>
        <v>0</v>
      </c>
    </row>
    <row r="1887" spans="2:9" x14ac:dyDescent="0.2">
      <c r="B1887" s="3" t="s">
        <v>20</v>
      </c>
      <c r="C1887" s="3" t="s">
        <v>22</v>
      </c>
      <c r="D1887" s="2">
        <v>57144</v>
      </c>
      <c r="E1887" s="2">
        <v>2443</v>
      </c>
      <c r="F1887" s="2">
        <f>SUM(D1887-D1857)</f>
        <v>1245</v>
      </c>
      <c r="G1887" s="2">
        <f t="shared" si="92"/>
        <v>59</v>
      </c>
      <c r="H1887" s="2">
        <f t="shared" si="94"/>
        <v>59703</v>
      </c>
      <c r="I1887" s="2">
        <v>2131294</v>
      </c>
    </row>
    <row r="1888" spans="2:9" x14ac:dyDescent="0.2">
      <c r="B1888" s="3"/>
      <c r="C1888" s="3" t="s">
        <v>26</v>
      </c>
      <c r="D1888" s="2">
        <v>7676</v>
      </c>
      <c r="E1888" s="2">
        <v>312</v>
      </c>
      <c r="F1888" s="2">
        <f t="shared" ref="F1888:F1946" si="95">SUM(D1888-D1858)</f>
        <v>120</v>
      </c>
      <c r="G1888" s="2">
        <f t="shared" si="92"/>
        <v>0</v>
      </c>
      <c r="H1888" s="2">
        <f t="shared" si="94"/>
        <v>0</v>
      </c>
    </row>
    <row r="1889" spans="1:9" x14ac:dyDescent="0.2">
      <c r="B1889" s="3"/>
      <c r="C1889" s="3" t="s">
        <v>27</v>
      </c>
      <c r="D1889" s="2">
        <v>8091</v>
      </c>
      <c r="E1889" s="2">
        <v>344</v>
      </c>
      <c r="F1889" s="2">
        <f t="shared" si="95"/>
        <v>170</v>
      </c>
      <c r="G1889" s="2">
        <f t="shared" ref="G1889:G1952" si="96">SUM(E1889-E1859)</f>
        <v>0</v>
      </c>
      <c r="H1889" s="2">
        <f t="shared" si="94"/>
        <v>0</v>
      </c>
    </row>
    <row r="1890" spans="1:9" x14ac:dyDescent="0.2">
      <c r="C1890" s="3" t="s">
        <v>42</v>
      </c>
      <c r="D1890" s="2">
        <v>2819</v>
      </c>
      <c r="E1890" s="2">
        <v>144</v>
      </c>
      <c r="F1890" s="2">
        <f t="shared" si="95"/>
        <v>22</v>
      </c>
      <c r="G1890" s="2">
        <f t="shared" si="96"/>
        <v>0</v>
      </c>
      <c r="H1890" s="2">
        <f t="shared" si="94"/>
        <v>0</v>
      </c>
    </row>
    <row r="1891" spans="1:9" x14ac:dyDescent="0.2">
      <c r="C1891" s="3" t="s">
        <v>43</v>
      </c>
      <c r="D1891" s="2">
        <v>6790</v>
      </c>
      <c r="E1891" s="2">
        <v>150</v>
      </c>
      <c r="F1891" s="2">
        <f t="shared" si="95"/>
        <v>150</v>
      </c>
      <c r="G1891" s="2">
        <f t="shared" si="96"/>
        <v>3</v>
      </c>
      <c r="H1891" s="2">
        <f t="shared" si="94"/>
        <v>0</v>
      </c>
    </row>
    <row r="1892" spans="1:9" x14ac:dyDescent="0.2">
      <c r="A1892" s="1">
        <v>43985</v>
      </c>
      <c r="B1892" s="3" t="s">
        <v>5</v>
      </c>
      <c r="C1892" s="3" t="s">
        <v>6</v>
      </c>
      <c r="D1892" s="2">
        <v>62425</v>
      </c>
      <c r="E1892" s="2">
        <v>3946</v>
      </c>
      <c r="F1892" s="2">
        <f t="shared" si="95"/>
        <v>132</v>
      </c>
      <c r="G1892" s="2">
        <f t="shared" si="96"/>
        <v>4</v>
      </c>
      <c r="H1892" s="2">
        <f t="shared" ref="H1892:H1955" si="97">SUM(I1892-I1862)</f>
        <v>61642</v>
      </c>
      <c r="I1892" s="2">
        <v>2229473</v>
      </c>
    </row>
    <row r="1893" spans="1:9" x14ac:dyDescent="0.2">
      <c r="B1893" s="3"/>
      <c r="C1893" s="3" t="s">
        <v>7</v>
      </c>
      <c r="D1893" s="2">
        <v>56405</v>
      </c>
      <c r="E1893" s="2">
        <v>4436</v>
      </c>
      <c r="F1893" s="2">
        <f t="shared" si="95"/>
        <v>163</v>
      </c>
      <c r="G1893" s="2">
        <f t="shared" si="96"/>
        <v>9</v>
      </c>
      <c r="H1893" s="2">
        <f t="shared" si="97"/>
        <v>0</v>
      </c>
    </row>
    <row r="1894" spans="1:9" x14ac:dyDescent="0.2">
      <c r="B1894" s="3"/>
      <c r="C1894" s="3" t="s">
        <v>8</v>
      </c>
      <c r="D1894" s="2">
        <v>40644</v>
      </c>
      <c r="E1894" s="2">
        <v>2626</v>
      </c>
      <c r="F1894" s="2">
        <f t="shared" si="95"/>
        <v>72</v>
      </c>
      <c r="G1894" s="2">
        <f t="shared" si="96"/>
        <v>4</v>
      </c>
      <c r="H1894" s="2">
        <f t="shared" si="97"/>
        <v>0</v>
      </c>
    </row>
    <row r="1895" spans="1:9" x14ac:dyDescent="0.2">
      <c r="B1895" s="3"/>
      <c r="C1895" s="3" t="s">
        <v>35</v>
      </c>
      <c r="D1895" s="2">
        <v>45571</v>
      </c>
      <c r="E1895" s="2">
        <v>2973</v>
      </c>
      <c r="F1895" s="2">
        <f t="shared" si="95"/>
        <v>105</v>
      </c>
      <c r="G1895" s="2">
        <f t="shared" si="96"/>
        <v>3</v>
      </c>
      <c r="H1895" s="2">
        <f t="shared" si="97"/>
        <v>0</v>
      </c>
    </row>
    <row r="1896" spans="1:9" x14ac:dyDescent="0.2">
      <c r="B1896" s="3"/>
      <c r="C1896" s="3" t="s">
        <v>14</v>
      </c>
      <c r="D1896" s="2">
        <v>40062</v>
      </c>
      <c r="E1896" s="2">
        <v>1963</v>
      </c>
      <c r="F1896" s="2">
        <f t="shared" si="95"/>
        <v>82</v>
      </c>
      <c r="G1896" s="2">
        <f t="shared" si="96"/>
        <v>6</v>
      </c>
      <c r="H1896" s="2">
        <f t="shared" si="97"/>
        <v>0</v>
      </c>
    </row>
    <row r="1897" spans="1:9" x14ac:dyDescent="0.2">
      <c r="B1897" s="3" t="s">
        <v>9</v>
      </c>
      <c r="C1897" s="3" t="s">
        <v>10</v>
      </c>
      <c r="D1897" s="2">
        <v>18376</v>
      </c>
      <c r="E1897" s="2">
        <v>1595</v>
      </c>
      <c r="F1897" s="2">
        <f t="shared" si="95"/>
        <v>43</v>
      </c>
      <c r="G1897" s="2">
        <f t="shared" si="96"/>
        <v>11</v>
      </c>
      <c r="H1897" s="2">
        <f t="shared" si="97"/>
        <v>19743</v>
      </c>
      <c r="I1897" s="2">
        <v>837420</v>
      </c>
    </row>
    <row r="1898" spans="1:9" x14ac:dyDescent="0.2">
      <c r="B1898" s="3"/>
      <c r="C1898" s="3" t="s">
        <v>11</v>
      </c>
      <c r="D1898" s="2">
        <v>18460</v>
      </c>
      <c r="E1898" s="2">
        <v>1192</v>
      </c>
      <c r="F1898" s="2">
        <f t="shared" si="95"/>
        <v>5</v>
      </c>
      <c r="G1898" s="2">
        <f t="shared" si="96"/>
        <v>4</v>
      </c>
      <c r="H1898" s="2">
        <f t="shared" si="97"/>
        <v>0</v>
      </c>
    </row>
    <row r="1899" spans="1:9" x14ac:dyDescent="0.2">
      <c r="B1899" s="3"/>
      <c r="C1899" s="3" t="s">
        <v>12</v>
      </c>
      <c r="D1899" s="2">
        <v>17811</v>
      </c>
      <c r="E1899" s="2">
        <v>1687</v>
      </c>
      <c r="F1899" s="2">
        <f t="shared" si="95"/>
        <v>59</v>
      </c>
      <c r="G1899" s="2">
        <f t="shared" si="96"/>
        <v>15</v>
      </c>
      <c r="H1899" s="2">
        <f t="shared" si="97"/>
        <v>0</v>
      </c>
    </row>
    <row r="1900" spans="1:9" x14ac:dyDescent="0.2">
      <c r="B1900" s="3"/>
      <c r="C1900" s="3" t="s">
        <v>36</v>
      </c>
      <c r="D1900" s="2">
        <v>15911</v>
      </c>
      <c r="E1900" s="2">
        <v>1086</v>
      </c>
      <c r="F1900" s="2">
        <f t="shared" si="95"/>
        <v>43</v>
      </c>
      <c r="G1900" s="2">
        <f t="shared" si="96"/>
        <v>8</v>
      </c>
      <c r="H1900" s="2">
        <f t="shared" si="97"/>
        <v>0</v>
      </c>
    </row>
    <row r="1901" spans="1:9" x14ac:dyDescent="0.2">
      <c r="B1901" s="3"/>
      <c r="C1901" s="3" t="s">
        <v>37</v>
      </c>
      <c r="D1901" s="2">
        <v>16277</v>
      </c>
      <c r="E1901" s="2">
        <v>940</v>
      </c>
      <c r="F1901" s="2">
        <f t="shared" si="95"/>
        <v>43</v>
      </c>
      <c r="G1901" s="2">
        <f t="shared" si="96"/>
        <v>9</v>
      </c>
      <c r="H1901" s="2">
        <f t="shared" si="97"/>
        <v>0</v>
      </c>
    </row>
    <row r="1902" spans="1:9" x14ac:dyDescent="0.2">
      <c r="B1902" s="3" t="s">
        <v>13</v>
      </c>
      <c r="C1902" s="3" t="s">
        <v>14</v>
      </c>
      <c r="D1902" s="2">
        <v>18733</v>
      </c>
      <c r="E1902" s="2">
        <v>908</v>
      </c>
      <c r="F1902" s="2">
        <f t="shared" si="95"/>
        <v>97</v>
      </c>
      <c r="G1902" s="2">
        <f t="shared" si="96"/>
        <v>6</v>
      </c>
      <c r="H1902" s="2">
        <f t="shared" si="97"/>
        <v>8362</v>
      </c>
      <c r="I1902" s="2">
        <v>614133</v>
      </c>
    </row>
    <row r="1903" spans="1:9" x14ac:dyDescent="0.2">
      <c r="B1903" s="3"/>
      <c r="C1903" s="3" t="s">
        <v>15</v>
      </c>
      <c r="D1903" s="2">
        <v>22403</v>
      </c>
      <c r="E1903" s="2">
        <v>1676</v>
      </c>
      <c r="F1903" s="2">
        <f t="shared" si="95"/>
        <v>107</v>
      </c>
      <c r="G1903" s="2">
        <f t="shared" si="96"/>
        <v>13</v>
      </c>
      <c r="H1903" s="2">
        <f t="shared" si="97"/>
        <v>0</v>
      </c>
    </row>
    <row r="1904" spans="1:9" x14ac:dyDescent="0.2">
      <c r="B1904" s="3"/>
      <c r="C1904" s="3" t="s">
        <v>12</v>
      </c>
      <c r="D1904" s="2">
        <v>14857</v>
      </c>
      <c r="E1904" s="2">
        <v>979</v>
      </c>
      <c r="F1904" s="2">
        <f t="shared" si="95"/>
        <v>62</v>
      </c>
      <c r="G1904" s="2">
        <f t="shared" si="96"/>
        <v>8</v>
      </c>
      <c r="H1904" s="2">
        <f t="shared" si="97"/>
        <v>0</v>
      </c>
    </row>
    <row r="1905" spans="2:9" x14ac:dyDescent="0.2">
      <c r="B1905" s="3"/>
      <c r="C1905" s="3" t="s">
        <v>33</v>
      </c>
      <c r="D1905" s="2">
        <v>8613</v>
      </c>
      <c r="E1905" s="2">
        <v>850</v>
      </c>
      <c r="F1905" s="2">
        <f t="shared" si="95"/>
        <v>13</v>
      </c>
      <c r="G1905" s="2">
        <f t="shared" si="96"/>
        <v>5</v>
      </c>
      <c r="H1905" s="2">
        <f t="shared" si="97"/>
        <v>0</v>
      </c>
    </row>
    <row r="1906" spans="2:9" x14ac:dyDescent="0.2">
      <c r="B1906" s="3"/>
      <c r="C1906" s="3" t="s">
        <v>34</v>
      </c>
      <c r="D1906" s="2">
        <v>11465</v>
      </c>
      <c r="E1906" s="2">
        <v>804</v>
      </c>
      <c r="F1906" s="2">
        <f t="shared" si="95"/>
        <v>27</v>
      </c>
      <c r="G1906" s="2">
        <f t="shared" si="96"/>
        <v>14</v>
      </c>
      <c r="H1906" s="2">
        <f t="shared" si="97"/>
        <v>0</v>
      </c>
    </row>
    <row r="1907" spans="2:9" x14ac:dyDescent="0.2">
      <c r="B1907" s="3" t="s">
        <v>23</v>
      </c>
      <c r="C1907" s="3" t="s">
        <v>24</v>
      </c>
      <c r="D1907" s="2">
        <v>20541</v>
      </c>
      <c r="E1907" s="2">
        <v>2479</v>
      </c>
      <c r="F1907" s="2">
        <f t="shared" si="95"/>
        <v>73</v>
      </c>
      <c r="G1907" s="2">
        <f t="shared" si="96"/>
        <v>4</v>
      </c>
      <c r="H1907" s="2">
        <f t="shared" si="97"/>
        <v>16281</v>
      </c>
      <c r="I1907" s="2">
        <v>593549</v>
      </c>
    </row>
    <row r="1908" spans="2:9" x14ac:dyDescent="0.2">
      <c r="B1908" s="3"/>
      <c r="C1908" s="3" t="s">
        <v>25</v>
      </c>
      <c r="D1908" s="2">
        <v>8425</v>
      </c>
      <c r="E1908" s="2">
        <v>1003</v>
      </c>
      <c r="F1908" s="2">
        <f t="shared" si="95"/>
        <v>13</v>
      </c>
      <c r="G1908" s="2">
        <f t="shared" si="96"/>
        <v>4</v>
      </c>
      <c r="H1908" s="2">
        <f t="shared" si="97"/>
        <v>0</v>
      </c>
    </row>
    <row r="1909" spans="2:9" x14ac:dyDescent="0.2">
      <c r="B1909" s="3"/>
      <c r="C1909" s="3" t="s">
        <v>28</v>
      </c>
      <c r="D1909" s="2">
        <v>6769</v>
      </c>
      <c r="E1909" s="2">
        <v>826</v>
      </c>
      <c r="F1909" s="2">
        <f t="shared" si="95"/>
        <v>49</v>
      </c>
      <c r="G1909" s="2">
        <f t="shared" si="96"/>
        <v>8</v>
      </c>
      <c r="H1909" s="2">
        <f t="shared" si="97"/>
        <v>0</v>
      </c>
    </row>
    <row r="1910" spans="2:9" x14ac:dyDescent="0.2">
      <c r="B1910" s="3"/>
      <c r="C1910" s="3" t="s">
        <v>38</v>
      </c>
      <c r="D1910" s="2">
        <v>2049</v>
      </c>
      <c r="E1910" s="2">
        <v>252</v>
      </c>
      <c r="F1910" s="2">
        <f t="shared" si="95"/>
        <v>28</v>
      </c>
      <c r="G1910" s="2">
        <f t="shared" si="96"/>
        <v>0</v>
      </c>
      <c r="H1910" s="2">
        <f t="shared" si="97"/>
        <v>0</v>
      </c>
    </row>
    <row r="1911" spans="2:9" x14ac:dyDescent="0.2">
      <c r="B1911" s="3"/>
      <c r="C1911" s="3" t="s">
        <v>39</v>
      </c>
      <c r="D1911" s="2">
        <v>1341</v>
      </c>
      <c r="E1911" s="2">
        <v>100</v>
      </c>
      <c r="F1911" s="2">
        <f t="shared" si="95"/>
        <v>1</v>
      </c>
      <c r="G1911" s="2">
        <f t="shared" si="96"/>
        <v>1</v>
      </c>
      <c r="H1911" s="2">
        <f t="shared" si="97"/>
        <v>0</v>
      </c>
    </row>
    <row r="1912" spans="2:9" x14ac:dyDescent="0.2">
      <c r="B1912" s="3" t="s">
        <v>16</v>
      </c>
      <c r="C1912" s="3" t="s">
        <v>17</v>
      </c>
      <c r="D1912" s="2">
        <v>18785</v>
      </c>
      <c r="E1912" s="2">
        <v>1359</v>
      </c>
      <c r="F1912" s="2">
        <f t="shared" si="95"/>
        <v>82</v>
      </c>
      <c r="G1912" s="2">
        <f t="shared" si="96"/>
        <v>13</v>
      </c>
      <c r="H1912" s="2">
        <f t="shared" si="97"/>
        <v>9419</v>
      </c>
      <c r="I1912" s="2">
        <f>SUM(73405+408269)</f>
        <v>481674</v>
      </c>
    </row>
    <row r="1913" spans="2:9" x14ac:dyDescent="0.2">
      <c r="B1913" s="3"/>
      <c r="C1913" s="3" t="s">
        <v>18</v>
      </c>
      <c r="D1913" s="2">
        <v>7242</v>
      </c>
      <c r="E1913" s="2">
        <v>702</v>
      </c>
      <c r="F1913" s="2">
        <f t="shared" si="95"/>
        <v>70</v>
      </c>
      <c r="G1913" s="2">
        <f t="shared" si="96"/>
        <v>3</v>
      </c>
      <c r="H1913" s="2">
        <f t="shared" si="97"/>
        <v>0</v>
      </c>
    </row>
    <row r="1914" spans="2:9" x14ac:dyDescent="0.2">
      <c r="B1914" s="3"/>
      <c r="C1914" s="3" t="s">
        <v>19</v>
      </c>
      <c r="D1914" s="2">
        <v>6548</v>
      </c>
      <c r="E1914" s="2">
        <v>576</v>
      </c>
      <c r="F1914" s="2">
        <f t="shared" si="95"/>
        <v>52</v>
      </c>
      <c r="G1914" s="2">
        <f t="shared" si="96"/>
        <v>9</v>
      </c>
      <c r="H1914" s="2">
        <f t="shared" si="97"/>
        <v>0</v>
      </c>
    </row>
    <row r="1915" spans="2:9" x14ac:dyDescent="0.2">
      <c r="B1915" s="3"/>
      <c r="C1915" s="3" t="s">
        <v>40</v>
      </c>
      <c r="D1915" s="2">
        <v>3802</v>
      </c>
      <c r="E1915" s="2">
        <v>239</v>
      </c>
      <c r="F1915" s="2">
        <f t="shared" si="95"/>
        <v>22</v>
      </c>
      <c r="G1915" s="2">
        <f t="shared" si="96"/>
        <v>4</v>
      </c>
      <c r="H1915" s="2">
        <f t="shared" si="97"/>
        <v>0</v>
      </c>
    </row>
    <row r="1916" spans="2:9" x14ac:dyDescent="0.2">
      <c r="B1916" s="3"/>
      <c r="C1916" s="3" t="s">
        <v>41</v>
      </c>
      <c r="D1916" s="2">
        <v>4152</v>
      </c>
      <c r="E1916" s="2">
        <v>322</v>
      </c>
      <c r="F1916" s="2">
        <f t="shared" si="95"/>
        <v>45</v>
      </c>
      <c r="G1916" s="2">
        <f t="shared" si="96"/>
        <v>1</v>
      </c>
      <c r="H1916" s="2">
        <f t="shared" si="97"/>
        <v>0</v>
      </c>
    </row>
    <row r="1917" spans="2:9" x14ac:dyDescent="0.2">
      <c r="B1917" s="3" t="s">
        <v>20</v>
      </c>
      <c r="C1917" s="3" t="s">
        <v>22</v>
      </c>
      <c r="D1917" s="2">
        <v>58166</v>
      </c>
      <c r="E1917" s="2">
        <v>2489</v>
      </c>
      <c r="F1917" s="2">
        <f t="shared" si="95"/>
        <v>1022</v>
      </c>
      <c r="G1917" s="2">
        <f t="shared" si="96"/>
        <v>46</v>
      </c>
      <c r="H1917" s="2">
        <f t="shared" si="97"/>
        <v>51377</v>
      </c>
      <c r="I1917" s="2">
        <v>2182671</v>
      </c>
    </row>
    <row r="1918" spans="2:9" x14ac:dyDescent="0.2">
      <c r="B1918" s="3"/>
      <c r="C1918" s="3" t="s">
        <v>26</v>
      </c>
      <c r="D1918" s="2">
        <v>7800</v>
      </c>
      <c r="E1918" s="2">
        <v>312</v>
      </c>
      <c r="F1918" s="2">
        <f t="shared" si="95"/>
        <v>124</v>
      </c>
      <c r="G1918" s="2">
        <f t="shared" si="96"/>
        <v>0</v>
      </c>
      <c r="H1918" s="2">
        <f t="shared" si="97"/>
        <v>0</v>
      </c>
    </row>
    <row r="1919" spans="2:9" x14ac:dyDescent="0.2">
      <c r="B1919" s="3"/>
      <c r="C1919" s="3" t="s">
        <v>27</v>
      </c>
      <c r="D1919" s="2">
        <v>8208</v>
      </c>
      <c r="E1919" s="2">
        <v>345</v>
      </c>
      <c r="F1919" s="2">
        <f t="shared" si="95"/>
        <v>117</v>
      </c>
      <c r="G1919" s="2">
        <f t="shared" si="96"/>
        <v>1</v>
      </c>
      <c r="H1919" s="2">
        <f t="shared" si="97"/>
        <v>0</v>
      </c>
    </row>
    <row r="1920" spans="2:9" x14ac:dyDescent="0.2">
      <c r="C1920" s="3" t="s">
        <v>42</v>
      </c>
      <c r="D1920" s="2">
        <v>2836</v>
      </c>
      <c r="E1920" s="2">
        <v>144</v>
      </c>
      <c r="F1920" s="2">
        <f t="shared" si="95"/>
        <v>17</v>
      </c>
      <c r="G1920" s="2">
        <f t="shared" si="96"/>
        <v>0</v>
      </c>
      <c r="H1920" s="2">
        <f t="shared" si="97"/>
        <v>0</v>
      </c>
    </row>
    <row r="1921" spans="1:9" x14ac:dyDescent="0.2">
      <c r="C1921" s="3" t="s">
        <v>43</v>
      </c>
      <c r="D1921" s="2">
        <v>6939</v>
      </c>
      <c r="E1921" s="2">
        <v>158</v>
      </c>
      <c r="F1921" s="2">
        <f t="shared" si="95"/>
        <v>149</v>
      </c>
      <c r="G1921" s="2">
        <f t="shared" si="96"/>
        <v>8</v>
      </c>
      <c r="H1921" s="2">
        <f t="shared" si="97"/>
        <v>0</v>
      </c>
    </row>
    <row r="1922" spans="1:9" x14ac:dyDescent="0.2">
      <c r="A1922" s="1">
        <v>43986</v>
      </c>
      <c r="B1922" s="3" t="s">
        <v>5</v>
      </c>
      <c r="C1922" s="3" t="s">
        <v>6</v>
      </c>
      <c r="D1922" s="2">
        <v>62542</v>
      </c>
      <c r="E1922" s="2">
        <v>3952</v>
      </c>
      <c r="F1922" s="2">
        <f t="shared" si="95"/>
        <v>117</v>
      </c>
      <c r="G1922" s="2">
        <f t="shared" si="96"/>
        <v>6</v>
      </c>
      <c r="H1922" s="2">
        <f t="shared" si="97"/>
        <v>63559</v>
      </c>
      <c r="I1922" s="2">
        <v>2293032</v>
      </c>
    </row>
    <row r="1923" spans="1:9" x14ac:dyDescent="0.2">
      <c r="B1923" s="3"/>
      <c r="C1923" s="3" t="s">
        <v>7</v>
      </c>
      <c r="D1923" s="2">
        <v>56587</v>
      </c>
      <c r="E1923" s="2">
        <v>4442</v>
      </c>
      <c r="F1923" s="2">
        <f t="shared" si="95"/>
        <v>182</v>
      </c>
      <c r="G1923" s="2">
        <f t="shared" si="96"/>
        <v>6</v>
      </c>
      <c r="H1923" s="2">
        <f t="shared" si="97"/>
        <v>0</v>
      </c>
    </row>
    <row r="1924" spans="1:9" x14ac:dyDescent="0.2">
      <c r="B1924" s="3"/>
      <c r="C1924" s="3" t="s">
        <v>8</v>
      </c>
      <c r="D1924" s="2">
        <v>40713</v>
      </c>
      <c r="E1924" s="2">
        <v>2629</v>
      </c>
      <c r="F1924" s="2">
        <f t="shared" si="95"/>
        <v>69</v>
      </c>
      <c r="G1924" s="2">
        <f t="shared" si="96"/>
        <v>3</v>
      </c>
      <c r="H1924" s="2">
        <f t="shared" si="97"/>
        <v>0</v>
      </c>
    </row>
    <row r="1925" spans="1:9" x14ac:dyDescent="0.2">
      <c r="B1925" s="3"/>
      <c r="C1925" s="3" t="s">
        <v>35</v>
      </c>
      <c r="D1925" s="2">
        <v>45688</v>
      </c>
      <c r="E1925" s="2">
        <v>2982</v>
      </c>
      <c r="F1925" s="2">
        <f t="shared" si="95"/>
        <v>117</v>
      </c>
      <c r="G1925" s="2">
        <f t="shared" si="96"/>
        <v>9</v>
      </c>
      <c r="H1925" s="2">
        <f t="shared" si="97"/>
        <v>0</v>
      </c>
    </row>
    <row r="1926" spans="1:9" x14ac:dyDescent="0.2">
      <c r="B1926" s="3"/>
      <c r="C1926" s="3" t="s">
        <v>14</v>
      </c>
      <c r="D1926" s="2">
        <v>40153</v>
      </c>
      <c r="E1926" s="2">
        <v>1963</v>
      </c>
      <c r="F1926" s="2">
        <f t="shared" si="95"/>
        <v>91</v>
      </c>
      <c r="G1926" s="2">
        <f t="shared" si="96"/>
        <v>0</v>
      </c>
      <c r="H1926" s="2">
        <f t="shared" si="97"/>
        <v>0</v>
      </c>
    </row>
    <row r="1927" spans="1:9" x14ac:dyDescent="0.2">
      <c r="B1927" s="3" t="s">
        <v>9</v>
      </c>
      <c r="C1927" s="3" t="s">
        <v>10</v>
      </c>
      <c r="D1927" s="2">
        <v>18408</v>
      </c>
      <c r="E1927" s="2">
        <v>1603</v>
      </c>
      <c r="F1927" s="2">
        <f t="shared" si="95"/>
        <v>32</v>
      </c>
      <c r="G1927" s="2">
        <f t="shared" si="96"/>
        <v>8</v>
      </c>
      <c r="H1927" s="2">
        <f t="shared" si="97"/>
        <v>20309</v>
      </c>
      <c r="I1927" s="2">
        <v>857729</v>
      </c>
    </row>
    <row r="1928" spans="1:9" x14ac:dyDescent="0.2">
      <c r="B1928" s="3"/>
      <c r="C1928" s="3" t="s">
        <v>11</v>
      </c>
      <c r="D1928" s="2">
        <v>18465</v>
      </c>
      <c r="E1928" s="2">
        <v>1199</v>
      </c>
      <c r="F1928" s="2">
        <f t="shared" si="95"/>
        <v>5</v>
      </c>
      <c r="G1928" s="2">
        <f t="shared" si="96"/>
        <v>7</v>
      </c>
      <c r="H1928" s="2">
        <f t="shared" si="97"/>
        <v>0</v>
      </c>
    </row>
    <row r="1929" spans="1:9" x14ac:dyDescent="0.2">
      <c r="B1929" s="3"/>
      <c r="C1929" s="3" t="s">
        <v>12</v>
      </c>
      <c r="D1929" s="2">
        <v>17912</v>
      </c>
      <c r="E1929" s="2">
        <v>1694</v>
      </c>
      <c r="F1929" s="2">
        <f t="shared" si="95"/>
        <v>101</v>
      </c>
      <c r="G1929" s="2">
        <f t="shared" si="96"/>
        <v>7</v>
      </c>
      <c r="H1929" s="2">
        <f t="shared" si="97"/>
        <v>0</v>
      </c>
    </row>
    <row r="1930" spans="1:9" x14ac:dyDescent="0.2">
      <c r="B1930" s="3"/>
      <c r="C1930" s="3" t="s">
        <v>36</v>
      </c>
      <c r="D1930" s="2">
        <v>15953</v>
      </c>
      <c r="E1930" s="2">
        <v>1088</v>
      </c>
      <c r="F1930" s="2">
        <f t="shared" si="95"/>
        <v>42</v>
      </c>
      <c r="G1930" s="2">
        <f t="shared" si="96"/>
        <v>2</v>
      </c>
      <c r="H1930" s="2">
        <f t="shared" si="97"/>
        <v>0</v>
      </c>
    </row>
    <row r="1931" spans="1:9" x14ac:dyDescent="0.2">
      <c r="B1931" s="3"/>
      <c r="C1931" s="3" t="s">
        <v>37</v>
      </c>
      <c r="D1931" s="2">
        <v>16311</v>
      </c>
      <c r="E1931" s="2">
        <v>954</v>
      </c>
      <c r="F1931" s="2">
        <f t="shared" si="95"/>
        <v>34</v>
      </c>
      <c r="G1931" s="2">
        <f t="shared" si="96"/>
        <v>14</v>
      </c>
      <c r="H1931" s="2">
        <f t="shared" si="97"/>
        <v>0</v>
      </c>
    </row>
    <row r="1932" spans="1:9" x14ac:dyDescent="0.2">
      <c r="B1932" s="3" t="s">
        <v>13</v>
      </c>
      <c r="C1932" s="3" t="s">
        <v>14</v>
      </c>
      <c r="D1932" s="2">
        <v>18790</v>
      </c>
      <c r="E1932" s="2">
        <v>913</v>
      </c>
      <c r="F1932" s="2">
        <f t="shared" si="95"/>
        <v>57</v>
      </c>
      <c r="G1932" s="2">
        <f t="shared" si="96"/>
        <v>5</v>
      </c>
      <c r="H1932" s="2">
        <f t="shared" si="97"/>
        <v>7115</v>
      </c>
      <c r="I1932" s="2">
        <v>621248</v>
      </c>
    </row>
    <row r="1933" spans="1:9" x14ac:dyDescent="0.2">
      <c r="B1933" s="3"/>
      <c r="C1933" s="3" t="s">
        <v>15</v>
      </c>
      <c r="D1933" s="2">
        <v>22485</v>
      </c>
      <c r="E1933" s="2">
        <v>1689</v>
      </c>
      <c r="F1933" s="2">
        <f t="shared" si="95"/>
        <v>82</v>
      </c>
      <c r="G1933" s="2">
        <f t="shared" si="96"/>
        <v>13</v>
      </c>
      <c r="H1933" s="2">
        <f t="shared" si="97"/>
        <v>0</v>
      </c>
    </row>
    <row r="1934" spans="1:9" x14ac:dyDescent="0.2">
      <c r="B1934" s="3"/>
      <c r="C1934" s="3" t="s">
        <v>12</v>
      </c>
      <c r="D1934" s="2">
        <v>14969</v>
      </c>
      <c r="E1934" s="2">
        <v>986</v>
      </c>
      <c r="F1934" s="2">
        <f t="shared" si="95"/>
        <v>112</v>
      </c>
      <c r="G1934" s="2">
        <f t="shared" si="96"/>
        <v>7</v>
      </c>
      <c r="H1934" s="2">
        <f t="shared" si="97"/>
        <v>0</v>
      </c>
    </row>
    <row r="1935" spans="1:9" x14ac:dyDescent="0.2">
      <c r="B1935" s="3"/>
      <c r="C1935" s="3" t="s">
        <v>33</v>
      </c>
      <c r="D1935" s="2">
        <v>8625</v>
      </c>
      <c r="E1935" s="2">
        <v>854</v>
      </c>
      <c r="F1935" s="2">
        <f t="shared" si="95"/>
        <v>12</v>
      </c>
      <c r="G1935" s="2">
        <f t="shared" si="96"/>
        <v>4</v>
      </c>
      <c r="H1935" s="2">
        <f t="shared" si="97"/>
        <v>0</v>
      </c>
    </row>
    <row r="1936" spans="1:9" x14ac:dyDescent="0.2">
      <c r="B1936" s="3"/>
      <c r="C1936" s="3" t="s">
        <v>34</v>
      </c>
      <c r="D1936" s="2">
        <v>11529</v>
      </c>
      <c r="E1936" s="2">
        <v>808</v>
      </c>
      <c r="F1936" s="2">
        <f t="shared" si="95"/>
        <v>64</v>
      </c>
      <c r="G1936" s="2">
        <f t="shared" si="96"/>
        <v>4</v>
      </c>
      <c r="H1936" s="2">
        <f t="shared" si="97"/>
        <v>0</v>
      </c>
    </row>
    <row r="1937" spans="1:9" x14ac:dyDescent="0.2">
      <c r="B1937" s="3" t="s">
        <v>23</v>
      </c>
      <c r="C1937" s="3" t="s">
        <v>24</v>
      </c>
      <c r="D1937" s="2">
        <f>SUM(11116+9474)</f>
        <v>20590</v>
      </c>
      <c r="E1937" s="2">
        <f>SUM(1104+1388)</f>
        <v>2492</v>
      </c>
      <c r="F1937" s="2">
        <f t="shared" si="95"/>
        <v>49</v>
      </c>
      <c r="G1937" s="2">
        <f t="shared" si="96"/>
        <v>13</v>
      </c>
      <c r="H1937" s="2">
        <f t="shared" si="97"/>
        <v>15434</v>
      </c>
      <c r="I1937" s="2">
        <v>608983</v>
      </c>
    </row>
    <row r="1938" spans="1:9" x14ac:dyDescent="0.2">
      <c r="B1938" s="3"/>
      <c r="C1938" s="3" t="s">
        <v>25</v>
      </c>
      <c r="D1938" s="2">
        <v>8438</v>
      </c>
      <c r="E1938" s="2">
        <v>1006</v>
      </c>
      <c r="F1938" s="2">
        <f t="shared" si="95"/>
        <v>13</v>
      </c>
      <c r="G1938" s="2">
        <f t="shared" si="96"/>
        <v>3</v>
      </c>
      <c r="H1938" s="2">
        <f t="shared" si="97"/>
        <v>0</v>
      </c>
    </row>
    <row r="1939" spans="1:9" x14ac:dyDescent="0.2">
      <c r="B1939" s="3"/>
      <c r="C1939" s="3" t="s">
        <v>28</v>
      </c>
      <c r="D1939" s="2">
        <v>6790</v>
      </c>
      <c r="E1939" s="2">
        <v>828</v>
      </c>
      <c r="F1939" s="2">
        <f t="shared" si="95"/>
        <v>21</v>
      </c>
      <c r="G1939" s="2">
        <f t="shared" si="96"/>
        <v>2</v>
      </c>
      <c r="H1939" s="2">
        <f t="shared" si="97"/>
        <v>0</v>
      </c>
    </row>
    <row r="1940" spans="1:9" x14ac:dyDescent="0.2">
      <c r="B1940" s="3"/>
      <c r="C1940" s="3" t="s">
        <v>38</v>
      </c>
      <c r="E1940" s="2">
        <v>253</v>
      </c>
      <c r="G1940" s="2">
        <f t="shared" si="96"/>
        <v>1</v>
      </c>
      <c r="H1940" s="2">
        <f t="shared" si="97"/>
        <v>0</v>
      </c>
    </row>
    <row r="1941" spans="1:9" x14ac:dyDescent="0.2">
      <c r="B1941" s="3"/>
      <c r="C1941" s="3" t="s">
        <v>39</v>
      </c>
      <c r="D1941" s="2">
        <v>1347</v>
      </c>
      <c r="E1941" s="2">
        <v>100</v>
      </c>
      <c r="F1941" s="2">
        <f t="shared" si="95"/>
        <v>6</v>
      </c>
      <c r="G1941" s="2">
        <f t="shared" si="96"/>
        <v>0</v>
      </c>
      <c r="H1941" s="2">
        <f t="shared" si="97"/>
        <v>0</v>
      </c>
    </row>
    <row r="1942" spans="1:9" x14ac:dyDescent="0.2">
      <c r="B1942" s="3" t="s">
        <v>16</v>
      </c>
      <c r="C1942" s="3" t="s">
        <v>17</v>
      </c>
      <c r="D1942" s="2">
        <v>18888</v>
      </c>
      <c r="E1942" s="2">
        <v>1394</v>
      </c>
      <c r="F1942" s="2">
        <f t="shared" si="95"/>
        <v>103</v>
      </c>
      <c r="G1942" s="2">
        <f t="shared" si="96"/>
        <v>35</v>
      </c>
    </row>
    <row r="1943" spans="1:9" x14ac:dyDescent="0.2">
      <c r="B1943" s="3"/>
      <c r="C1943" s="3" t="s">
        <v>18</v>
      </c>
      <c r="D1943" s="2">
        <v>7351</v>
      </c>
      <c r="E1943" s="2">
        <v>713</v>
      </c>
      <c r="F1943" s="2">
        <f t="shared" si="95"/>
        <v>109</v>
      </c>
      <c r="G1943" s="2">
        <f t="shared" si="96"/>
        <v>11</v>
      </c>
      <c r="H1943" s="2">
        <f t="shared" si="97"/>
        <v>0</v>
      </c>
    </row>
    <row r="1944" spans="1:9" x14ac:dyDescent="0.2">
      <c r="B1944" s="3"/>
      <c r="C1944" s="3" t="s">
        <v>19</v>
      </c>
      <c r="D1944" s="2">
        <v>6587</v>
      </c>
      <c r="E1944" s="2">
        <v>614</v>
      </c>
      <c r="F1944" s="2">
        <f t="shared" si="95"/>
        <v>39</v>
      </c>
      <c r="G1944" s="2">
        <f t="shared" si="96"/>
        <v>38</v>
      </c>
      <c r="H1944" s="2">
        <f t="shared" si="97"/>
        <v>0</v>
      </c>
    </row>
    <row r="1945" spans="1:9" x14ac:dyDescent="0.2">
      <c r="B1945" s="3"/>
      <c r="C1945" s="3" t="s">
        <v>40</v>
      </c>
      <c r="D1945" s="2">
        <v>3817</v>
      </c>
      <c r="E1945" s="2">
        <v>242</v>
      </c>
      <c r="F1945" s="2">
        <f t="shared" si="95"/>
        <v>15</v>
      </c>
      <c r="G1945" s="2">
        <f t="shared" si="96"/>
        <v>3</v>
      </c>
      <c r="H1945" s="2">
        <f t="shared" si="97"/>
        <v>0</v>
      </c>
    </row>
    <row r="1946" spans="1:9" x14ac:dyDescent="0.2">
      <c r="B1946" s="3"/>
      <c r="C1946" s="3" t="s">
        <v>41</v>
      </c>
      <c r="D1946" s="2">
        <v>4152</v>
      </c>
      <c r="E1946" s="2">
        <v>323</v>
      </c>
      <c r="F1946" s="2">
        <f t="shared" si="95"/>
        <v>0</v>
      </c>
      <c r="G1946" s="2">
        <f t="shared" si="96"/>
        <v>1</v>
      </c>
      <c r="H1946" s="2">
        <f t="shared" si="97"/>
        <v>0</v>
      </c>
    </row>
    <row r="1947" spans="1:9" x14ac:dyDescent="0.2">
      <c r="B1947" s="3" t="s">
        <v>20</v>
      </c>
      <c r="C1947" s="3" t="s">
        <v>22</v>
      </c>
      <c r="D1947" s="2">
        <v>59596</v>
      </c>
      <c r="E1947" s="2">
        <v>2531</v>
      </c>
      <c r="F1947" s="2">
        <f>SUM(D1947-D1917)</f>
        <v>1430</v>
      </c>
      <c r="G1947" s="2">
        <f t="shared" si="96"/>
        <v>42</v>
      </c>
      <c r="H1947" s="2">
        <f t="shared" si="97"/>
        <v>55792</v>
      </c>
      <c r="I1947" s="2">
        <v>2238463</v>
      </c>
    </row>
    <row r="1948" spans="1:9" x14ac:dyDescent="0.2">
      <c r="B1948" s="3"/>
      <c r="C1948" s="3" t="s">
        <v>26</v>
      </c>
      <c r="D1948" s="2">
        <v>7942</v>
      </c>
      <c r="E1948" s="2">
        <v>312</v>
      </c>
      <c r="F1948" s="2">
        <f t="shared" ref="F1948:F1976" si="98">SUM(D1948-D1918)</f>
        <v>142</v>
      </c>
      <c r="G1948" s="2">
        <f t="shared" si="96"/>
        <v>0</v>
      </c>
      <c r="H1948" s="2">
        <f t="shared" si="97"/>
        <v>0</v>
      </c>
    </row>
    <row r="1949" spans="1:9" x14ac:dyDescent="0.2">
      <c r="B1949" s="3"/>
      <c r="C1949" s="3" t="s">
        <v>27</v>
      </c>
      <c r="D1949" s="2">
        <v>8473</v>
      </c>
      <c r="E1949" s="2">
        <v>345</v>
      </c>
      <c r="F1949" s="2">
        <f t="shared" si="98"/>
        <v>265</v>
      </c>
      <c r="G1949" s="2">
        <f t="shared" si="96"/>
        <v>0</v>
      </c>
      <c r="H1949" s="2">
        <f t="shared" si="97"/>
        <v>0</v>
      </c>
    </row>
    <row r="1950" spans="1:9" x14ac:dyDescent="0.2">
      <c r="C1950" s="3" t="s">
        <v>42</v>
      </c>
      <c r="D1950" s="2">
        <v>2871</v>
      </c>
      <c r="E1950" s="2">
        <v>144</v>
      </c>
      <c r="F1950" s="2">
        <f t="shared" si="98"/>
        <v>35</v>
      </c>
      <c r="G1950" s="2">
        <f t="shared" si="96"/>
        <v>0</v>
      </c>
      <c r="H1950" s="2">
        <f t="shared" si="97"/>
        <v>0</v>
      </c>
    </row>
    <row r="1951" spans="1:9" x14ac:dyDescent="0.2">
      <c r="C1951" s="3" t="s">
        <v>43</v>
      </c>
      <c r="D1951" s="2">
        <v>7192</v>
      </c>
      <c r="E1951" s="2">
        <v>165</v>
      </c>
      <c r="F1951" s="2">
        <f t="shared" si="98"/>
        <v>253</v>
      </c>
      <c r="G1951" s="2">
        <f t="shared" si="96"/>
        <v>7</v>
      </c>
      <c r="H1951" s="2">
        <f t="shared" si="97"/>
        <v>0</v>
      </c>
    </row>
    <row r="1952" spans="1:9" x14ac:dyDescent="0.2">
      <c r="A1952" s="1">
        <v>43987</v>
      </c>
      <c r="B1952" s="3" t="s">
        <v>5</v>
      </c>
      <c r="C1952" s="3" t="s">
        <v>6</v>
      </c>
      <c r="D1952" s="2">
        <v>62692</v>
      </c>
      <c r="E1952" s="2">
        <v>3953</v>
      </c>
      <c r="F1952" s="2">
        <f t="shared" si="98"/>
        <v>150</v>
      </c>
      <c r="G1952" s="2">
        <f t="shared" si="96"/>
        <v>1</v>
      </c>
      <c r="H1952" s="2">
        <f t="shared" si="97"/>
        <v>66480</v>
      </c>
      <c r="I1952" s="2">
        <v>2359512</v>
      </c>
    </row>
    <row r="1953" spans="2:9" x14ac:dyDescent="0.2">
      <c r="B1953" s="3"/>
      <c r="C1953" s="3" t="s">
        <v>7</v>
      </c>
      <c r="D1953" s="2">
        <v>56770</v>
      </c>
      <c r="E1953" s="2">
        <v>4447</v>
      </c>
      <c r="F1953" s="2">
        <f t="shared" si="98"/>
        <v>183</v>
      </c>
      <c r="G1953" s="2">
        <f t="shared" ref="G1953:G2016" si="99">SUM(E1953-E1923)</f>
        <v>5</v>
      </c>
      <c r="H1953" s="2">
        <f t="shared" si="97"/>
        <v>0</v>
      </c>
    </row>
    <row r="1954" spans="2:9" x14ac:dyDescent="0.2">
      <c r="B1954" s="3"/>
      <c r="C1954" s="3" t="s">
        <v>8</v>
      </c>
      <c r="D1954" s="2">
        <v>40797</v>
      </c>
      <c r="E1954" s="2">
        <v>2631</v>
      </c>
      <c r="F1954" s="2">
        <f t="shared" si="98"/>
        <v>84</v>
      </c>
      <c r="G1954" s="2">
        <f t="shared" si="99"/>
        <v>2</v>
      </c>
      <c r="H1954" s="2">
        <f t="shared" si="97"/>
        <v>0</v>
      </c>
    </row>
    <row r="1955" spans="2:9" x14ac:dyDescent="0.2">
      <c r="B1955" s="3"/>
      <c r="C1955" s="3" t="s">
        <v>35</v>
      </c>
      <c r="D1955" s="2">
        <v>45778</v>
      </c>
      <c r="E1955" s="2">
        <v>2983</v>
      </c>
      <c r="F1955" s="2">
        <f t="shared" si="98"/>
        <v>90</v>
      </c>
      <c r="G1955" s="2">
        <f t="shared" si="99"/>
        <v>1</v>
      </c>
      <c r="H1955" s="2">
        <f t="shared" si="97"/>
        <v>0</v>
      </c>
    </row>
    <row r="1956" spans="2:9" x14ac:dyDescent="0.2">
      <c r="B1956" s="3"/>
      <c r="C1956" s="3" t="s">
        <v>14</v>
      </c>
      <c r="D1956" s="2">
        <v>40239</v>
      </c>
      <c r="E1956" s="2">
        <v>1965</v>
      </c>
      <c r="F1956" s="2">
        <f t="shared" si="98"/>
        <v>86</v>
      </c>
      <c r="G1956" s="2">
        <f t="shared" si="99"/>
        <v>2</v>
      </c>
      <c r="H1956" s="2">
        <f t="shared" ref="H1956:H2019" si="100">SUM(I1956-I1926)</f>
        <v>0</v>
      </c>
    </row>
    <row r="1957" spans="2:9" x14ac:dyDescent="0.2">
      <c r="B1957" s="3" t="s">
        <v>9</v>
      </c>
      <c r="C1957" s="3" t="s">
        <v>10</v>
      </c>
      <c r="D1957" s="2">
        <v>18463</v>
      </c>
      <c r="E1957" s="2">
        <v>1611</v>
      </c>
      <c r="F1957" s="2">
        <f t="shared" si="98"/>
        <v>55</v>
      </c>
      <c r="G1957" s="2">
        <f t="shared" si="99"/>
        <v>8</v>
      </c>
      <c r="H1957" s="2">
        <f t="shared" si="100"/>
        <v>61162</v>
      </c>
      <c r="I1957" s="2">
        <v>918891</v>
      </c>
    </row>
    <row r="1958" spans="2:9" x14ac:dyDescent="0.2">
      <c r="B1958" s="3"/>
      <c r="C1958" s="3" t="s">
        <v>11</v>
      </c>
      <c r="D1958" s="2">
        <v>18518</v>
      </c>
      <c r="E1958" s="2">
        <v>1205</v>
      </c>
      <c r="F1958" s="2">
        <f t="shared" si="98"/>
        <v>53</v>
      </c>
      <c r="G1958" s="2">
        <f t="shared" si="99"/>
        <v>6</v>
      </c>
      <c r="H1958" s="2">
        <f t="shared" si="100"/>
        <v>0</v>
      </c>
    </row>
    <row r="1959" spans="2:9" x14ac:dyDescent="0.2">
      <c r="B1959" s="3"/>
      <c r="C1959" s="3" t="s">
        <v>12</v>
      </c>
      <c r="D1959" s="2">
        <v>18019</v>
      </c>
      <c r="E1959" s="2">
        <v>1702</v>
      </c>
      <c r="F1959" s="2">
        <f t="shared" si="98"/>
        <v>107</v>
      </c>
      <c r="G1959" s="2">
        <f t="shared" si="99"/>
        <v>8</v>
      </c>
      <c r="H1959" s="2">
        <f t="shared" si="100"/>
        <v>0</v>
      </c>
    </row>
    <row r="1960" spans="2:9" x14ac:dyDescent="0.2">
      <c r="B1960" s="3"/>
      <c r="C1960" s="3" t="s">
        <v>36</v>
      </c>
      <c r="D1960" s="2">
        <v>16038</v>
      </c>
      <c r="E1960" s="2">
        <v>1092</v>
      </c>
      <c r="F1960" s="2">
        <f t="shared" si="98"/>
        <v>85</v>
      </c>
      <c r="G1960" s="2">
        <f t="shared" si="99"/>
        <v>4</v>
      </c>
      <c r="H1960" s="2">
        <f t="shared" si="100"/>
        <v>0</v>
      </c>
    </row>
    <row r="1961" spans="2:9" x14ac:dyDescent="0.2">
      <c r="B1961" s="3"/>
      <c r="C1961" s="3" t="s">
        <v>37</v>
      </c>
      <c r="D1961" s="2">
        <v>16387</v>
      </c>
      <c r="E1961" s="2">
        <v>957</v>
      </c>
      <c r="F1961" s="2">
        <f t="shared" si="98"/>
        <v>76</v>
      </c>
      <c r="G1961" s="2">
        <f t="shared" si="99"/>
        <v>3</v>
      </c>
      <c r="H1961" s="2">
        <f t="shared" si="100"/>
        <v>0</v>
      </c>
    </row>
    <row r="1962" spans="2:9" x14ac:dyDescent="0.2">
      <c r="B1962" s="3" t="s">
        <v>13</v>
      </c>
      <c r="C1962" s="3" t="s">
        <v>14</v>
      </c>
      <c r="D1962" s="2">
        <v>18858</v>
      </c>
      <c r="E1962" s="2">
        <v>922</v>
      </c>
      <c r="F1962" s="2">
        <f t="shared" si="98"/>
        <v>68</v>
      </c>
      <c r="G1962" s="2">
        <f t="shared" si="99"/>
        <v>9</v>
      </c>
      <c r="H1962" s="2">
        <f t="shared" si="100"/>
        <v>9760</v>
      </c>
      <c r="I1962" s="2">
        <v>631008</v>
      </c>
    </row>
    <row r="1963" spans="2:9" x14ac:dyDescent="0.2">
      <c r="B1963" s="3"/>
      <c r="C1963" s="3" t="s">
        <v>15</v>
      </c>
      <c r="D1963" s="2">
        <v>22583</v>
      </c>
      <c r="E1963" s="2">
        <v>1695</v>
      </c>
      <c r="F1963" s="2">
        <f t="shared" si="98"/>
        <v>98</v>
      </c>
      <c r="G1963" s="2">
        <f t="shared" si="99"/>
        <v>6</v>
      </c>
      <c r="H1963" s="2">
        <f t="shared" si="100"/>
        <v>0</v>
      </c>
    </row>
    <row r="1964" spans="2:9" x14ac:dyDescent="0.2">
      <c r="B1964" s="3"/>
      <c r="C1964" s="3" t="s">
        <v>12</v>
      </c>
      <c r="D1964" s="2">
        <v>15064</v>
      </c>
      <c r="E1964" s="2">
        <v>990</v>
      </c>
      <c r="F1964" s="2">
        <f t="shared" si="98"/>
        <v>95</v>
      </c>
      <c r="G1964" s="2">
        <f t="shared" si="99"/>
        <v>4</v>
      </c>
      <c r="H1964" s="2">
        <f t="shared" si="100"/>
        <v>0</v>
      </c>
    </row>
    <row r="1965" spans="2:9" x14ac:dyDescent="0.2">
      <c r="B1965" s="3"/>
      <c r="C1965" s="3" t="s">
        <v>33</v>
      </c>
      <c r="D1965" s="2">
        <v>8646</v>
      </c>
      <c r="E1965" s="2">
        <v>855</v>
      </c>
      <c r="F1965" s="2">
        <f t="shared" si="98"/>
        <v>21</v>
      </c>
      <c r="G1965" s="2">
        <f t="shared" si="99"/>
        <v>1</v>
      </c>
      <c r="H1965" s="2">
        <f t="shared" si="100"/>
        <v>0</v>
      </c>
    </row>
    <row r="1966" spans="2:9" x14ac:dyDescent="0.2">
      <c r="B1966" s="3"/>
      <c r="C1966" s="3" t="s">
        <v>34</v>
      </c>
      <c r="D1966" s="2">
        <v>11600</v>
      </c>
      <c r="E1966" s="2">
        <v>813</v>
      </c>
      <c r="F1966" s="2">
        <f t="shared" si="98"/>
        <v>71</v>
      </c>
      <c r="G1966" s="2">
        <f t="shared" si="99"/>
        <v>5</v>
      </c>
      <c r="H1966" s="2">
        <f t="shared" si="100"/>
        <v>0</v>
      </c>
    </row>
    <row r="1967" spans="2:9" x14ac:dyDescent="0.2">
      <c r="B1967" s="3" t="s">
        <v>23</v>
      </c>
      <c r="C1967" s="3" t="s">
        <v>24</v>
      </c>
      <c r="D1967" s="2">
        <v>20663</v>
      </c>
      <c r="E1967" s="2">
        <v>2498</v>
      </c>
      <c r="F1967" s="2">
        <f t="shared" si="98"/>
        <v>73</v>
      </c>
      <c r="G1967" s="2">
        <f t="shared" si="99"/>
        <v>6</v>
      </c>
      <c r="H1967" s="2">
        <f t="shared" si="100"/>
        <v>18564</v>
      </c>
      <c r="I1967" s="2">
        <v>627547</v>
      </c>
    </row>
    <row r="1968" spans="2:9" x14ac:dyDescent="0.2">
      <c r="B1968" s="3"/>
      <c r="C1968" s="3" t="s">
        <v>25</v>
      </c>
      <c r="D1968" s="2">
        <v>8457</v>
      </c>
      <c r="E1968" s="2">
        <v>1007</v>
      </c>
      <c r="F1968" s="2">
        <f t="shared" si="98"/>
        <v>19</v>
      </c>
      <c r="G1968" s="2">
        <f t="shared" si="99"/>
        <v>1</v>
      </c>
      <c r="H1968" s="2">
        <f t="shared" si="100"/>
        <v>0</v>
      </c>
    </row>
    <row r="1969" spans="1:9" x14ac:dyDescent="0.2">
      <c r="B1969" s="3"/>
      <c r="C1969" s="3" t="s">
        <v>28</v>
      </c>
      <c r="D1969" s="2">
        <v>6815</v>
      </c>
      <c r="E1969" s="2">
        <v>828</v>
      </c>
      <c r="F1969" s="2">
        <f t="shared" si="98"/>
        <v>25</v>
      </c>
      <c r="G1969" s="2">
        <f t="shared" si="99"/>
        <v>0</v>
      </c>
      <c r="H1969" s="2">
        <f t="shared" si="100"/>
        <v>0</v>
      </c>
    </row>
    <row r="1970" spans="1:9" x14ac:dyDescent="0.2">
      <c r="B1970" s="3"/>
      <c r="C1970" s="3" t="s">
        <v>38</v>
      </c>
      <c r="D1970" s="2">
        <v>2050</v>
      </c>
      <c r="E1970" s="2">
        <v>254</v>
      </c>
      <c r="G1970" s="2">
        <f t="shared" si="99"/>
        <v>1</v>
      </c>
      <c r="H1970" s="2">
        <f t="shared" si="100"/>
        <v>0</v>
      </c>
    </row>
    <row r="1971" spans="1:9" x14ac:dyDescent="0.2">
      <c r="B1971" s="3"/>
      <c r="C1971" s="3" t="s">
        <v>39</v>
      </c>
      <c r="D1971" s="2">
        <v>1348</v>
      </c>
      <c r="E1971" s="2">
        <v>100</v>
      </c>
      <c r="F1971" s="2">
        <f t="shared" si="98"/>
        <v>1</v>
      </c>
      <c r="G1971" s="2">
        <f t="shared" si="99"/>
        <v>0</v>
      </c>
      <c r="H1971" s="2">
        <f t="shared" si="100"/>
        <v>0</v>
      </c>
    </row>
    <row r="1972" spans="1:9" x14ac:dyDescent="0.2">
      <c r="B1972" s="3" t="s">
        <v>16</v>
      </c>
      <c r="C1972" s="3" t="s">
        <v>17</v>
      </c>
      <c r="D1972" s="2">
        <v>18977</v>
      </c>
      <c r="E1972" s="2">
        <v>1411</v>
      </c>
      <c r="F1972" s="2">
        <f t="shared" si="98"/>
        <v>89</v>
      </c>
      <c r="G1972" s="2">
        <f t="shared" si="99"/>
        <v>17</v>
      </c>
      <c r="I1972" s="2">
        <f>SUM(74385+424201)</f>
        <v>498586</v>
      </c>
    </row>
    <row r="1973" spans="1:9" x14ac:dyDescent="0.2">
      <c r="B1973" s="3"/>
      <c r="C1973" s="3" t="s">
        <v>18</v>
      </c>
      <c r="D1973" s="2">
        <v>7416</v>
      </c>
      <c r="E1973" s="2">
        <v>721</v>
      </c>
      <c r="F1973" s="2">
        <f t="shared" si="98"/>
        <v>65</v>
      </c>
      <c r="G1973" s="2">
        <f t="shared" si="99"/>
        <v>8</v>
      </c>
      <c r="H1973" s="2">
        <f t="shared" si="100"/>
        <v>0</v>
      </c>
    </row>
    <row r="1974" spans="1:9" x14ac:dyDescent="0.2">
      <c r="B1974" s="3"/>
      <c r="C1974" s="3" t="s">
        <v>19</v>
      </c>
      <c r="D1974" s="2">
        <v>6608</v>
      </c>
      <c r="E1974" s="2">
        <v>645</v>
      </c>
      <c r="F1974" s="2">
        <f t="shared" si="98"/>
        <v>21</v>
      </c>
      <c r="G1974" s="2">
        <f t="shared" si="99"/>
        <v>31</v>
      </c>
      <c r="H1974" s="2">
        <f t="shared" si="100"/>
        <v>0</v>
      </c>
    </row>
    <row r="1975" spans="1:9" x14ac:dyDescent="0.2">
      <c r="B1975" s="3"/>
      <c r="C1975" s="3" t="s">
        <v>40</v>
      </c>
      <c r="D1975" s="2">
        <v>3829</v>
      </c>
      <c r="E1975" s="2">
        <v>245</v>
      </c>
      <c r="F1975" s="2">
        <f t="shared" si="98"/>
        <v>12</v>
      </c>
      <c r="G1975" s="2">
        <f t="shared" si="99"/>
        <v>3</v>
      </c>
      <c r="H1975" s="2">
        <f t="shared" si="100"/>
        <v>0</v>
      </c>
    </row>
    <row r="1976" spans="1:9" x14ac:dyDescent="0.2">
      <c r="B1976" s="3"/>
      <c r="C1976" s="3" t="s">
        <v>41</v>
      </c>
      <c r="D1976" s="2">
        <v>4167</v>
      </c>
      <c r="E1976" s="2">
        <v>329</v>
      </c>
      <c r="F1976" s="2">
        <f t="shared" si="98"/>
        <v>15</v>
      </c>
      <c r="G1976" s="2">
        <f t="shared" si="99"/>
        <v>6</v>
      </c>
      <c r="H1976" s="2">
        <f t="shared" si="100"/>
        <v>0</v>
      </c>
    </row>
    <row r="1977" spans="1:9" x14ac:dyDescent="0.2">
      <c r="B1977" s="3" t="s">
        <v>20</v>
      </c>
      <c r="C1977" s="3" t="s">
        <v>22</v>
      </c>
      <c r="D1977" s="2">
        <v>60955</v>
      </c>
      <c r="E1977" s="2">
        <v>2565</v>
      </c>
      <c r="F1977" s="2">
        <f>SUM(D1977-D1947)</f>
        <v>1359</v>
      </c>
      <c r="G1977" s="2">
        <f t="shared" si="99"/>
        <v>34</v>
      </c>
      <c r="H1977" s="2">
        <f t="shared" si="100"/>
        <v>69837</v>
      </c>
      <c r="I1977" s="2">
        <v>2308300</v>
      </c>
    </row>
    <row r="1978" spans="1:9" x14ac:dyDescent="0.2">
      <c r="B1978" s="3"/>
      <c r="C1978" s="3" t="s">
        <v>26</v>
      </c>
      <c r="D1978" s="2">
        <v>8182</v>
      </c>
      <c r="E1978" s="2">
        <v>312</v>
      </c>
      <c r="F1978" s="2">
        <f t="shared" ref="F1978:F2041" si="101">SUM(D1978-D1948)</f>
        <v>240</v>
      </c>
      <c r="G1978" s="2">
        <f t="shared" si="99"/>
        <v>0</v>
      </c>
      <c r="H1978" s="2">
        <f t="shared" si="100"/>
        <v>0</v>
      </c>
    </row>
    <row r="1979" spans="1:9" x14ac:dyDescent="0.2">
      <c r="B1979" s="3"/>
      <c r="C1979" s="3" t="s">
        <v>27</v>
      </c>
      <c r="D1979" s="2">
        <v>8700</v>
      </c>
      <c r="E1979" s="2">
        <v>355</v>
      </c>
      <c r="F1979" s="2">
        <f t="shared" si="101"/>
        <v>227</v>
      </c>
      <c r="G1979" s="2">
        <f t="shared" si="99"/>
        <v>10</v>
      </c>
      <c r="H1979" s="2">
        <f t="shared" si="100"/>
        <v>0</v>
      </c>
    </row>
    <row r="1980" spans="1:9" x14ac:dyDescent="0.2">
      <c r="C1980" s="3" t="s">
        <v>42</v>
      </c>
      <c r="D1980" s="2">
        <v>2902</v>
      </c>
      <c r="E1980" s="2">
        <v>144</v>
      </c>
      <c r="F1980" s="2">
        <f t="shared" si="101"/>
        <v>31</v>
      </c>
      <c r="G1980" s="2">
        <f t="shared" si="99"/>
        <v>0</v>
      </c>
      <c r="H1980" s="2">
        <f t="shared" si="100"/>
        <v>0</v>
      </c>
    </row>
    <row r="1981" spans="1:9" x14ac:dyDescent="0.2">
      <c r="C1981" s="3" t="s">
        <v>43</v>
      </c>
      <c r="D1981" s="2">
        <v>7391</v>
      </c>
      <c r="E1981" s="2">
        <v>174</v>
      </c>
      <c r="F1981" s="2">
        <f t="shared" si="101"/>
        <v>199</v>
      </c>
      <c r="G1981" s="2">
        <f t="shared" si="99"/>
        <v>9</v>
      </c>
      <c r="H1981" s="2">
        <f t="shared" si="100"/>
        <v>0</v>
      </c>
    </row>
    <row r="1982" spans="1:9" x14ac:dyDescent="0.2">
      <c r="A1982" s="1">
        <v>43988</v>
      </c>
      <c r="B1982" s="3" t="s">
        <v>5</v>
      </c>
      <c r="C1982" s="3" t="s">
        <v>6</v>
      </c>
      <c r="D1982" s="2">
        <v>62850</v>
      </c>
      <c r="E1982" s="2">
        <v>3957</v>
      </c>
      <c r="F1982" s="2">
        <f t="shared" si="101"/>
        <v>158</v>
      </c>
      <c r="G1982" s="2">
        <f t="shared" si="99"/>
        <v>4</v>
      </c>
      <c r="H1982" s="2">
        <f t="shared" si="100"/>
        <v>77895</v>
      </c>
      <c r="I1982" s="2">
        <v>2437407</v>
      </c>
    </row>
    <row r="1983" spans="1:9" x14ac:dyDescent="0.2">
      <c r="B1983" s="3"/>
      <c r="C1983" s="3" t="s">
        <v>7</v>
      </c>
      <c r="D1983" s="2">
        <v>56966</v>
      </c>
      <c r="E1983" s="2">
        <v>4449</v>
      </c>
      <c r="F1983" s="2">
        <f t="shared" si="101"/>
        <v>196</v>
      </c>
      <c r="G1983" s="2">
        <f t="shared" si="99"/>
        <v>2</v>
      </c>
      <c r="H1983" s="2">
        <f t="shared" si="100"/>
        <v>0</v>
      </c>
    </row>
    <row r="1984" spans="1:9" x14ac:dyDescent="0.2">
      <c r="B1984" s="3"/>
      <c r="C1984" s="3" t="s">
        <v>8</v>
      </c>
      <c r="D1984" s="2">
        <v>40853</v>
      </c>
      <c r="E1984" s="2">
        <v>2635</v>
      </c>
      <c r="F1984" s="2">
        <f t="shared" si="101"/>
        <v>56</v>
      </c>
      <c r="G1984" s="2">
        <f t="shared" si="99"/>
        <v>4</v>
      </c>
      <c r="H1984" s="2">
        <f t="shared" si="100"/>
        <v>0</v>
      </c>
    </row>
    <row r="1985" spans="2:9" x14ac:dyDescent="0.2">
      <c r="B1985" s="3"/>
      <c r="C1985" s="3" t="s">
        <v>35</v>
      </c>
      <c r="D1985" s="2">
        <v>45882</v>
      </c>
      <c r="E1985" s="2">
        <v>2984</v>
      </c>
      <c r="F1985" s="2">
        <f t="shared" si="101"/>
        <v>104</v>
      </c>
      <c r="G1985" s="2">
        <f t="shared" si="99"/>
        <v>1</v>
      </c>
      <c r="H1985" s="2">
        <f t="shared" si="100"/>
        <v>0</v>
      </c>
    </row>
    <row r="1986" spans="2:9" x14ac:dyDescent="0.2">
      <c r="B1986" s="3"/>
      <c r="C1986" s="3" t="s">
        <v>14</v>
      </c>
      <c r="D1986" s="2">
        <v>40278</v>
      </c>
      <c r="E1986" s="2">
        <v>1970</v>
      </c>
      <c r="F1986" s="2">
        <f t="shared" si="101"/>
        <v>39</v>
      </c>
      <c r="G1986" s="2">
        <f t="shared" si="99"/>
        <v>5</v>
      </c>
      <c r="H1986" s="2">
        <f t="shared" si="100"/>
        <v>0</v>
      </c>
    </row>
    <row r="1987" spans="2:9" x14ac:dyDescent="0.2">
      <c r="B1987" s="3" t="s">
        <v>9</v>
      </c>
      <c r="C1987" s="3" t="s">
        <v>10</v>
      </c>
      <c r="D1987" s="2">
        <v>18492</v>
      </c>
      <c r="E1987" s="2">
        <v>1612</v>
      </c>
      <c r="F1987" s="2">
        <f t="shared" si="101"/>
        <v>29</v>
      </c>
      <c r="G1987" s="2">
        <f t="shared" si="99"/>
        <v>1</v>
      </c>
      <c r="H1987" s="2">
        <f t="shared" si="100"/>
        <v>557</v>
      </c>
      <c r="I1987" s="2">
        <v>919448</v>
      </c>
    </row>
    <row r="1988" spans="2:9" x14ac:dyDescent="0.2">
      <c r="B1988" s="3"/>
      <c r="C1988" s="3" t="s">
        <v>11</v>
      </c>
      <c r="D1988" s="2">
        <v>18548</v>
      </c>
      <c r="E1988" s="2">
        <v>1210</v>
      </c>
      <c r="F1988" s="2">
        <f t="shared" si="101"/>
        <v>30</v>
      </c>
      <c r="G1988" s="2">
        <f t="shared" si="99"/>
        <v>5</v>
      </c>
      <c r="H1988" s="2">
        <f t="shared" si="100"/>
        <v>0</v>
      </c>
    </row>
    <row r="1989" spans="2:9" x14ac:dyDescent="0.2">
      <c r="B1989" s="3"/>
      <c r="C1989" s="3" t="s">
        <v>12</v>
      </c>
      <c r="D1989" s="2">
        <v>18066</v>
      </c>
      <c r="F1989" s="2">
        <f t="shared" si="101"/>
        <v>47</v>
      </c>
      <c r="H1989" s="2">
        <f t="shared" si="100"/>
        <v>0</v>
      </c>
    </row>
    <row r="1990" spans="2:9" x14ac:dyDescent="0.2">
      <c r="B1990" s="3"/>
      <c r="C1990" s="3" t="s">
        <v>36</v>
      </c>
      <c r="D1990" s="2">
        <v>16116</v>
      </c>
      <c r="E1990" s="2">
        <v>1095</v>
      </c>
      <c r="F1990" s="2">
        <f t="shared" si="101"/>
        <v>78</v>
      </c>
      <c r="G1990" s="2">
        <f t="shared" si="99"/>
        <v>3</v>
      </c>
      <c r="H1990" s="2">
        <f t="shared" si="100"/>
        <v>0</v>
      </c>
    </row>
    <row r="1991" spans="2:9" x14ac:dyDescent="0.2">
      <c r="B1991" s="3"/>
      <c r="C1991" s="3" t="s">
        <v>37</v>
      </c>
      <c r="D1991" s="2">
        <v>16436</v>
      </c>
      <c r="E1991" s="2">
        <v>969</v>
      </c>
      <c r="F1991" s="2">
        <f t="shared" si="101"/>
        <v>49</v>
      </c>
      <c r="G1991" s="2">
        <f t="shared" si="99"/>
        <v>12</v>
      </c>
      <c r="H1991" s="2">
        <f t="shared" si="100"/>
        <v>0</v>
      </c>
    </row>
    <row r="1992" spans="2:9" x14ac:dyDescent="0.2">
      <c r="B1992" s="3" t="s">
        <v>13</v>
      </c>
      <c r="C1992" s="3" t="s">
        <v>14</v>
      </c>
      <c r="D1992" s="2">
        <v>18955</v>
      </c>
      <c r="E1992" s="2">
        <v>923</v>
      </c>
      <c r="F1992" s="2">
        <f t="shared" si="101"/>
        <v>97</v>
      </c>
      <c r="G1992" s="2">
        <f t="shared" si="99"/>
        <v>1</v>
      </c>
      <c r="H1992" s="2">
        <f t="shared" si="100"/>
        <v>9800</v>
      </c>
      <c r="I1992" s="2">
        <v>640808</v>
      </c>
    </row>
    <row r="1993" spans="2:9" x14ac:dyDescent="0.2">
      <c r="B1993" s="3"/>
      <c r="C1993" s="3" t="s">
        <v>15</v>
      </c>
      <c r="D1993" s="2">
        <v>22686</v>
      </c>
      <c r="E1993" s="2">
        <v>1701</v>
      </c>
      <c r="F1993" s="2">
        <f t="shared" si="101"/>
        <v>103</v>
      </c>
      <c r="G1993" s="2">
        <f t="shared" si="99"/>
        <v>6</v>
      </c>
      <c r="H1993" s="2">
        <f t="shared" si="100"/>
        <v>0</v>
      </c>
    </row>
    <row r="1994" spans="2:9" x14ac:dyDescent="0.2">
      <c r="B1994" s="3"/>
      <c r="C1994" s="3" t="s">
        <v>12</v>
      </c>
      <c r="D1994" s="2">
        <v>15170</v>
      </c>
      <c r="E1994" s="2">
        <v>998</v>
      </c>
      <c r="F1994" s="2">
        <f t="shared" si="101"/>
        <v>106</v>
      </c>
      <c r="G1994" s="2">
        <f t="shared" si="99"/>
        <v>8</v>
      </c>
      <c r="H1994" s="2">
        <f t="shared" si="100"/>
        <v>0</v>
      </c>
    </row>
    <row r="1995" spans="2:9" x14ac:dyDescent="0.2">
      <c r="B1995" s="3"/>
      <c r="C1995" s="3" t="s">
        <v>33</v>
      </c>
      <c r="D1995" s="2">
        <v>8689</v>
      </c>
      <c r="E1995" s="2">
        <v>859</v>
      </c>
      <c r="F1995" s="2">
        <f t="shared" si="101"/>
        <v>43</v>
      </c>
      <c r="G1995" s="2">
        <f t="shared" si="99"/>
        <v>4</v>
      </c>
      <c r="H1995" s="2">
        <f t="shared" si="100"/>
        <v>0</v>
      </c>
    </row>
    <row r="1996" spans="2:9" x14ac:dyDescent="0.2">
      <c r="B1996" s="3"/>
      <c r="C1996" s="3" t="s">
        <v>34</v>
      </c>
      <c r="D1996" s="2">
        <v>11696</v>
      </c>
      <c r="E1996" s="2">
        <v>820</v>
      </c>
      <c r="F1996" s="2">
        <f t="shared" si="101"/>
        <v>96</v>
      </c>
      <c r="G1996" s="2">
        <f t="shared" si="99"/>
        <v>7</v>
      </c>
      <c r="H1996" s="2">
        <f t="shared" si="100"/>
        <v>0</v>
      </c>
    </row>
    <row r="1997" spans="2:9" x14ac:dyDescent="0.2">
      <c r="B1997" s="3" t="s">
        <v>23</v>
      </c>
      <c r="C1997" s="3" t="s">
        <v>24</v>
      </c>
      <c r="D1997" s="2">
        <v>20714</v>
      </c>
      <c r="E1997" s="2">
        <v>2513</v>
      </c>
      <c r="F1997" s="2">
        <f t="shared" si="101"/>
        <v>51</v>
      </c>
      <c r="G1997" s="2">
        <f t="shared" si="99"/>
        <v>15</v>
      </c>
      <c r="H1997" s="2">
        <f t="shared" si="100"/>
        <v>72302</v>
      </c>
      <c r="I1997" s="2">
        <v>699849</v>
      </c>
    </row>
    <row r="1998" spans="2:9" x14ac:dyDescent="0.2">
      <c r="B1998" s="3"/>
      <c r="C1998" s="3" t="s">
        <v>25</v>
      </c>
      <c r="D1998" s="2">
        <v>8474</v>
      </c>
      <c r="E1998" s="2">
        <v>1014</v>
      </c>
      <c r="F1998" s="2">
        <f t="shared" si="101"/>
        <v>17</v>
      </c>
      <c r="G1998" s="2">
        <f t="shared" si="99"/>
        <v>7</v>
      </c>
      <c r="H1998" s="2">
        <f t="shared" si="100"/>
        <v>0</v>
      </c>
    </row>
    <row r="1999" spans="2:9" x14ac:dyDescent="0.2">
      <c r="B1999" s="3"/>
      <c r="C1999" s="3" t="s">
        <v>28</v>
      </c>
      <c r="E1999" s="2">
        <v>833</v>
      </c>
      <c r="G1999" s="2">
        <f t="shared" si="99"/>
        <v>5</v>
      </c>
      <c r="H1999" s="2">
        <f t="shared" si="100"/>
        <v>0</v>
      </c>
    </row>
    <row r="2000" spans="2:9" x14ac:dyDescent="0.2">
      <c r="B2000" s="3"/>
      <c r="C2000" s="3" t="s">
        <v>38</v>
      </c>
      <c r="D2000" s="2">
        <v>2058</v>
      </c>
      <c r="E2000" s="2">
        <v>255</v>
      </c>
      <c r="F2000" s="2">
        <f t="shared" si="101"/>
        <v>8</v>
      </c>
      <c r="G2000" s="2">
        <f t="shared" si="99"/>
        <v>1</v>
      </c>
      <c r="H2000" s="2">
        <f t="shared" si="100"/>
        <v>0</v>
      </c>
    </row>
    <row r="2001" spans="1:9" x14ac:dyDescent="0.2">
      <c r="B2001" s="3"/>
      <c r="C2001" s="3" t="s">
        <v>39</v>
      </c>
      <c r="D2001" s="2">
        <v>1350</v>
      </c>
      <c r="E2001" s="2">
        <v>100</v>
      </c>
      <c r="F2001" s="2">
        <f t="shared" si="101"/>
        <v>2</v>
      </c>
      <c r="G2001" s="2">
        <f t="shared" si="99"/>
        <v>0</v>
      </c>
      <c r="H2001" s="2">
        <f t="shared" si="100"/>
        <v>0</v>
      </c>
    </row>
    <row r="2002" spans="1:9" x14ac:dyDescent="0.2">
      <c r="B2002" s="3" t="s">
        <v>16</v>
      </c>
      <c r="C2002" s="3" t="s">
        <v>17</v>
      </c>
      <c r="D2002" s="2">
        <v>19110</v>
      </c>
      <c r="E2002" s="2">
        <v>1414</v>
      </c>
      <c r="F2002" s="2">
        <f t="shared" si="101"/>
        <v>133</v>
      </c>
      <c r="G2002" s="2">
        <f t="shared" si="99"/>
        <v>3</v>
      </c>
      <c r="H2002" s="2">
        <f t="shared" si="100"/>
        <v>11622</v>
      </c>
      <c r="I2002" s="2">
        <f>SUM(75086+435122)</f>
        <v>510208</v>
      </c>
    </row>
    <row r="2003" spans="1:9" x14ac:dyDescent="0.2">
      <c r="B2003" s="3"/>
      <c r="C2003" s="3" t="s">
        <v>18</v>
      </c>
      <c r="D2003" s="2">
        <v>7542</v>
      </c>
      <c r="E2003" s="2">
        <v>724</v>
      </c>
      <c r="F2003" s="2">
        <f t="shared" si="101"/>
        <v>126</v>
      </c>
      <c r="G2003" s="2">
        <f t="shared" si="99"/>
        <v>3</v>
      </c>
      <c r="H2003" s="2">
        <f t="shared" si="100"/>
        <v>0</v>
      </c>
    </row>
    <row r="2004" spans="1:9" x14ac:dyDescent="0.2">
      <c r="B2004" s="3"/>
      <c r="C2004" s="3" t="s">
        <v>19</v>
      </c>
      <c r="D2004" s="2">
        <v>6659</v>
      </c>
      <c r="E2004" s="2">
        <v>651</v>
      </c>
      <c r="F2004" s="2">
        <f t="shared" si="101"/>
        <v>51</v>
      </c>
      <c r="G2004" s="2">
        <f t="shared" si="99"/>
        <v>6</v>
      </c>
      <c r="H2004" s="2">
        <f t="shared" si="100"/>
        <v>0</v>
      </c>
    </row>
    <row r="2005" spans="1:9" x14ac:dyDescent="0.2">
      <c r="B2005" s="3"/>
      <c r="C2005" s="3" t="s">
        <v>40</v>
      </c>
      <c r="D2005" s="2">
        <v>3846</v>
      </c>
      <c r="E2005" s="2">
        <v>248</v>
      </c>
      <c r="F2005" s="2">
        <f t="shared" si="101"/>
        <v>17</v>
      </c>
      <c r="G2005" s="2">
        <f t="shared" si="99"/>
        <v>3</v>
      </c>
      <c r="H2005" s="2">
        <f t="shared" si="100"/>
        <v>0</v>
      </c>
    </row>
    <row r="2006" spans="1:9" x14ac:dyDescent="0.2">
      <c r="B2006" s="3"/>
      <c r="C2006" s="3" t="s">
        <v>41</v>
      </c>
      <c r="D2006" s="2">
        <v>4184</v>
      </c>
      <c r="E2006" s="2">
        <v>333</v>
      </c>
      <c r="F2006" s="2">
        <f t="shared" si="101"/>
        <v>17</v>
      </c>
      <c r="G2006" s="2">
        <f t="shared" si="99"/>
        <v>4</v>
      </c>
      <c r="H2006" s="2">
        <f t="shared" si="100"/>
        <v>0</v>
      </c>
    </row>
    <row r="2007" spans="1:9" x14ac:dyDescent="0.2">
      <c r="B2007" s="3" t="s">
        <v>20</v>
      </c>
      <c r="C2007" s="3" t="s">
        <v>22</v>
      </c>
      <c r="D2007" s="2">
        <v>62269</v>
      </c>
      <c r="E2007" s="2">
        <v>2620</v>
      </c>
      <c r="F2007" s="2">
        <f t="shared" si="101"/>
        <v>1314</v>
      </c>
      <c r="G2007" s="2">
        <f t="shared" si="99"/>
        <v>55</v>
      </c>
      <c r="H2007" s="2">
        <f t="shared" si="100"/>
        <v>53918</v>
      </c>
      <c r="I2007" s="2">
        <v>2362218</v>
      </c>
    </row>
    <row r="2008" spans="1:9" x14ac:dyDescent="0.2">
      <c r="B2008" s="3"/>
      <c r="C2008" s="3" t="s">
        <v>26</v>
      </c>
      <c r="D2008" s="2">
        <v>8347</v>
      </c>
      <c r="E2008" s="2">
        <v>312</v>
      </c>
      <c r="F2008" s="2">
        <f t="shared" si="101"/>
        <v>165</v>
      </c>
      <c r="G2008" s="2">
        <f t="shared" si="99"/>
        <v>0</v>
      </c>
      <c r="H2008" s="2">
        <f t="shared" si="100"/>
        <v>0</v>
      </c>
    </row>
    <row r="2009" spans="1:9" x14ac:dyDescent="0.2">
      <c r="B2009" s="3"/>
      <c r="C2009" s="3" t="s">
        <v>27</v>
      </c>
      <c r="D2009" s="2">
        <v>8935</v>
      </c>
      <c r="E2009" s="2">
        <v>355</v>
      </c>
      <c r="F2009" s="2">
        <f t="shared" si="101"/>
        <v>235</v>
      </c>
      <c r="G2009" s="2">
        <f t="shared" si="99"/>
        <v>0</v>
      </c>
      <c r="H2009" s="2">
        <f t="shared" si="100"/>
        <v>0</v>
      </c>
    </row>
    <row r="2010" spans="1:9" x14ac:dyDescent="0.2">
      <c r="C2010" s="3" t="s">
        <v>42</v>
      </c>
      <c r="D2010" s="2">
        <v>2934</v>
      </c>
      <c r="E2010" s="2">
        <v>144</v>
      </c>
      <c r="F2010" s="2">
        <f t="shared" si="101"/>
        <v>32</v>
      </c>
      <c r="G2010" s="2">
        <f t="shared" si="99"/>
        <v>0</v>
      </c>
      <c r="H2010" s="2">
        <f t="shared" si="100"/>
        <v>0</v>
      </c>
    </row>
    <row r="2011" spans="1:9" x14ac:dyDescent="0.2">
      <c r="C2011" s="3" t="s">
        <v>43</v>
      </c>
      <c r="D2011" s="2">
        <v>7576</v>
      </c>
      <c r="E2011" s="2">
        <v>176</v>
      </c>
      <c r="F2011" s="2">
        <f t="shared" si="101"/>
        <v>185</v>
      </c>
      <c r="G2011" s="2">
        <f t="shared" si="99"/>
        <v>2</v>
      </c>
      <c r="H2011" s="2">
        <f t="shared" si="100"/>
        <v>0</v>
      </c>
    </row>
    <row r="2012" spans="1:9" x14ac:dyDescent="0.2">
      <c r="A2012" s="1">
        <v>43989</v>
      </c>
      <c r="B2012" s="3" t="s">
        <v>5</v>
      </c>
      <c r="C2012" s="3" t="s">
        <v>6</v>
      </c>
      <c r="D2012" s="2">
        <v>62963</v>
      </c>
      <c r="E2012" s="2">
        <v>3958</v>
      </c>
      <c r="F2012" s="2">
        <f t="shared" si="101"/>
        <v>113</v>
      </c>
      <c r="G2012" s="2">
        <f t="shared" si="99"/>
        <v>1</v>
      </c>
      <c r="H2012" s="2">
        <f t="shared" si="100"/>
        <v>60435</v>
      </c>
      <c r="I2012" s="2">
        <v>2497842</v>
      </c>
    </row>
    <row r="2013" spans="1:9" x14ac:dyDescent="0.2">
      <c r="B2013" s="3"/>
      <c r="C2013" s="3" t="s">
        <v>7</v>
      </c>
      <c r="D2013" s="2">
        <v>57131</v>
      </c>
      <c r="E2013" s="2">
        <v>4452</v>
      </c>
      <c r="F2013" s="2">
        <f t="shared" si="101"/>
        <v>165</v>
      </c>
      <c r="G2013" s="2">
        <f t="shared" si="99"/>
        <v>3</v>
      </c>
      <c r="H2013" s="2">
        <f t="shared" si="100"/>
        <v>0</v>
      </c>
    </row>
    <row r="2014" spans="1:9" x14ac:dyDescent="0.2">
      <c r="B2014" s="3"/>
      <c r="C2014" s="3" t="s">
        <v>8</v>
      </c>
      <c r="D2014" s="2">
        <v>40904</v>
      </c>
      <c r="E2014" s="2">
        <v>2642</v>
      </c>
      <c r="F2014" s="2">
        <f t="shared" si="101"/>
        <v>51</v>
      </c>
      <c r="G2014" s="2">
        <f t="shared" si="99"/>
        <v>7</v>
      </c>
      <c r="H2014" s="2">
        <f t="shared" si="100"/>
        <v>0</v>
      </c>
    </row>
    <row r="2015" spans="1:9" x14ac:dyDescent="0.2">
      <c r="B2015" s="3"/>
      <c r="C2015" s="3" t="s">
        <v>35</v>
      </c>
      <c r="D2015" s="2">
        <v>45980</v>
      </c>
      <c r="E2015" s="2">
        <v>2990</v>
      </c>
      <c r="F2015" s="2">
        <f t="shared" si="101"/>
        <v>98</v>
      </c>
      <c r="G2015" s="2">
        <f t="shared" si="99"/>
        <v>6</v>
      </c>
      <c r="H2015" s="2">
        <f t="shared" si="100"/>
        <v>0</v>
      </c>
    </row>
    <row r="2016" spans="1:9" x14ac:dyDescent="0.2">
      <c r="B2016" s="3"/>
      <c r="C2016" s="3" t="s">
        <v>14</v>
      </c>
      <c r="D2016" s="2">
        <v>40329</v>
      </c>
      <c r="E2016" s="2">
        <v>1978</v>
      </c>
      <c r="F2016" s="2">
        <f t="shared" si="101"/>
        <v>51</v>
      </c>
      <c r="G2016" s="2">
        <f t="shared" si="99"/>
        <v>8</v>
      </c>
      <c r="H2016" s="2">
        <f t="shared" si="100"/>
        <v>0</v>
      </c>
    </row>
    <row r="2017" spans="2:9" x14ac:dyDescent="0.2">
      <c r="B2017" s="3" t="s">
        <v>9</v>
      </c>
      <c r="C2017" s="3" t="s">
        <v>10</v>
      </c>
      <c r="D2017" s="2">
        <v>18512</v>
      </c>
      <c r="E2017" s="2">
        <v>1618</v>
      </c>
      <c r="F2017" s="2">
        <f t="shared" si="101"/>
        <v>20</v>
      </c>
      <c r="G2017" s="2">
        <f t="shared" ref="G2017:G2066" si="102">SUM(E2017-E1987)</f>
        <v>6</v>
      </c>
      <c r="H2017" s="2">
        <f t="shared" si="100"/>
        <v>40977</v>
      </c>
      <c r="I2017" s="2">
        <v>960425</v>
      </c>
    </row>
    <row r="2018" spans="2:9" x14ac:dyDescent="0.2">
      <c r="B2018" s="3"/>
      <c r="C2018" s="3" t="s">
        <v>11</v>
      </c>
      <c r="D2018" s="2">
        <v>18565</v>
      </c>
      <c r="E2018" s="2">
        <v>1218</v>
      </c>
      <c r="F2018" s="2">
        <f t="shared" si="101"/>
        <v>17</v>
      </c>
      <c r="G2018" s="2">
        <f t="shared" si="102"/>
        <v>8</v>
      </c>
      <c r="H2018" s="2">
        <f t="shared" si="100"/>
        <v>0</v>
      </c>
    </row>
    <row r="2019" spans="2:9" x14ac:dyDescent="0.2">
      <c r="B2019" s="3"/>
      <c r="C2019" s="3" t="s">
        <v>12</v>
      </c>
      <c r="D2019" s="2">
        <v>18077</v>
      </c>
      <c r="E2019" s="2">
        <v>1707</v>
      </c>
      <c r="F2019" s="2">
        <f t="shared" si="101"/>
        <v>11</v>
      </c>
      <c r="H2019" s="2">
        <f t="shared" si="100"/>
        <v>0</v>
      </c>
    </row>
    <row r="2020" spans="2:9" x14ac:dyDescent="0.2">
      <c r="B2020" s="3"/>
      <c r="C2020" s="3" t="s">
        <v>36</v>
      </c>
      <c r="D2020" s="2">
        <v>16186</v>
      </c>
      <c r="E2020" s="2">
        <v>1098</v>
      </c>
      <c r="F2020" s="2">
        <f t="shared" si="101"/>
        <v>70</v>
      </c>
      <c r="G2020" s="2">
        <f t="shared" si="102"/>
        <v>3</v>
      </c>
      <c r="H2020" s="2">
        <f t="shared" ref="H2020:H2083" si="103">SUM(I2020-I1990)</f>
        <v>0</v>
      </c>
    </row>
    <row r="2021" spans="2:9" x14ac:dyDescent="0.2">
      <c r="B2021" s="3"/>
      <c r="C2021" s="3" t="s">
        <v>37</v>
      </c>
      <c r="D2021" s="2">
        <v>16449</v>
      </c>
      <c r="E2021" s="2">
        <v>972</v>
      </c>
      <c r="F2021" s="2">
        <f t="shared" si="101"/>
        <v>13</v>
      </c>
      <c r="G2021" s="2">
        <f t="shared" si="102"/>
        <v>3</v>
      </c>
      <c r="H2021" s="2">
        <f t="shared" si="103"/>
        <v>0</v>
      </c>
    </row>
    <row r="2022" spans="2:9" x14ac:dyDescent="0.2">
      <c r="B2022" s="3" t="s">
        <v>13</v>
      </c>
      <c r="C2022" s="3" t="s">
        <v>14</v>
      </c>
      <c r="D2022" s="2">
        <v>19001</v>
      </c>
      <c r="E2022" s="2">
        <v>924</v>
      </c>
      <c r="F2022" s="2">
        <f t="shared" si="101"/>
        <v>46</v>
      </c>
      <c r="G2022" s="2">
        <f t="shared" si="102"/>
        <v>1</v>
      </c>
      <c r="H2022" s="2">
        <f t="shared" si="103"/>
        <v>7808</v>
      </c>
      <c r="I2022" s="2">
        <v>648616</v>
      </c>
    </row>
    <row r="2023" spans="2:9" x14ac:dyDescent="0.2">
      <c r="B2023" s="3"/>
      <c r="C2023" s="3" t="s">
        <v>15</v>
      </c>
      <c r="D2023" s="2">
        <v>22754</v>
      </c>
      <c r="E2023" s="2">
        <v>1705</v>
      </c>
      <c r="F2023" s="2">
        <f t="shared" si="101"/>
        <v>68</v>
      </c>
      <c r="G2023" s="2">
        <f t="shared" si="102"/>
        <v>4</v>
      </c>
      <c r="H2023" s="2">
        <f t="shared" si="103"/>
        <v>0</v>
      </c>
    </row>
    <row r="2024" spans="2:9" x14ac:dyDescent="0.2">
      <c r="B2024" s="3"/>
      <c r="C2024" s="3" t="s">
        <v>12</v>
      </c>
      <c r="D2024" s="2">
        <v>15217</v>
      </c>
      <c r="E2024" s="2">
        <v>1003</v>
      </c>
      <c r="F2024" s="2">
        <f t="shared" si="101"/>
        <v>47</v>
      </c>
      <c r="G2024" s="2">
        <f t="shared" si="102"/>
        <v>5</v>
      </c>
      <c r="H2024" s="2">
        <f t="shared" si="103"/>
        <v>0</v>
      </c>
    </row>
    <row r="2025" spans="2:9" x14ac:dyDescent="0.2">
      <c r="B2025" s="3"/>
      <c r="C2025" s="3" t="s">
        <v>33</v>
      </c>
      <c r="D2025" s="2">
        <v>8713</v>
      </c>
      <c r="E2025" s="2">
        <v>863</v>
      </c>
      <c r="F2025" s="2">
        <f t="shared" si="101"/>
        <v>24</v>
      </c>
      <c r="G2025" s="2">
        <f t="shared" si="102"/>
        <v>4</v>
      </c>
      <c r="H2025" s="2">
        <f t="shared" si="103"/>
        <v>0</v>
      </c>
    </row>
    <row r="2026" spans="2:9" x14ac:dyDescent="0.2">
      <c r="B2026" s="3"/>
      <c r="C2026" s="3" t="s">
        <v>34</v>
      </c>
      <c r="D2026" s="2">
        <v>11732</v>
      </c>
      <c r="E2026" s="2">
        <v>823</v>
      </c>
      <c r="F2026" s="2">
        <f t="shared" si="101"/>
        <v>36</v>
      </c>
      <c r="G2026" s="2">
        <f t="shared" si="102"/>
        <v>3</v>
      </c>
      <c r="H2026" s="2">
        <f t="shared" si="103"/>
        <v>0</v>
      </c>
    </row>
    <row r="2027" spans="2:9" x14ac:dyDescent="0.2">
      <c r="B2027" s="3" t="s">
        <v>23</v>
      </c>
      <c r="C2027" s="3" t="s">
        <v>24</v>
      </c>
      <c r="D2027" s="2">
        <v>20745</v>
      </c>
      <c r="E2027" s="2">
        <v>2514</v>
      </c>
      <c r="F2027" s="2">
        <f t="shared" si="101"/>
        <v>31</v>
      </c>
      <c r="G2027" s="2">
        <f t="shared" si="102"/>
        <v>1</v>
      </c>
      <c r="H2027" s="2">
        <f t="shared" si="103"/>
        <v>10869</v>
      </c>
      <c r="I2027" s="2">
        <v>710718</v>
      </c>
    </row>
    <row r="2028" spans="2:9" x14ac:dyDescent="0.2">
      <c r="B2028" s="3"/>
      <c r="C2028" s="3" t="s">
        <v>25</v>
      </c>
      <c r="D2028" s="2">
        <v>8481</v>
      </c>
      <c r="E2028" s="2">
        <v>1014</v>
      </c>
      <c r="F2028" s="2">
        <f t="shared" si="101"/>
        <v>7</v>
      </c>
      <c r="G2028" s="2">
        <f t="shared" si="102"/>
        <v>0</v>
      </c>
      <c r="H2028" s="2">
        <f t="shared" si="103"/>
        <v>0</v>
      </c>
    </row>
    <row r="2029" spans="2:9" x14ac:dyDescent="0.2">
      <c r="B2029" s="3"/>
      <c r="C2029" s="3" t="s">
        <v>28</v>
      </c>
      <c r="E2029" s="2">
        <v>833</v>
      </c>
      <c r="G2029" s="2">
        <f t="shared" si="102"/>
        <v>0</v>
      </c>
      <c r="H2029" s="2">
        <f t="shared" si="103"/>
        <v>0</v>
      </c>
    </row>
    <row r="2030" spans="2:9" x14ac:dyDescent="0.2">
      <c r="B2030" s="3"/>
      <c r="C2030" s="3" t="s">
        <v>38</v>
      </c>
      <c r="D2030" s="2">
        <v>2062</v>
      </c>
      <c r="E2030" s="2">
        <v>255</v>
      </c>
      <c r="F2030" s="2">
        <f t="shared" si="101"/>
        <v>4</v>
      </c>
      <c r="G2030" s="2">
        <f t="shared" si="102"/>
        <v>0</v>
      </c>
      <c r="H2030" s="2">
        <f t="shared" si="103"/>
        <v>0</v>
      </c>
    </row>
    <row r="2031" spans="2:9" x14ac:dyDescent="0.2">
      <c r="B2031" s="3"/>
      <c r="C2031" s="3" t="s">
        <v>39</v>
      </c>
      <c r="D2031" s="2">
        <v>1351</v>
      </c>
      <c r="E2031" s="2">
        <v>100</v>
      </c>
      <c r="F2031" s="2">
        <f t="shared" si="101"/>
        <v>1</v>
      </c>
      <c r="G2031" s="2">
        <f t="shared" si="102"/>
        <v>0</v>
      </c>
      <c r="H2031" s="2">
        <f t="shared" si="103"/>
        <v>0</v>
      </c>
    </row>
    <row r="2032" spans="2:9" x14ac:dyDescent="0.2">
      <c r="B2032" s="3" t="s">
        <v>16</v>
      </c>
      <c r="C2032" s="3" t="s">
        <v>17</v>
      </c>
      <c r="D2032" s="2">
        <v>19213</v>
      </c>
      <c r="E2032" s="2">
        <v>1420</v>
      </c>
      <c r="F2032" s="2">
        <f t="shared" si="101"/>
        <v>103</v>
      </c>
      <c r="G2032" s="2">
        <f t="shared" si="102"/>
        <v>6</v>
      </c>
      <c r="H2032" s="2">
        <f t="shared" si="103"/>
        <v>9557</v>
      </c>
      <c r="I2032" s="2">
        <f>SUM(75592+444173)</f>
        <v>519765</v>
      </c>
    </row>
    <row r="2033" spans="1:9" x14ac:dyDescent="0.2">
      <c r="B2033" s="3"/>
      <c r="C2033" s="3" t="s">
        <v>18</v>
      </c>
      <c r="D2033" s="2">
        <v>7582</v>
      </c>
      <c r="E2033" s="2">
        <v>725</v>
      </c>
      <c r="F2033" s="2">
        <f t="shared" si="101"/>
        <v>40</v>
      </c>
      <c r="G2033" s="2">
        <f t="shared" si="102"/>
        <v>1</v>
      </c>
      <c r="H2033" s="2">
        <f t="shared" si="103"/>
        <v>0</v>
      </c>
    </row>
    <row r="2034" spans="1:9" x14ac:dyDescent="0.2">
      <c r="B2034" s="3"/>
      <c r="C2034" s="3" t="s">
        <v>19</v>
      </c>
      <c r="D2034" s="2">
        <v>6688</v>
      </c>
      <c r="E2034" s="2">
        <v>651</v>
      </c>
      <c r="F2034" s="2">
        <f t="shared" si="101"/>
        <v>29</v>
      </c>
      <c r="G2034" s="2">
        <f t="shared" si="102"/>
        <v>0</v>
      </c>
      <c r="H2034" s="2">
        <f t="shared" si="103"/>
        <v>0</v>
      </c>
    </row>
    <row r="2035" spans="1:9" x14ac:dyDescent="0.2">
      <c r="B2035" s="3"/>
      <c r="C2035" s="3" t="s">
        <v>40</v>
      </c>
      <c r="D2035" s="2">
        <v>3858</v>
      </c>
      <c r="E2035" s="2">
        <v>248</v>
      </c>
      <c r="F2035" s="2">
        <f t="shared" si="101"/>
        <v>12</v>
      </c>
      <c r="G2035" s="2">
        <f t="shared" si="102"/>
        <v>0</v>
      </c>
      <c r="H2035" s="2">
        <f t="shared" si="103"/>
        <v>0</v>
      </c>
    </row>
    <row r="2036" spans="1:9" x14ac:dyDescent="0.2">
      <c r="B2036" s="3"/>
      <c r="C2036" s="3" t="s">
        <v>41</v>
      </c>
      <c r="D2036" s="2">
        <v>4201</v>
      </c>
      <c r="E2036" s="2">
        <v>333</v>
      </c>
      <c r="F2036" s="2">
        <f t="shared" si="101"/>
        <v>17</v>
      </c>
      <c r="G2036" s="2">
        <f t="shared" si="102"/>
        <v>0</v>
      </c>
      <c r="H2036" s="2">
        <f t="shared" si="103"/>
        <v>0</v>
      </c>
    </row>
    <row r="2037" spans="1:9" x14ac:dyDescent="0.2">
      <c r="B2037" s="3" t="s">
        <v>20</v>
      </c>
      <c r="C2037" s="3" t="s">
        <v>22</v>
      </c>
      <c r="D2037" s="2">
        <v>63750</v>
      </c>
      <c r="E2037" s="2">
        <v>2645</v>
      </c>
      <c r="F2037" s="2">
        <f t="shared" si="101"/>
        <v>1481</v>
      </c>
      <c r="G2037" s="2">
        <f t="shared" si="102"/>
        <v>25</v>
      </c>
      <c r="H2037" s="2">
        <f t="shared" si="103"/>
        <v>68972</v>
      </c>
      <c r="I2037" s="2">
        <v>2431190</v>
      </c>
    </row>
    <row r="2038" spans="1:9" x14ac:dyDescent="0.2">
      <c r="B2038" s="3"/>
      <c r="C2038" s="3" t="s">
        <v>26</v>
      </c>
      <c r="D2038" s="2">
        <v>8478</v>
      </c>
      <c r="E2038" s="2">
        <v>312</v>
      </c>
      <c r="F2038" s="2">
        <f t="shared" si="101"/>
        <v>131</v>
      </c>
      <c r="G2038" s="2">
        <f t="shared" si="102"/>
        <v>0</v>
      </c>
      <c r="H2038" s="2">
        <f t="shared" si="103"/>
        <v>0</v>
      </c>
    </row>
    <row r="2039" spans="1:9" x14ac:dyDescent="0.2">
      <c r="B2039" s="3"/>
      <c r="C2039" s="3" t="s">
        <v>27</v>
      </c>
      <c r="D2039" s="2">
        <v>9105</v>
      </c>
      <c r="E2039" s="2">
        <v>355</v>
      </c>
      <c r="F2039" s="2">
        <f t="shared" si="101"/>
        <v>170</v>
      </c>
      <c r="G2039" s="2">
        <f t="shared" si="102"/>
        <v>0</v>
      </c>
      <c r="H2039" s="2">
        <f t="shared" si="103"/>
        <v>0</v>
      </c>
    </row>
    <row r="2040" spans="1:9" x14ac:dyDescent="0.2">
      <c r="C2040" s="3" t="s">
        <v>42</v>
      </c>
      <c r="D2040" s="2">
        <v>2947</v>
      </c>
      <c r="E2040" s="2">
        <v>144</v>
      </c>
      <c r="F2040" s="2">
        <f t="shared" si="101"/>
        <v>13</v>
      </c>
      <c r="G2040" s="2">
        <f t="shared" si="102"/>
        <v>0</v>
      </c>
      <c r="H2040" s="2">
        <f t="shared" si="103"/>
        <v>0</v>
      </c>
    </row>
    <row r="2041" spans="1:9" x14ac:dyDescent="0.2">
      <c r="C2041" s="3" t="s">
        <v>43</v>
      </c>
      <c r="D2041" s="2">
        <v>7643</v>
      </c>
      <c r="E2041" s="2">
        <v>177</v>
      </c>
      <c r="F2041" s="2">
        <f t="shared" si="101"/>
        <v>67</v>
      </c>
      <c r="G2041" s="2">
        <f t="shared" si="102"/>
        <v>1</v>
      </c>
      <c r="H2041" s="2">
        <f t="shared" si="103"/>
        <v>0</v>
      </c>
    </row>
    <row r="2042" spans="1:9" x14ac:dyDescent="0.2">
      <c r="A2042" s="1">
        <v>43990</v>
      </c>
      <c r="B2042" s="3" t="s">
        <v>5</v>
      </c>
      <c r="C2042" s="3" t="s">
        <v>6</v>
      </c>
      <c r="D2042" s="2">
        <v>63097</v>
      </c>
      <c r="E2042" s="2">
        <v>3963</v>
      </c>
      <c r="F2042" s="2">
        <f t="shared" ref="F2042:F2105" si="104">SUM(D2042-D2012)</f>
        <v>134</v>
      </c>
      <c r="G2042" s="2">
        <f t="shared" si="102"/>
        <v>5</v>
      </c>
      <c r="H2042" s="2">
        <f t="shared" si="103"/>
        <v>58054</v>
      </c>
      <c r="I2042" s="2">
        <v>2555896</v>
      </c>
    </row>
    <row r="2043" spans="1:9" x14ac:dyDescent="0.2">
      <c r="B2043" s="3"/>
      <c r="C2043" s="3" t="s">
        <v>7</v>
      </c>
      <c r="D2043" s="2">
        <v>57260</v>
      </c>
      <c r="E2043" s="2">
        <v>4458</v>
      </c>
      <c r="F2043" s="2">
        <f t="shared" si="104"/>
        <v>129</v>
      </c>
      <c r="G2043" s="2">
        <f t="shared" si="102"/>
        <v>6</v>
      </c>
      <c r="H2043" s="2">
        <f t="shared" si="103"/>
        <v>0</v>
      </c>
    </row>
    <row r="2044" spans="1:9" x14ac:dyDescent="0.2">
      <c r="B2044" s="3"/>
      <c r="C2044" s="3" t="s">
        <v>8</v>
      </c>
      <c r="D2044" s="2">
        <v>40947</v>
      </c>
      <c r="E2044" s="2">
        <v>2645</v>
      </c>
      <c r="F2044" s="2">
        <f t="shared" si="104"/>
        <v>43</v>
      </c>
      <c r="G2044" s="2">
        <f t="shared" si="102"/>
        <v>3</v>
      </c>
      <c r="H2044" s="2">
        <f t="shared" si="103"/>
        <v>0</v>
      </c>
    </row>
    <row r="2045" spans="1:9" x14ac:dyDescent="0.2">
      <c r="B2045" s="3"/>
      <c r="C2045" s="3" t="s">
        <v>35</v>
      </c>
      <c r="D2045" s="2">
        <v>46052</v>
      </c>
      <c r="E2045" s="2">
        <v>2994</v>
      </c>
      <c r="F2045" s="2">
        <f t="shared" si="104"/>
        <v>72</v>
      </c>
      <c r="G2045" s="2">
        <f t="shared" si="102"/>
        <v>4</v>
      </c>
      <c r="H2045" s="2">
        <f t="shared" si="103"/>
        <v>0</v>
      </c>
    </row>
    <row r="2046" spans="1:9" x14ac:dyDescent="0.2">
      <c r="B2046" s="3"/>
      <c r="C2046" s="3" t="s">
        <v>14</v>
      </c>
      <c r="D2046" s="2">
        <v>40377</v>
      </c>
      <c r="E2046" s="2">
        <v>1983</v>
      </c>
      <c r="F2046" s="2">
        <f t="shared" si="104"/>
        <v>48</v>
      </c>
      <c r="G2046" s="2">
        <f t="shared" si="102"/>
        <v>5</v>
      </c>
      <c r="H2046" s="2">
        <f t="shared" si="103"/>
        <v>0</v>
      </c>
    </row>
    <row r="2047" spans="1:9" x14ac:dyDescent="0.2">
      <c r="B2047" s="3" t="s">
        <v>9</v>
      </c>
      <c r="C2047" s="3" t="s">
        <v>10</v>
      </c>
      <c r="D2047" s="2">
        <v>18538</v>
      </c>
      <c r="E2047" s="2">
        <v>1621</v>
      </c>
      <c r="F2047" s="2">
        <f t="shared" si="104"/>
        <v>26</v>
      </c>
      <c r="G2047" s="2">
        <f t="shared" si="102"/>
        <v>3</v>
      </c>
      <c r="H2047" s="2">
        <f t="shared" si="103"/>
        <v>14664</v>
      </c>
      <c r="I2047" s="2">
        <v>975089</v>
      </c>
    </row>
    <row r="2048" spans="1:9" x14ac:dyDescent="0.2">
      <c r="B2048" s="3"/>
      <c r="C2048" s="3" t="s">
        <v>11</v>
      </c>
      <c r="D2048" s="2">
        <v>18584</v>
      </c>
      <c r="E2048" s="2">
        <v>1226</v>
      </c>
      <c r="F2048" s="2">
        <f t="shared" si="104"/>
        <v>19</v>
      </c>
      <c r="G2048" s="2">
        <f t="shared" si="102"/>
        <v>8</v>
      </c>
      <c r="H2048" s="2">
        <f t="shared" si="103"/>
        <v>0</v>
      </c>
    </row>
    <row r="2049" spans="2:9" x14ac:dyDescent="0.2">
      <c r="B2049" s="3"/>
      <c r="C2049" s="3" t="s">
        <v>12</v>
      </c>
      <c r="D2049" s="2">
        <v>18117</v>
      </c>
      <c r="E2049" s="2">
        <v>1710</v>
      </c>
      <c r="F2049" s="2">
        <f t="shared" si="104"/>
        <v>40</v>
      </c>
      <c r="G2049" s="2">
        <f t="shared" si="102"/>
        <v>3</v>
      </c>
      <c r="H2049" s="2">
        <f t="shared" si="103"/>
        <v>0</v>
      </c>
    </row>
    <row r="2050" spans="2:9" x14ac:dyDescent="0.2">
      <c r="B2050" s="3"/>
      <c r="C2050" s="3" t="s">
        <v>36</v>
      </c>
      <c r="D2050" s="2">
        <v>16241</v>
      </c>
      <c r="E2050" s="2">
        <v>1100</v>
      </c>
      <c r="F2050" s="2">
        <f t="shared" si="104"/>
        <v>55</v>
      </c>
      <c r="G2050" s="2">
        <f t="shared" si="102"/>
        <v>2</v>
      </c>
      <c r="H2050" s="2">
        <f t="shared" si="103"/>
        <v>0</v>
      </c>
    </row>
    <row r="2051" spans="2:9" x14ac:dyDescent="0.2">
      <c r="B2051" s="3"/>
      <c r="C2051" s="3" t="s">
        <v>37</v>
      </c>
      <c r="D2051" s="2">
        <v>16461</v>
      </c>
      <c r="E2051" s="2">
        <v>975</v>
      </c>
      <c r="F2051" s="2">
        <f t="shared" si="104"/>
        <v>12</v>
      </c>
      <c r="G2051" s="2">
        <f t="shared" si="102"/>
        <v>3</v>
      </c>
      <c r="H2051" s="2">
        <f t="shared" si="103"/>
        <v>0</v>
      </c>
    </row>
    <row r="2052" spans="2:9" x14ac:dyDescent="0.2">
      <c r="B2052" s="3" t="s">
        <v>13</v>
      </c>
      <c r="C2052" s="3" t="s">
        <v>14</v>
      </c>
      <c r="D2052" s="2">
        <v>19028</v>
      </c>
      <c r="E2052" s="2">
        <v>931</v>
      </c>
      <c r="F2052" s="2">
        <f t="shared" si="104"/>
        <v>27</v>
      </c>
      <c r="G2052" s="2">
        <f t="shared" si="102"/>
        <v>7</v>
      </c>
      <c r="H2052" s="2">
        <f t="shared" si="103"/>
        <v>4782</v>
      </c>
      <c r="I2052" s="2">
        <v>653398</v>
      </c>
    </row>
    <row r="2053" spans="2:9" x14ac:dyDescent="0.2">
      <c r="B2053" s="3"/>
      <c r="C2053" s="3" t="s">
        <v>15</v>
      </c>
      <c r="D2053" s="2">
        <v>22812</v>
      </c>
      <c r="E2053" s="2">
        <v>1711</v>
      </c>
      <c r="F2053" s="2">
        <f t="shared" si="104"/>
        <v>58</v>
      </c>
      <c r="G2053" s="2">
        <f t="shared" si="102"/>
        <v>6</v>
      </c>
      <c r="H2053" s="2">
        <f t="shared" si="103"/>
        <v>0</v>
      </c>
    </row>
    <row r="2054" spans="2:9" x14ac:dyDescent="0.2">
      <c r="B2054" s="3"/>
      <c r="C2054" s="3" t="s">
        <v>12</v>
      </c>
      <c r="D2054" s="2">
        <v>15236</v>
      </c>
      <c r="E2054" s="2">
        <v>1006</v>
      </c>
      <c r="F2054" s="2">
        <f t="shared" si="104"/>
        <v>19</v>
      </c>
      <c r="G2054" s="2">
        <f t="shared" si="102"/>
        <v>3</v>
      </c>
      <c r="H2054" s="2">
        <f t="shared" si="103"/>
        <v>0</v>
      </c>
    </row>
    <row r="2055" spans="2:9" x14ac:dyDescent="0.2">
      <c r="B2055" s="3"/>
      <c r="C2055" s="3" t="s">
        <v>33</v>
      </c>
      <c r="D2055" s="2">
        <v>8715</v>
      </c>
      <c r="E2055" s="2">
        <v>866</v>
      </c>
      <c r="F2055" s="2">
        <f t="shared" si="104"/>
        <v>2</v>
      </c>
      <c r="G2055" s="2">
        <f t="shared" si="102"/>
        <v>3</v>
      </c>
      <c r="H2055" s="2">
        <f t="shared" si="103"/>
        <v>0</v>
      </c>
    </row>
    <row r="2056" spans="2:9" x14ac:dyDescent="0.2">
      <c r="B2056" s="3"/>
      <c r="C2056" s="3" t="s">
        <v>34</v>
      </c>
      <c r="D2056" s="2">
        <v>11758</v>
      </c>
      <c r="E2056" s="2">
        <v>827</v>
      </c>
      <c r="F2056" s="2">
        <f t="shared" si="104"/>
        <v>26</v>
      </c>
      <c r="G2056" s="2">
        <f t="shared" si="102"/>
        <v>4</v>
      </c>
      <c r="H2056" s="2">
        <f t="shared" si="103"/>
        <v>0</v>
      </c>
    </row>
    <row r="2057" spans="2:9" x14ac:dyDescent="0.2">
      <c r="B2057" s="3" t="s">
        <v>23</v>
      </c>
      <c r="C2057" s="3" t="s">
        <v>24</v>
      </c>
      <c r="D2057" s="2">
        <v>20780</v>
      </c>
      <c r="E2057" s="2">
        <v>2519</v>
      </c>
      <c r="F2057" s="2">
        <f t="shared" si="104"/>
        <v>35</v>
      </c>
      <c r="G2057" s="2">
        <f t="shared" si="102"/>
        <v>5</v>
      </c>
      <c r="H2057" s="2">
        <f t="shared" si="103"/>
        <v>10317</v>
      </c>
      <c r="I2057" s="2">
        <v>721035</v>
      </c>
    </row>
    <row r="2058" spans="2:9" x14ac:dyDescent="0.2">
      <c r="B2058" s="3"/>
      <c r="C2058" s="3" t="s">
        <v>25</v>
      </c>
      <c r="D2058" s="2">
        <v>8488</v>
      </c>
      <c r="E2058" s="2">
        <v>1015</v>
      </c>
      <c r="F2058" s="2">
        <f t="shared" si="104"/>
        <v>7</v>
      </c>
      <c r="G2058" s="2">
        <f t="shared" si="102"/>
        <v>1</v>
      </c>
      <c r="H2058" s="2">
        <f t="shared" si="103"/>
        <v>0</v>
      </c>
    </row>
    <row r="2059" spans="2:9" x14ac:dyDescent="0.2">
      <c r="B2059" s="3"/>
      <c r="C2059" s="3" t="s">
        <v>28</v>
      </c>
      <c r="E2059" s="2">
        <v>833</v>
      </c>
      <c r="G2059" s="2">
        <f t="shared" si="102"/>
        <v>0</v>
      </c>
      <c r="H2059" s="2">
        <f t="shared" si="103"/>
        <v>0</v>
      </c>
    </row>
    <row r="2060" spans="2:9" x14ac:dyDescent="0.2">
      <c r="B2060" s="3"/>
      <c r="C2060" s="3" t="s">
        <v>38</v>
      </c>
      <c r="D2060" s="2">
        <v>2064</v>
      </c>
      <c r="E2060" s="2">
        <v>255</v>
      </c>
      <c r="F2060" s="2">
        <f t="shared" si="104"/>
        <v>2</v>
      </c>
      <c r="G2060" s="2">
        <f t="shared" si="102"/>
        <v>0</v>
      </c>
      <c r="H2060" s="2">
        <f t="shared" si="103"/>
        <v>0</v>
      </c>
    </row>
    <row r="2061" spans="2:9" x14ac:dyDescent="0.2">
      <c r="B2061" s="3"/>
      <c r="C2061" s="3" t="s">
        <v>39</v>
      </c>
      <c r="D2061" s="2">
        <v>1351</v>
      </c>
      <c r="E2061" s="2">
        <v>101</v>
      </c>
      <c r="F2061" s="2">
        <f t="shared" si="104"/>
        <v>0</v>
      </c>
      <c r="G2061" s="2">
        <f t="shared" si="102"/>
        <v>1</v>
      </c>
      <c r="H2061" s="2">
        <f t="shared" si="103"/>
        <v>0</v>
      </c>
    </row>
    <row r="2062" spans="2:9" x14ac:dyDescent="0.2">
      <c r="B2062" s="3" t="s">
        <v>16</v>
      </c>
      <c r="C2062" s="3" t="s">
        <v>17</v>
      </c>
      <c r="D2062" s="2">
        <v>19295</v>
      </c>
      <c r="E2062" s="2">
        <v>1421</v>
      </c>
      <c r="F2062" s="2">
        <f t="shared" si="104"/>
        <v>82</v>
      </c>
      <c r="G2062" s="2">
        <f t="shared" si="102"/>
        <v>1</v>
      </c>
      <c r="H2062" s="2">
        <f t="shared" si="103"/>
        <v>7565</v>
      </c>
      <c r="I2062" s="2">
        <f>SUM(75943+451387)</f>
        <v>527330</v>
      </c>
    </row>
    <row r="2063" spans="2:9" x14ac:dyDescent="0.2">
      <c r="B2063" s="3"/>
      <c r="C2063" s="3" t="s">
        <v>18</v>
      </c>
      <c r="D2063" s="2">
        <v>7610</v>
      </c>
      <c r="E2063" s="2">
        <v>727</v>
      </c>
      <c r="F2063" s="2">
        <f t="shared" si="104"/>
        <v>28</v>
      </c>
      <c r="G2063" s="2">
        <f t="shared" si="102"/>
        <v>2</v>
      </c>
      <c r="H2063" s="2">
        <f t="shared" si="103"/>
        <v>0</v>
      </c>
    </row>
    <row r="2064" spans="2:9" x14ac:dyDescent="0.2">
      <c r="B2064" s="3"/>
      <c r="C2064" s="3" t="s">
        <v>19</v>
      </c>
      <c r="D2064" s="2">
        <v>6698</v>
      </c>
      <c r="E2064" s="2">
        <v>651</v>
      </c>
      <c r="F2064" s="2">
        <f t="shared" si="104"/>
        <v>10</v>
      </c>
      <c r="G2064" s="2">
        <f t="shared" si="102"/>
        <v>0</v>
      </c>
      <c r="H2064" s="2">
        <f t="shared" si="103"/>
        <v>0</v>
      </c>
    </row>
    <row r="2065" spans="1:9" x14ac:dyDescent="0.2">
      <c r="B2065" s="3"/>
      <c r="C2065" s="3" t="s">
        <v>40</v>
      </c>
      <c r="D2065" s="2">
        <v>3871</v>
      </c>
      <c r="E2065" s="2">
        <v>249</v>
      </c>
      <c r="F2065" s="2">
        <f t="shared" si="104"/>
        <v>13</v>
      </c>
      <c r="G2065" s="2">
        <f t="shared" si="102"/>
        <v>1</v>
      </c>
      <c r="H2065" s="2">
        <f t="shared" si="103"/>
        <v>0</v>
      </c>
    </row>
    <row r="2066" spans="1:9" x14ac:dyDescent="0.2">
      <c r="B2066" s="3"/>
      <c r="C2066" s="3" t="s">
        <v>41</v>
      </c>
      <c r="D2066" s="2">
        <v>4218</v>
      </c>
      <c r="E2066" s="2">
        <v>334</v>
      </c>
      <c r="F2066" s="2">
        <f t="shared" si="104"/>
        <v>17</v>
      </c>
      <c r="G2066" s="2">
        <f t="shared" si="102"/>
        <v>1</v>
      </c>
      <c r="H2066" s="2">
        <f t="shared" si="103"/>
        <v>0</v>
      </c>
    </row>
    <row r="2067" spans="1:9" x14ac:dyDescent="0.2">
      <c r="B2067" s="3" t="s">
        <v>20</v>
      </c>
      <c r="C2067" s="3" t="s">
        <v>22</v>
      </c>
      <c r="D2067" s="2">
        <v>64634</v>
      </c>
      <c r="E2067" s="2">
        <v>2655</v>
      </c>
      <c r="F2067" s="2">
        <f t="shared" si="104"/>
        <v>884</v>
      </c>
      <c r="G2067" s="2">
        <f>SUM(E2067-E2037)</f>
        <v>10</v>
      </c>
      <c r="H2067" s="2">
        <f t="shared" si="103"/>
        <v>55055</v>
      </c>
      <c r="I2067" s="2">
        <v>2486245</v>
      </c>
    </row>
    <row r="2068" spans="1:9" x14ac:dyDescent="0.2">
      <c r="B2068" s="3"/>
      <c r="C2068" s="3" t="s">
        <v>26</v>
      </c>
      <c r="D2068" s="2">
        <v>8621</v>
      </c>
      <c r="E2068" s="2">
        <v>312</v>
      </c>
      <c r="F2068" s="2">
        <f t="shared" si="104"/>
        <v>143</v>
      </c>
      <c r="G2068" s="2">
        <f t="shared" ref="G2068:G2131" si="105">SUM(E2068-E2038)</f>
        <v>0</v>
      </c>
      <c r="H2068" s="2">
        <f t="shared" si="103"/>
        <v>0</v>
      </c>
    </row>
    <row r="2069" spans="1:9" x14ac:dyDescent="0.2">
      <c r="B2069" s="3"/>
      <c r="C2069" s="3" t="s">
        <v>27</v>
      </c>
      <c r="D2069" s="2">
        <v>9246</v>
      </c>
      <c r="E2069" s="2">
        <v>364</v>
      </c>
      <c r="F2069" s="2">
        <f t="shared" si="104"/>
        <v>141</v>
      </c>
      <c r="G2069" s="2">
        <f t="shared" si="105"/>
        <v>9</v>
      </c>
      <c r="H2069" s="2">
        <f t="shared" si="103"/>
        <v>0</v>
      </c>
    </row>
    <row r="2070" spans="1:9" x14ac:dyDescent="0.2">
      <c r="C2070" s="3" t="s">
        <v>42</v>
      </c>
      <c r="D2070" s="2">
        <v>2971</v>
      </c>
      <c r="E2070" s="2">
        <v>149</v>
      </c>
      <c r="F2070" s="2">
        <f t="shared" si="104"/>
        <v>24</v>
      </c>
      <c r="G2070" s="2">
        <f t="shared" si="105"/>
        <v>5</v>
      </c>
      <c r="H2070" s="2">
        <f t="shared" si="103"/>
        <v>0</v>
      </c>
    </row>
    <row r="2071" spans="1:9" x14ac:dyDescent="0.2">
      <c r="C2071" s="3" t="s">
        <v>43</v>
      </c>
      <c r="D2071" s="2">
        <v>7786</v>
      </c>
      <c r="E2071" s="2">
        <v>177</v>
      </c>
      <c r="F2071" s="2">
        <f t="shared" si="104"/>
        <v>143</v>
      </c>
      <c r="G2071" s="2">
        <f t="shared" si="105"/>
        <v>0</v>
      </c>
      <c r="H2071" s="2">
        <f t="shared" si="103"/>
        <v>0</v>
      </c>
    </row>
    <row r="2072" spans="1:9" x14ac:dyDescent="0.2">
      <c r="A2072" s="1">
        <v>43991</v>
      </c>
      <c r="B2072" s="3" t="s">
        <v>5</v>
      </c>
      <c r="C2072" s="3" t="s">
        <v>6</v>
      </c>
      <c r="D2072" s="2">
        <v>63194</v>
      </c>
      <c r="E2072" s="2">
        <v>3970</v>
      </c>
      <c r="F2072" s="2">
        <f t="shared" si="104"/>
        <v>97</v>
      </c>
      <c r="G2072" s="2">
        <f t="shared" si="105"/>
        <v>7</v>
      </c>
      <c r="H2072" s="2">
        <f t="shared" si="103"/>
        <v>49973</v>
      </c>
      <c r="I2072" s="2">
        <v>2605869</v>
      </c>
    </row>
    <row r="2073" spans="1:9" x14ac:dyDescent="0.2">
      <c r="B2073" s="3"/>
      <c r="C2073" s="3" t="s">
        <v>7</v>
      </c>
      <c r="D2073" s="2">
        <v>57367</v>
      </c>
      <c r="E2073" s="2">
        <v>4463</v>
      </c>
      <c r="F2073" s="2">
        <f t="shared" si="104"/>
        <v>107</v>
      </c>
      <c r="G2073" s="2">
        <f t="shared" si="105"/>
        <v>5</v>
      </c>
      <c r="H2073" s="2">
        <f t="shared" si="103"/>
        <v>0</v>
      </c>
    </row>
    <row r="2074" spans="1:9" x14ac:dyDescent="0.2">
      <c r="B2074" s="3"/>
      <c r="C2074" s="3" t="s">
        <v>8</v>
      </c>
      <c r="D2074" s="2">
        <v>40980</v>
      </c>
      <c r="E2074" s="2">
        <v>2650</v>
      </c>
      <c r="F2074" s="2">
        <f t="shared" si="104"/>
        <v>33</v>
      </c>
      <c r="G2074" s="2">
        <f t="shared" si="105"/>
        <v>5</v>
      </c>
      <c r="H2074" s="2">
        <f t="shared" si="103"/>
        <v>0</v>
      </c>
    </row>
    <row r="2075" spans="1:9" x14ac:dyDescent="0.2">
      <c r="B2075" s="3"/>
      <c r="C2075" s="3" t="s">
        <v>35</v>
      </c>
      <c r="D2075" s="2">
        <v>46127</v>
      </c>
      <c r="E2075" s="2">
        <v>2997</v>
      </c>
      <c r="F2075" s="2">
        <f t="shared" si="104"/>
        <v>75</v>
      </c>
      <c r="G2075" s="2">
        <f t="shared" si="105"/>
        <v>3</v>
      </c>
      <c r="H2075" s="2">
        <f t="shared" si="103"/>
        <v>0</v>
      </c>
    </row>
    <row r="2076" spans="1:9" x14ac:dyDescent="0.2">
      <c r="B2076" s="3"/>
      <c r="C2076" s="3" t="s">
        <v>14</v>
      </c>
      <c r="D2076" s="2">
        <v>40426</v>
      </c>
      <c r="E2076" s="2">
        <v>1988</v>
      </c>
      <c r="F2076" s="2">
        <f t="shared" si="104"/>
        <v>49</v>
      </c>
      <c r="G2076" s="2">
        <f t="shared" si="105"/>
        <v>5</v>
      </c>
      <c r="H2076" s="2">
        <f t="shared" si="103"/>
        <v>0</v>
      </c>
    </row>
    <row r="2077" spans="1:9" x14ac:dyDescent="0.2">
      <c r="B2077" s="3" t="s">
        <v>9</v>
      </c>
      <c r="C2077" s="3" t="s">
        <v>10</v>
      </c>
      <c r="D2077" s="2">
        <v>18573</v>
      </c>
      <c r="E2077" s="2">
        <v>1628</v>
      </c>
      <c r="F2077" s="2">
        <f t="shared" si="104"/>
        <v>35</v>
      </c>
      <c r="G2077" s="2">
        <f t="shared" si="105"/>
        <v>7</v>
      </c>
      <c r="H2077" s="2">
        <f t="shared" si="103"/>
        <v>14408</v>
      </c>
      <c r="I2077" s="2">
        <v>989497</v>
      </c>
    </row>
    <row r="2078" spans="1:9" x14ac:dyDescent="0.2">
      <c r="B2078" s="3"/>
      <c r="C2078" s="3" t="s">
        <v>11</v>
      </c>
      <c r="D2078" s="2">
        <v>18607</v>
      </c>
      <c r="E2078" s="2">
        <v>1235</v>
      </c>
      <c r="F2078" s="2">
        <f t="shared" si="104"/>
        <v>23</v>
      </c>
      <c r="G2078" s="2">
        <f t="shared" si="105"/>
        <v>9</v>
      </c>
      <c r="H2078" s="2">
        <f t="shared" si="103"/>
        <v>0</v>
      </c>
    </row>
    <row r="2079" spans="1:9" x14ac:dyDescent="0.2">
      <c r="B2079" s="3"/>
      <c r="C2079" s="3" t="s">
        <v>12</v>
      </c>
      <c r="D2079" s="2">
        <v>18151</v>
      </c>
      <c r="E2079" s="2">
        <v>1722</v>
      </c>
      <c r="F2079" s="2">
        <f t="shared" si="104"/>
        <v>34</v>
      </c>
      <c r="G2079" s="2">
        <f t="shared" si="105"/>
        <v>12</v>
      </c>
      <c r="H2079" s="2">
        <f t="shared" si="103"/>
        <v>0</v>
      </c>
    </row>
    <row r="2080" spans="1:9" x14ac:dyDescent="0.2">
      <c r="B2080" s="3"/>
      <c r="C2080" s="3" t="s">
        <v>36</v>
      </c>
      <c r="D2080" s="2">
        <v>16302</v>
      </c>
      <c r="E2080" s="2">
        <v>1100</v>
      </c>
      <c r="F2080" s="2">
        <f t="shared" si="104"/>
        <v>61</v>
      </c>
      <c r="G2080" s="2">
        <f t="shared" si="105"/>
        <v>0</v>
      </c>
      <c r="H2080" s="2">
        <f t="shared" si="103"/>
        <v>0</v>
      </c>
    </row>
    <row r="2081" spans="2:9" x14ac:dyDescent="0.2">
      <c r="B2081" s="3"/>
      <c r="C2081" s="3" t="s">
        <v>37</v>
      </c>
      <c r="D2081" s="2">
        <v>16492</v>
      </c>
      <c r="E2081" s="2">
        <v>977</v>
      </c>
      <c r="F2081" s="2">
        <f t="shared" si="104"/>
        <v>31</v>
      </c>
      <c r="G2081" s="2">
        <f t="shared" si="105"/>
        <v>2</v>
      </c>
      <c r="H2081" s="2">
        <f t="shared" si="103"/>
        <v>0</v>
      </c>
    </row>
    <row r="2082" spans="2:9" x14ac:dyDescent="0.2">
      <c r="B2082" s="3" t="s">
        <v>13</v>
      </c>
      <c r="C2082" s="3" t="s">
        <v>14</v>
      </c>
      <c r="D2082" s="2">
        <v>19067</v>
      </c>
      <c r="E2082" s="2">
        <v>935</v>
      </c>
      <c r="F2082" s="2">
        <f t="shared" si="104"/>
        <v>39</v>
      </c>
      <c r="G2082" s="2">
        <f t="shared" si="105"/>
        <v>4</v>
      </c>
      <c r="H2082" s="2">
        <f t="shared" si="103"/>
        <v>4660</v>
      </c>
      <c r="I2082" s="2">
        <v>658058</v>
      </c>
    </row>
    <row r="2083" spans="2:9" x14ac:dyDescent="0.2">
      <c r="B2083" s="3"/>
      <c r="C2083" s="3" t="s">
        <v>15</v>
      </c>
      <c r="D2083" s="2">
        <v>22845</v>
      </c>
      <c r="E2083" s="2">
        <v>1720</v>
      </c>
      <c r="F2083" s="2">
        <f t="shared" si="104"/>
        <v>33</v>
      </c>
      <c r="G2083" s="2">
        <f t="shared" si="105"/>
        <v>9</v>
      </c>
      <c r="H2083" s="2">
        <f t="shared" si="103"/>
        <v>0</v>
      </c>
    </row>
    <row r="2084" spans="2:9" x14ac:dyDescent="0.2">
      <c r="B2084" s="3"/>
      <c r="C2084" s="3" t="s">
        <v>12</v>
      </c>
      <c r="D2084" s="2">
        <v>15271</v>
      </c>
      <c r="E2084" s="2">
        <v>1016</v>
      </c>
      <c r="F2084" s="2">
        <f t="shared" si="104"/>
        <v>35</v>
      </c>
      <c r="G2084" s="2">
        <f t="shared" si="105"/>
        <v>10</v>
      </c>
      <c r="H2084" s="2">
        <f t="shared" ref="H2084:H2147" si="106">SUM(I2084-I2054)</f>
        <v>0</v>
      </c>
    </row>
    <row r="2085" spans="2:9" x14ac:dyDescent="0.2">
      <c r="B2085" s="3"/>
      <c r="C2085" s="3" t="s">
        <v>33</v>
      </c>
      <c r="D2085" s="2">
        <v>8753</v>
      </c>
      <c r="E2085" s="2">
        <v>870</v>
      </c>
      <c r="F2085" s="2">
        <f t="shared" si="104"/>
        <v>38</v>
      </c>
      <c r="G2085" s="2">
        <f t="shared" si="105"/>
        <v>4</v>
      </c>
      <c r="H2085" s="2">
        <f t="shared" si="106"/>
        <v>0</v>
      </c>
    </row>
    <row r="2086" spans="2:9" x14ac:dyDescent="0.2">
      <c r="B2086" s="3"/>
      <c r="C2086" s="3" t="s">
        <v>34</v>
      </c>
      <c r="D2086" s="2">
        <v>11803</v>
      </c>
      <c r="E2086" s="2">
        <v>834</v>
      </c>
      <c r="F2086" s="2">
        <f t="shared" si="104"/>
        <v>45</v>
      </c>
      <c r="G2086" s="2">
        <f t="shared" si="105"/>
        <v>7</v>
      </c>
      <c r="H2086" s="2">
        <f t="shared" si="106"/>
        <v>0</v>
      </c>
    </row>
    <row r="2087" spans="2:9" x14ac:dyDescent="0.2">
      <c r="B2087" s="3" t="s">
        <v>23</v>
      </c>
      <c r="C2087" s="3" t="s">
        <v>24</v>
      </c>
      <c r="D2087" s="2">
        <v>20829</v>
      </c>
      <c r="E2087" s="2">
        <v>2532</v>
      </c>
      <c r="F2087" s="2">
        <f t="shared" si="104"/>
        <v>49</v>
      </c>
      <c r="G2087" s="2">
        <f t="shared" si="105"/>
        <v>13</v>
      </c>
      <c r="H2087" s="2">
        <f t="shared" si="106"/>
        <v>16116</v>
      </c>
      <c r="I2087" s="2">
        <v>737151</v>
      </c>
    </row>
    <row r="2088" spans="2:9" x14ac:dyDescent="0.2">
      <c r="B2088" s="3"/>
      <c r="C2088" s="3" t="s">
        <v>25</v>
      </c>
      <c r="D2088" s="2">
        <v>8495</v>
      </c>
      <c r="E2088" s="2">
        <v>1015</v>
      </c>
      <c r="F2088" s="2">
        <f t="shared" si="104"/>
        <v>7</v>
      </c>
      <c r="G2088" s="2">
        <f t="shared" si="105"/>
        <v>0</v>
      </c>
      <c r="H2088" s="2">
        <f t="shared" si="106"/>
        <v>0</v>
      </c>
    </row>
    <row r="2089" spans="2:9" x14ac:dyDescent="0.2">
      <c r="B2089" s="3"/>
      <c r="C2089" s="3" t="s">
        <v>28</v>
      </c>
      <c r="D2089" s="2">
        <v>6839</v>
      </c>
      <c r="E2089" s="2">
        <v>835</v>
      </c>
      <c r="G2089" s="2">
        <f t="shared" si="105"/>
        <v>2</v>
      </c>
      <c r="H2089" s="2">
        <f t="shared" si="106"/>
        <v>0</v>
      </c>
    </row>
    <row r="2090" spans="2:9" x14ac:dyDescent="0.2">
      <c r="B2090" s="3"/>
      <c r="C2090" s="3" t="s">
        <v>38</v>
      </c>
      <c r="D2090" s="2">
        <v>2068</v>
      </c>
      <c r="E2090" s="2">
        <v>256</v>
      </c>
      <c r="F2090" s="2">
        <f t="shared" si="104"/>
        <v>4</v>
      </c>
      <c r="G2090" s="2">
        <f t="shared" si="105"/>
        <v>1</v>
      </c>
      <c r="H2090" s="2">
        <f t="shared" si="106"/>
        <v>0</v>
      </c>
    </row>
    <row r="2091" spans="2:9" x14ac:dyDescent="0.2">
      <c r="B2091" s="3"/>
      <c r="C2091" s="3" t="s">
        <v>39</v>
      </c>
      <c r="D2091" s="2">
        <v>1353</v>
      </c>
      <c r="E2091" s="2">
        <v>101</v>
      </c>
      <c r="F2091" s="2">
        <f t="shared" si="104"/>
        <v>2</v>
      </c>
      <c r="G2091" s="2">
        <f t="shared" si="105"/>
        <v>0</v>
      </c>
      <c r="H2091" s="2">
        <f t="shared" si="106"/>
        <v>0</v>
      </c>
    </row>
    <row r="2092" spans="2:9" x14ac:dyDescent="0.2">
      <c r="B2092" s="3" t="s">
        <v>16</v>
      </c>
      <c r="C2092" s="3" t="s">
        <v>17</v>
      </c>
      <c r="D2092" s="2">
        <v>19388</v>
      </c>
      <c r="E2092" s="2">
        <v>1436</v>
      </c>
      <c r="F2092" s="2">
        <f t="shared" si="104"/>
        <v>93</v>
      </c>
      <c r="G2092" s="2">
        <f t="shared" si="105"/>
        <v>15</v>
      </c>
      <c r="H2092" s="2">
        <f t="shared" si="106"/>
        <v>6216</v>
      </c>
      <c r="I2092" s="2">
        <f>SUM(74298+459248)</f>
        <v>533546</v>
      </c>
    </row>
    <row r="2093" spans="2:9" x14ac:dyDescent="0.2">
      <c r="B2093" s="3"/>
      <c r="C2093" s="3" t="s">
        <v>18</v>
      </c>
      <c r="D2093" s="2">
        <v>7672</v>
      </c>
      <c r="E2093" s="2">
        <v>740</v>
      </c>
      <c r="F2093" s="2">
        <f t="shared" si="104"/>
        <v>62</v>
      </c>
      <c r="G2093" s="2">
        <f t="shared" si="105"/>
        <v>13</v>
      </c>
      <c r="H2093" s="2">
        <f t="shared" si="106"/>
        <v>0</v>
      </c>
    </row>
    <row r="2094" spans="2:9" x14ac:dyDescent="0.2">
      <c r="B2094" s="3"/>
      <c r="C2094" s="3" t="s">
        <v>19</v>
      </c>
      <c r="D2094" s="2">
        <v>6733</v>
      </c>
      <c r="E2094" s="2">
        <v>652</v>
      </c>
      <c r="F2094" s="2">
        <f t="shared" si="104"/>
        <v>35</v>
      </c>
      <c r="G2094" s="2">
        <f t="shared" si="105"/>
        <v>1</v>
      </c>
      <c r="H2094" s="2">
        <f t="shared" si="106"/>
        <v>0</v>
      </c>
    </row>
    <row r="2095" spans="2:9" x14ac:dyDescent="0.2">
      <c r="B2095" s="3"/>
      <c r="C2095" s="3" t="s">
        <v>40</v>
      </c>
      <c r="D2095" s="2">
        <v>3890</v>
      </c>
      <c r="E2095" s="2">
        <v>253</v>
      </c>
      <c r="F2095" s="2">
        <f t="shared" si="104"/>
        <v>19</v>
      </c>
      <c r="G2095" s="2">
        <f t="shared" si="105"/>
        <v>4</v>
      </c>
      <c r="H2095" s="2">
        <f t="shared" si="106"/>
        <v>0</v>
      </c>
    </row>
    <row r="2096" spans="2:9" x14ac:dyDescent="0.2">
      <c r="B2096" s="3"/>
      <c r="C2096" s="3" t="s">
        <v>41</v>
      </c>
      <c r="D2096" s="2">
        <v>4236</v>
      </c>
      <c r="E2096" s="2">
        <v>334</v>
      </c>
      <c r="F2096" s="2">
        <f t="shared" si="104"/>
        <v>18</v>
      </c>
      <c r="G2096" s="2">
        <f t="shared" si="105"/>
        <v>0</v>
      </c>
      <c r="H2096" s="2">
        <f t="shared" si="106"/>
        <v>0</v>
      </c>
    </row>
    <row r="2097" spans="1:9" x14ac:dyDescent="0.2">
      <c r="B2097" s="3" t="s">
        <v>20</v>
      </c>
      <c r="C2097" s="3" t="s">
        <v>22</v>
      </c>
      <c r="D2097" s="2">
        <v>65827</v>
      </c>
      <c r="E2097" s="2">
        <v>2707</v>
      </c>
      <c r="F2097" s="2">
        <f t="shared" si="104"/>
        <v>1193</v>
      </c>
      <c r="G2097" s="2">
        <f t="shared" si="105"/>
        <v>52</v>
      </c>
      <c r="H2097" s="2">
        <f t="shared" si="106"/>
        <v>54553</v>
      </c>
      <c r="I2097" s="2">
        <v>2540798</v>
      </c>
    </row>
    <row r="2098" spans="1:9" x14ac:dyDescent="0.2">
      <c r="B2098" s="3"/>
      <c r="C2098" s="3" t="s">
        <v>26</v>
      </c>
      <c r="D2098" s="2">
        <v>8731</v>
      </c>
      <c r="E2098" s="2">
        <v>312</v>
      </c>
      <c r="F2098" s="2">
        <f t="shared" si="104"/>
        <v>110</v>
      </c>
      <c r="G2098" s="2">
        <f t="shared" si="105"/>
        <v>0</v>
      </c>
      <c r="H2098" s="2">
        <f t="shared" si="106"/>
        <v>0</v>
      </c>
    </row>
    <row r="2099" spans="1:9" x14ac:dyDescent="0.2">
      <c r="B2099" s="3"/>
      <c r="C2099" s="3" t="s">
        <v>27</v>
      </c>
      <c r="D2099" s="2">
        <v>9511</v>
      </c>
      <c r="E2099" s="2">
        <v>365</v>
      </c>
      <c r="F2099" s="2">
        <f t="shared" si="104"/>
        <v>265</v>
      </c>
      <c r="G2099" s="2">
        <f t="shared" si="105"/>
        <v>1</v>
      </c>
      <c r="H2099" s="2">
        <f t="shared" si="106"/>
        <v>0</v>
      </c>
    </row>
    <row r="2100" spans="1:9" x14ac:dyDescent="0.2">
      <c r="C2100" s="3" t="s">
        <v>42</v>
      </c>
      <c r="D2100" s="2">
        <v>3006</v>
      </c>
      <c r="E2100" s="2">
        <v>149</v>
      </c>
      <c r="F2100" s="2">
        <f t="shared" si="104"/>
        <v>35</v>
      </c>
      <c r="G2100" s="2">
        <f t="shared" si="105"/>
        <v>0</v>
      </c>
      <c r="H2100" s="2">
        <f t="shared" si="106"/>
        <v>0</v>
      </c>
    </row>
    <row r="2101" spans="1:9" x14ac:dyDescent="0.2">
      <c r="C2101" s="3" t="s">
        <v>43</v>
      </c>
      <c r="D2101" s="2">
        <v>7991</v>
      </c>
      <c r="E2101" s="2">
        <v>185</v>
      </c>
      <c r="F2101" s="2">
        <f t="shared" si="104"/>
        <v>205</v>
      </c>
      <c r="G2101" s="2">
        <f t="shared" si="105"/>
        <v>8</v>
      </c>
      <c r="H2101" s="2">
        <f t="shared" si="106"/>
        <v>0</v>
      </c>
    </row>
    <row r="2102" spans="1:9" x14ac:dyDescent="0.2">
      <c r="A2102" s="1">
        <v>43992</v>
      </c>
      <c r="B2102" s="3" t="s">
        <v>5</v>
      </c>
      <c r="C2102" s="3" t="s">
        <v>6</v>
      </c>
      <c r="D2102" s="2">
        <v>63326</v>
      </c>
      <c r="E2102" s="2">
        <v>3979</v>
      </c>
      <c r="F2102" s="2">
        <f t="shared" si="104"/>
        <v>132</v>
      </c>
      <c r="G2102" s="2">
        <f t="shared" si="105"/>
        <v>9</v>
      </c>
      <c r="H2102" s="2">
        <f t="shared" si="106"/>
        <v>62297</v>
      </c>
      <c r="I2102" s="2">
        <v>2668166</v>
      </c>
    </row>
    <row r="2103" spans="1:9" x14ac:dyDescent="0.2">
      <c r="B2103" s="3"/>
      <c r="C2103" s="3" t="s">
        <v>7</v>
      </c>
      <c r="D2103" s="2">
        <v>57484</v>
      </c>
      <c r="E2103" s="2">
        <v>4472</v>
      </c>
      <c r="F2103" s="2">
        <f t="shared" si="104"/>
        <v>117</v>
      </c>
      <c r="G2103" s="2">
        <f t="shared" si="105"/>
        <v>9</v>
      </c>
      <c r="H2103" s="2">
        <f t="shared" si="106"/>
        <v>0</v>
      </c>
    </row>
    <row r="2104" spans="1:9" x14ac:dyDescent="0.2">
      <c r="B2104" s="3"/>
      <c r="C2104" s="3" t="s">
        <v>8</v>
      </c>
      <c r="D2104" s="2">
        <v>41015</v>
      </c>
      <c r="E2104" s="2">
        <v>2653</v>
      </c>
      <c r="F2104" s="2">
        <f t="shared" si="104"/>
        <v>35</v>
      </c>
      <c r="G2104" s="2">
        <f t="shared" si="105"/>
        <v>3</v>
      </c>
      <c r="H2104" s="2">
        <f t="shared" si="106"/>
        <v>0</v>
      </c>
    </row>
    <row r="2105" spans="1:9" x14ac:dyDescent="0.2">
      <c r="B2105" s="3"/>
      <c r="C2105" s="3" t="s">
        <v>35</v>
      </c>
      <c r="D2105" s="2">
        <v>46223</v>
      </c>
      <c r="E2105" s="2">
        <v>3003</v>
      </c>
      <c r="F2105" s="2">
        <f t="shared" si="104"/>
        <v>96</v>
      </c>
      <c r="G2105" s="2">
        <f t="shared" si="105"/>
        <v>6</v>
      </c>
      <c r="H2105" s="2">
        <f t="shared" si="106"/>
        <v>0</v>
      </c>
    </row>
    <row r="2106" spans="1:9" x14ac:dyDescent="0.2">
      <c r="B2106" s="3"/>
      <c r="C2106" s="3" t="s">
        <v>14</v>
      </c>
      <c r="D2106" s="2">
        <v>40464</v>
      </c>
      <c r="E2106" s="2">
        <v>1990</v>
      </c>
      <c r="F2106" s="2">
        <f t="shared" ref="F2106:F2131" si="107">SUM(D2106-D2076)</f>
        <v>38</v>
      </c>
      <c r="G2106" s="2">
        <f t="shared" si="105"/>
        <v>2</v>
      </c>
      <c r="H2106" s="2">
        <f t="shared" si="106"/>
        <v>0</v>
      </c>
    </row>
    <row r="2107" spans="1:9" x14ac:dyDescent="0.2">
      <c r="B2107" s="3" t="s">
        <v>9</v>
      </c>
      <c r="C2107" s="3" t="s">
        <v>10</v>
      </c>
      <c r="D2107" s="2">
        <v>18667</v>
      </c>
      <c r="E2107" s="2">
        <v>1635</v>
      </c>
      <c r="F2107" s="2">
        <f t="shared" si="107"/>
        <v>94</v>
      </c>
      <c r="G2107" s="2">
        <f t="shared" si="105"/>
        <v>7</v>
      </c>
      <c r="H2107" s="2">
        <f t="shared" si="106"/>
        <v>19437</v>
      </c>
      <c r="I2107" s="2">
        <v>1008934</v>
      </c>
    </row>
    <row r="2108" spans="1:9" x14ac:dyDescent="0.2">
      <c r="B2108" s="3"/>
      <c r="C2108" s="3" t="s">
        <v>11</v>
      </c>
      <c r="D2108" s="2">
        <v>18647</v>
      </c>
      <c r="E2108" s="2">
        <v>1242</v>
      </c>
      <c r="F2108" s="2">
        <f t="shared" si="107"/>
        <v>40</v>
      </c>
      <c r="G2108" s="2">
        <f t="shared" si="105"/>
        <v>7</v>
      </c>
      <c r="H2108" s="2">
        <f t="shared" si="106"/>
        <v>0</v>
      </c>
    </row>
    <row r="2109" spans="1:9" x14ac:dyDescent="0.2">
      <c r="B2109" s="3"/>
      <c r="C2109" s="3" t="s">
        <v>12</v>
      </c>
      <c r="D2109" s="2">
        <v>18206</v>
      </c>
      <c r="E2109" s="2">
        <v>1723</v>
      </c>
      <c r="F2109" s="2">
        <f t="shared" si="107"/>
        <v>55</v>
      </c>
      <c r="G2109" s="2">
        <f t="shared" si="105"/>
        <v>1</v>
      </c>
      <c r="H2109" s="2">
        <f t="shared" si="106"/>
        <v>0</v>
      </c>
    </row>
    <row r="2110" spans="1:9" x14ac:dyDescent="0.2">
      <c r="B2110" s="3"/>
      <c r="C2110" s="3" t="s">
        <v>36</v>
      </c>
      <c r="D2110" s="2">
        <v>16317</v>
      </c>
      <c r="E2110" s="2">
        <v>1103</v>
      </c>
      <c r="F2110" s="2">
        <f t="shared" si="107"/>
        <v>15</v>
      </c>
      <c r="G2110" s="2">
        <f t="shared" si="105"/>
        <v>3</v>
      </c>
      <c r="H2110" s="2">
        <f t="shared" si="106"/>
        <v>0</v>
      </c>
    </row>
    <row r="2111" spans="1:9" x14ac:dyDescent="0.2">
      <c r="B2111" s="3"/>
      <c r="C2111" s="3" t="s">
        <v>37</v>
      </c>
      <c r="D2111" s="2">
        <v>16524</v>
      </c>
      <c r="E2111" s="2">
        <v>982</v>
      </c>
      <c r="F2111" s="2">
        <f t="shared" si="107"/>
        <v>32</v>
      </c>
      <c r="G2111" s="2">
        <f t="shared" si="105"/>
        <v>5</v>
      </c>
      <c r="H2111" s="2">
        <f t="shared" si="106"/>
        <v>0</v>
      </c>
    </row>
    <row r="2112" spans="1:9" x14ac:dyDescent="0.2">
      <c r="B2112" s="3" t="s">
        <v>13</v>
      </c>
      <c r="C2112" s="3" t="s">
        <v>14</v>
      </c>
      <c r="D2112" s="2">
        <v>19099</v>
      </c>
      <c r="E2112" s="2">
        <v>936</v>
      </c>
      <c r="F2112" s="2">
        <f t="shared" si="107"/>
        <v>32</v>
      </c>
      <c r="G2112" s="2">
        <f t="shared" si="105"/>
        <v>1</v>
      </c>
      <c r="H2112" s="2">
        <f t="shared" si="106"/>
        <v>10034</v>
      </c>
      <c r="I2112" s="2">
        <v>668092</v>
      </c>
    </row>
    <row r="2113" spans="2:9" x14ac:dyDescent="0.2">
      <c r="B2113" s="3"/>
      <c r="C2113" s="3" t="s">
        <v>15</v>
      </c>
      <c r="D2113" s="2">
        <v>22889</v>
      </c>
      <c r="E2113" s="2">
        <v>1725</v>
      </c>
      <c r="F2113" s="2">
        <f t="shared" si="107"/>
        <v>44</v>
      </c>
      <c r="G2113" s="2">
        <f t="shared" si="105"/>
        <v>5</v>
      </c>
      <c r="H2113" s="2">
        <f t="shared" si="106"/>
        <v>0</v>
      </c>
    </row>
    <row r="2114" spans="2:9" x14ac:dyDescent="0.2">
      <c r="B2114" s="3"/>
      <c r="C2114" s="3" t="s">
        <v>12</v>
      </c>
      <c r="D2114" s="2">
        <v>15365</v>
      </c>
      <c r="E2114" s="2">
        <v>1024</v>
      </c>
      <c r="F2114" s="2">
        <f t="shared" si="107"/>
        <v>94</v>
      </c>
      <c r="G2114" s="2">
        <f t="shared" si="105"/>
        <v>8</v>
      </c>
      <c r="H2114" s="2">
        <f t="shared" si="106"/>
        <v>0</v>
      </c>
    </row>
    <row r="2115" spans="2:9" x14ac:dyDescent="0.2">
      <c r="B2115" s="3"/>
      <c r="C2115" s="3" t="s">
        <v>33</v>
      </c>
      <c r="D2115" s="2">
        <v>8774</v>
      </c>
      <c r="E2115" s="2">
        <v>873</v>
      </c>
      <c r="F2115" s="2">
        <f t="shared" si="107"/>
        <v>21</v>
      </c>
      <c r="G2115" s="2">
        <f t="shared" si="105"/>
        <v>3</v>
      </c>
      <c r="H2115" s="2">
        <f t="shared" si="106"/>
        <v>0</v>
      </c>
    </row>
    <row r="2116" spans="2:9" x14ac:dyDescent="0.2">
      <c r="B2116" s="3"/>
      <c r="C2116" s="3" t="s">
        <v>34</v>
      </c>
      <c r="D2116" s="2">
        <v>11820</v>
      </c>
      <c r="E2116" s="2">
        <v>844</v>
      </c>
      <c r="F2116" s="2">
        <f t="shared" si="107"/>
        <v>17</v>
      </c>
      <c r="G2116" s="2">
        <f t="shared" si="105"/>
        <v>10</v>
      </c>
      <c r="H2116" s="2">
        <f t="shared" si="106"/>
        <v>0</v>
      </c>
    </row>
    <row r="2117" spans="2:9" x14ac:dyDescent="0.2">
      <c r="B2117" s="3" t="s">
        <v>23</v>
      </c>
      <c r="C2117" s="3" t="s">
        <v>24</v>
      </c>
      <c r="D2117" s="2">
        <v>20867</v>
      </c>
      <c r="E2117" s="2">
        <v>2535</v>
      </c>
      <c r="F2117" s="2">
        <f t="shared" si="107"/>
        <v>38</v>
      </c>
      <c r="G2117" s="2">
        <f t="shared" si="105"/>
        <v>3</v>
      </c>
      <c r="H2117" s="2">
        <f t="shared" si="106"/>
        <v>184</v>
      </c>
      <c r="I2117" s="2">
        <v>737335</v>
      </c>
    </row>
    <row r="2118" spans="2:9" x14ac:dyDescent="0.2">
      <c r="B2118" s="3"/>
      <c r="C2118" s="3" t="s">
        <v>25</v>
      </c>
      <c r="D2118" s="2">
        <v>8504</v>
      </c>
      <c r="E2118" s="2">
        <v>1017</v>
      </c>
      <c r="F2118" s="2">
        <f t="shared" si="107"/>
        <v>9</v>
      </c>
      <c r="G2118" s="2">
        <f t="shared" si="105"/>
        <v>2</v>
      </c>
      <c r="H2118" s="2">
        <f t="shared" si="106"/>
        <v>0</v>
      </c>
    </row>
    <row r="2119" spans="2:9" x14ac:dyDescent="0.2">
      <c r="B2119" s="3"/>
      <c r="C2119" s="3" t="s">
        <v>28</v>
      </c>
      <c r="D2119" s="2">
        <v>6840</v>
      </c>
      <c r="E2119" s="2">
        <v>838</v>
      </c>
      <c r="F2119" s="2">
        <f t="shared" si="107"/>
        <v>1</v>
      </c>
      <c r="G2119" s="2">
        <f t="shared" si="105"/>
        <v>3</v>
      </c>
      <c r="H2119" s="2">
        <f t="shared" si="106"/>
        <v>0</v>
      </c>
    </row>
    <row r="2120" spans="2:9" x14ac:dyDescent="0.2">
      <c r="B2120" s="3"/>
      <c r="C2120" s="3" t="s">
        <v>38</v>
      </c>
      <c r="D2120" s="2">
        <v>2073</v>
      </c>
      <c r="E2120" s="2">
        <v>257</v>
      </c>
      <c r="F2120" s="2">
        <f t="shared" si="107"/>
        <v>5</v>
      </c>
      <c r="G2120" s="2">
        <f t="shared" si="105"/>
        <v>1</v>
      </c>
      <c r="H2120" s="2">
        <f t="shared" si="106"/>
        <v>0</v>
      </c>
    </row>
    <row r="2121" spans="2:9" x14ac:dyDescent="0.2">
      <c r="B2121" s="3"/>
      <c r="C2121" s="3" t="s">
        <v>39</v>
      </c>
      <c r="D2121" s="2">
        <v>1358</v>
      </c>
      <c r="E2121" s="2">
        <v>101</v>
      </c>
      <c r="F2121" s="2">
        <f t="shared" si="107"/>
        <v>5</v>
      </c>
      <c r="G2121" s="2">
        <f t="shared" si="105"/>
        <v>0</v>
      </c>
      <c r="H2121" s="2">
        <f t="shared" si="106"/>
        <v>0</v>
      </c>
    </row>
    <row r="2122" spans="2:9" x14ac:dyDescent="0.2">
      <c r="B2122" s="3" t="s">
        <v>16</v>
      </c>
      <c r="C2122" s="3" t="s">
        <v>17</v>
      </c>
      <c r="D2122" s="2">
        <v>19481</v>
      </c>
      <c r="E2122" s="2">
        <v>1454</v>
      </c>
      <c r="F2122" s="2">
        <f t="shared" si="107"/>
        <v>93</v>
      </c>
      <c r="G2122" s="2">
        <f t="shared" si="105"/>
        <v>18</v>
      </c>
      <c r="H2122" s="2">
        <f t="shared" si="106"/>
        <v>10264</v>
      </c>
      <c r="I2122" s="2">
        <f>SUM(76846+466964)</f>
        <v>543810</v>
      </c>
    </row>
    <row r="2123" spans="2:9" x14ac:dyDescent="0.2">
      <c r="B2123" s="3"/>
      <c r="C2123" s="3" t="s">
        <v>18</v>
      </c>
      <c r="D2123" s="2">
        <v>7709</v>
      </c>
      <c r="E2123" s="2">
        <v>762</v>
      </c>
      <c r="F2123" s="2">
        <f t="shared" si="107"/>
        <v>37</v>
      </c>
      <c r="G2123" s="2">
        <f t="shared" si="105"/>
        <v>22</v>
      </c>
      <c r="H2123" s="2">
        <f t="shared" si="106"/>
        <v>0</v>
      </c>
    </row>
    <row r="2124" spans="2:9" x14ac:dyDescent="0.2">
      <c r="B2124" s="3"/>
      <c r="C2124" s="3" t="s">
        <v>19</v>
      </c>
      <c r="D2124" s="2">
        <v>6754</v>
      </c>
      <c r="E2124" s="2">
        <v>662</v>
      </c>
      <c r="F2124" s="2">
        <f t="shared" si="107"/>
        <v>21</v>
      </c>
      <c r="G2124" s="2">
        <f t="shared" si="105"/>
        <v>10</v>
      </c>
      <c r="H2124" s="2">
        <f t="shared" si="106"/>
        <v>0</v>
      </c>
    </row>
    <row r="2125" spans="2:9" x14ac:dyDescent="0.2">
      <c r="B2125" s="3"/>
      <c r="C2125" s="3" t="s">
        <v>40</v>
      </c>
      <c r="D2125" s="2">
        <v>3895</v>
      </c>
      <c r="E2125" s="2">
        <v>259</v>
      </c>
      <c r="F2125" s="2">
        <f t="shared" si="107"/>
        <v>5</v>
      </c>
      <c r="G2125" s="2">
        <f t="shared" si="105"/>
        <v>6</v>
      </c>
      <c r="H2125" s="2">
        <f t="shared" si="106"/>
        <v>0</v>
      </c>
    </row>
    <row r="2126" spans="2:9" x14ac:dyDescent="0.2">
      <c r="B2126" s="3"/>
      <c r="C2126" s="3" t="s">
        <v>41</v>
      </c>
      <c r="D2126" s="2">
        <v>4251</v>
      </c>
      <c r="E2126" s="2">
        <v>334</v>
      </c>
      <c r="F2126" s="2">
        <f t="shared" si="107"/>
        <v>15</v>
      </c>
      <c r="G2126" s="2">
        <f t="shared" si="105"/>
        <v>0</v>
      </c>
      <c r="H2126" s="2">
        <f t="shared" si="106"/>
        <v>0</v>
      </c>
    </row>
    <row r="2127" spans="2:9" x14ac:dyDescent="0.2">
      <c r="B2127" s="3" t="s">
        <v>20</v>
      </c>
      <c r="C2127" s="3" t="s">
        <v>22</v>
      </c>
      <c r="D2127" s="2">
        <v>67018</v>
      </c>
      <c r="E2127" s="2">
        <v>2768</v>
      </c>
      <c r="F2127" s="2">
        <f t="shared" si="107"/>
        <v>1191</v>
      </c>
      <c r="G2127" s="2">
        <f t="shared" si="105"/>
        <v>61</v>
      </c>
      <c r="H2127" s="2">
        <f t="shared" si="106"/>
        <v>56849</v>
      </c>
      <c r="I2127" s="2">
        <v>2597647</v>
      </c>
    </row>
    <row r="2128" spans="2:9" x14ac:dyDescent="0.2">
      <c r="B2128" s="3"/>
      <c r="C2128" s="3" t="s">
        <v>26</v>
      </c>
      <c r="D2128" s="2">
        <v>8839</v>
      </c>
      <c r="E2128" s="2">
        <v>312</v>
      </c>
      <c r="F2128" s="2">
        <f t="shared" si="107"/>
        <v>108</v>
      </c>
      <c r="G2128" s="2">
        <f t="shared" si="105"/>
        <v>0</v>
      </c>
      <c r="H2128" s="2">
        <f t="shared" si="106"/>
        <v>0</v>
      </c>
    </row>
    <row r="2129" spans="1:9" x14ac:dyDescent="0.2">
      <c r="B2129" s="3"/>
      <c r="C2129" s="3" t="s">
        <v>27</v>
      </c>
      <c r="D2129" s="2">
        <v>9857</v>
      </c>
      <c r="E2129" s="2">
        <v>380</v>
      </c>
      <c r="F2129" s="2">
        <f t="shared" si="107"/>
        <v>346</v>
      </c>
      <c r="G2129" s="2">
        <f t="shared" si="105"/>
        <v>15</v>
      </c>
      <c r="H2129" s="2">
        <f t="shared" si="106"/>
        <v>0</v>
      </c>
    </row>
    <row r="2130" spans="1:9" x14ac:dyDescent="0.2">
      <c r="C2130" s="3" t="s">
        <v>42</v>
      </c>
      <c r="D2130" s="2">
        <v>3032</v>
      </c>
      <c r="E2130" s="2">
        <v>149</v>
      </c>
      <c r="F2130" s="2">
        <f t="shared" si="107"/>
        <v>26</v>
      </c>
      <c r="G2130" s="2">
        <f t="shared" si="105"/>
        <v>0</v>
      </c>
      <c r="H2130" s="2">
        <f t="shared" si="106"/>
        <v>0</v>
      </c>
    </row>
    <row r="2131" spans="1:9" x14ac:dyDescent="0.2">
      <c r="C2131" s="3" t="s">
        <v>43</v>
      </c>
      <c r="D2131" s="2">
        <v>8222</v>
      </c>
      <c r="E2131" s="2">
        <v>198</v>
      </c>
      <c r="F2131" s="2">
        <f t="shared" si="107"/>
        <v>231</v>
      </c>
      <c r="G2131" s="2">
        <f t="shared" si="105"/>
        <v>13</v>
      </c>
      <c r="H2131" s="2">
        <f t="shared" si="106"/>
        <v>0</v>
      </c>
    </row>
    <row r="2132" spans="1:9" x14ac:dyDescent="0.2">
      <c r="A2132" s="1">
        <v>43993</v>
      </c>
      <c r="B2132" s="3" t="s">
        <v>5</v>
      </c>
      <c r="C2132" s="3" t="s">
        <v>6</v>
      </c>
      <c r="D2132" s="2">
        <v>63432</v>
      </c>
      <c r="E2132" s="2">
        <v>3983</v>
      </c>
      <c r="F2132" s="2">
        <f>SUM(D2132-D2102)</f>
        <v>106</v>
      </c>
      <c r="H2132" s="2">
        <f t="shared" si="106"/>
        <v>60839</v>
      </c>
      <c r="I2132" s="2">
        <v>2729005</v>
      </c>
    </row>
    <row r="2133" spans="1:9" x14ac:dyDescent="0.2">
      <c r="B2133" s="3"/>
      <c r="C2133" s="3" t="s">
        <v>7</v>
      </c>
      <c r="D2133" s="2">
        <v>57605</v>
      </c>
      <c r="E2133" s="2">
        <v>4476</v>
      </c>
      <c r="F2133" s="2">
        <f t="shared" ref="F2133:F2196" si="108">SUM(D2133-D2103)</f>
        <v>121</v>
      </c>
      <c r="H2133" s="2">
        <f t="shared" si="106"/>
        <v>0</v>
      </c>
    </row>
    <row r="2134" spans="1:9" x14ac:dyDescent="0.2">
      <c r="B2134" s="3"/>
      <c r="C2134" s="3" t="s">
        <v>8</v>
      </c>
      <c r="D2134" s="2">
        <v>41060</v>
      </c>
      <c r="E2134" s="2">
        <v>2654</v>
      </c>
      <c r="F2134" s="2">
        <f t="shared" si="108"/>
        <v>45</v>
      </c>
      <c r="H2134" s="2">
        <f t="shared" si="106"/>
        <v>0</v>
      </c>
    </row>
    <row r="2135" spans="1:9" x14ac:dyDescent="0.2">
      <c r="B2135" s="3"/>
      <c r="C2135" s="3" t="s">
        <v>35</v>
      </c>
      <c r="D2135" s="2">
        <v>46316</v>
      </c>
      <c r="E2135" s="2">
        <v>3006</v>
      </c>
      <c r="F2135" s="2">
        <f t="shared" si="108"/>
        <v>93</v>
      </c>
      <c r="H2135" s="2">
        <f t="shared" si="106"/>
        <v>0</v>
      </c>
    </row>
    <row r="2136" spans="1:9" x14ac:dyDescent="0.2">
      <c r="B2136" s="3"/>
      <c r="C2136" s="3" t="s">
        <v>14</v>
      </c>
      <c r="D2136" s="2">
        <v>40512</v>
      </c>
      <c r="E2136" s="2">
        <v>1994</v>
      </c>
      <c r="F2136" s="2">
        <f t="shared" si="108"/>
        <v>48</v>
      </c>
      <c r="H2136" s="2">
        <f t="shared" si="106"/>
        <v>0</v>
      </c>
    </row>
    <row r="2137" spans="1:9" x14ac:dyDescent="0.2">
      <c r="B2137" s="3" t="s">
        <v>9</v>
      </c>
      <c r="C2137" s="3" t="s">
        <v>10</v>
      </c>
      <c r="D2137" s="2">
        <v>18719</v>
      </c>
      <c r="E2137" s="2">
        <v>1646</v>
      </c>
      <c r="F2137" s="2">
        <f t="shared" si="108"/>
        <v>52</v>
      </c>
      <c r="G2137" s="2" t="s">
        <v>44</v>
      </c>
      <c r="H2137" s="2">
        <f t="shared" si="106"/>
        <v>21859</v>
      </c>
      <c r="I2137" s="2">
        <v>1030793</v>
      </c>
    </row>
    <row r="2138" spans="1:9" x14ac:dyDescent="0.2">
      <c r="B2138" s="3"/>
      <c r="C2138" s="3" t="s">
        <v>11</v>
      </c>
      <c r="D2138" s="2">
        <v>18675</v>
      </c>
      <c r="E2138" s="2">
        <v>1242</v>
      </c>
      <c r="F2138" s="2">
        <f t="shared" si="108"/>
        <v>28</v>
      </c>
      <c r="H2138" s="2">
        <f t="shared" si="106"/>
        <v>0</v>
      </c>
    </row>
    <row r="2139" spans="1:9" x14ac:dyDescent="0.2">
      <c r="B2139" s="3"/>
      <c r="C2139" s="3" t="s">
        <v>12</v>
      </c>
      <c r="D2139" s="2">
        <v>18234</v>
      </c>
      <c r="E2139" s="2">
        <v>1723</v>
      </c>
      <c r="F2139" s="2">
        <f t="shared" si="108"/>
        <v>28</v>
      </c>
      <c r="H2139" s="2">
        <f t="shared" si="106"/>
        <v>0</v>
      </c>
    </row>
    <row r="2140" spans="1:9" x14ac:dyDescent="0.2">
      <c r="B2140" s="3"/>
      <c r="C2140" s="3" t="s">
        <v>36</v>
      </c>
      <c r="D2140" s="2">
        <v>16337</v>
      </c>
      <c r="E2140" s="2">
        <v>1104</v>
      </c>
      <c r="F2140" s="2">
        <f t="shared" si="108"/>
        <v>20</v>
      </c>
      <c r="H2140" s="2">
        <f t="shared" si="106"/>
        <v>0</v>
      </c>
    </row>
    <row r="2141" spans="1:9" x14ac:dyDescent="0.2">
      <c r="B2141" s="3"/>
      <c r="C2141" s="3" t="s">
        <v>37</v>
      </c>
      <c r="D2141" s="2">
        <v>16555</v>
      </c>
      <c r="E2141" s="2">
        <v>984</v>
      </c>
      <c r="F2141" s="2">
        <f t="shared" si="108"/>
        <v>31</v>
      </c>
      <c r="H2141" s="2">
        <f t="shared" si="106"/>
        <v>0</v>
      </c>
    </row>
    <row r="2142" spans="1:9" x14ac:dyDescent="0.2">
      <c r="B2142" s="3" t="s">
        <v>13</v>
      </c>
      <c r="C2142" s="3" t="s">
        <v>14</v>
      </c>
      <c r="D2142" s="2">
        <v>19195</v>
      </c>
      <c r="E2142" s="2">
        <v>938</v>
      </c>
      <c r="F2142" s="2">
        <f t="shared" si="108"/>
        <v>96</v>
      </c>
      <c r="H2142" s="2">
        <f t="shared" si="106"/>
        <v>10833</v>
      </c>
      <c r="I2142" s="2">
        <v>678925</v>
      </c>
    </row>
    <row r="2143" spans="1:9" x14ac:dyDescent="0.2">
      <c r="B2143" s="3"/>
      <c r="C2143" s="3" t="s">
        <v>15</v>
      </c>
      <c r="D2143" s="2">
        <v>22996</v>
      </c>
      <c r="E2143" s="2">
        <v>1733</v>
      </c>
      <c r="F2143" s="2">
        <f t="shared" si="108"/>
        <v>107</v>
      </c>
      <c r="H2143" s="2">
        <f t="shared" si="106"/>
        <v>0</v>
      </c>
    </row>
    <row r="2144" spans="1:9" x14ac:dyDescent="0.2">
      <c r="B2144" s="3"/>
      <c r="C2144" s="3" t="s">
        <v>12</v>
      </c>
      <c r="D2144" s="2">
        <v>15465</v>
      </c>
      <c r="E2144" s="2">
        <v>1031</v>
      </c>
      <c r="F2144" s="2">
        <f t="shared" si="108"/>
        <v>100</v>
      </c>
      <c r="H2144" s="2">
        <f t="shared" si="106"/>
        <v>0</v>
      </c>
    </row>
    <row r="2145" spans="2:9" x14ac:dyDescent="0.2">
      <c r="B2145" s="3"/>
      <c r="C2145" s="3" t="s">
        <v>33</v>
      </c>
      <c r="D2145" s="2">
        <v>8809</v>
      </c>
      <c r="E2145" s="2">
        <v>876</v>
      </c>
      <c r="F2145" s="2">
        <f t="shared" si="108"/>
        <v>35</v>
      </c>
      <c r="H2145" s="2">
        <f t="shared" si="106"/>
        <v>0</v>
      </c>
    </row>
    <row r="2146" spans="2:9" x14ac:dyDescent="0.2">
      <c r="B2146" s="3"/>
      <c r="C2146" s="3" t="s">
        <v>34</v>
      </c>
      <c r="D2146" s="2">
        <v>11885</v>
      </c>
      <c r="E2146" s="2">
        <v>849</v>
      </c>
      <c r="F2146" s="2">
        <f t="shared" si="108"/>
        <v>65</v>
      </c>
      <c r="H2146" s="2">
        <f t="shared" si="106"/>
        <v>0</v>
      </c>
    </row>
    <row r="2147" spans="2:9" x14ac:dyDescent="0.2">
      <c r="B2147" s="3" t="s">
        <v>23</v>
      </c>
      <c r="C2147" s="3" t="s">
        <v>24</v>
      </c>
      <c r="D2147" s="2">
        <v>20916</v>
      </c>
      <c r="E2147" s="2">
        <v>2543</v>
      </c>
      <c r="F2147" s="2">
        <f t="shared" si="108"/>
        <v>49</v>
      </c>
      <c r="H2147" s="2">
        <f t="shared" si="106"/>
        <v>33185</v>
      </c>
      <c r="I2147" s="2">
        <v>770520</v>
      </c>
    </row>
    <row r="2148" spans="2:9" x14ac:dyDescent="0.2">
      <c r="B2148" s="3"/>
      <c r="C2148" s="3" t="s">
        <v>25</v>
      </c>
      <c r="D2148" s="2">
        <v>8518</v>
      </c>
      <c r="E2148" s="2">
        <v>1020</v>
      </c>
      <c r="F2148" s="2">
        <f t="shared" si="108"/>
        <v>14</v>
      </c>
      <c r="H2148" s="2">
        <f t="shared" ref="H2148:H2156" si="109">SUM(I2148-I2118)</f>
        <v>0</v>
      </c>
    </row>
    <row r="2149" spans="2:9" x14ac:dyDescent="0.2">
      <c r="B2149" s="3"/>
      <c r="C2149" s="3" t="s">
        <v>28</v>
      </c>
      <c r="D2149" s="2">
        <v>6847</v>
      </c>
      <c r="E2149" s="2">
        <v>842</v>
      </c>
      <c r="F2149" s="2">
        <f t="shared" si="108"/>
        <v>7</v>
      </c>
      <c r="H2149" s="2">
        <f t="shared" si="109"/>
        <v>0</v>
      </c>
    </row>
    <row r="2150" spans="2:9" x14ac:dyDescent="0.2">
      <c r="B2150" s="3"/>
      <c r="C2150" s="3" t="s">
        <v>38</v>
      </c>
      <c r="D2150" s="2">
        <v>2077</v>
      </c>
      <c r="E2150" s="2">
        <v>258</v>
      </c>
      <c r="F2150" s="2">
        <f t="shared" si="108"/>
        <v>4</v>
      </c>
      <c r="H2150" s="2">
        <f t="shared" si="109"/>
        <v>0</v>
      </c>
    </row>
    <row r="2151" spans="2:9" x14ac:dyDescent="0.2">
      <c r="B2151" s="3"/>
      <c r="C2151" s="3" t="s">
        <v>39</v>
      </c>
      <c r="D2151" s="2">
        <v>1366</v>
      </c>
      <c r="E2151" s="2">
        <v>101</v>
      </c>
      <c r="F2151" s="2">
        <f t="shared" si="108"/>
        <v>8</v>
      </c>
      <c r="H2151" s="2">
        <f t="shared" si="109"/>
        <v>0</v>
      </c>
    </row>
    <row r="2152" spans="2:9" x14ac:dyDescent="0.2">
      <c r="B2152" s="3" t="s">
        <v>16</v>
      </c>
      <c r="C2152" s="3" t="s">
        <v>17</v>
      </c>
      <c r="D2152" s="2">
        <v>19572</v>
      </c>
      <c r="E2152" s="2">
        <v>1471</v>
      </c>
      <c r="F2152" s="2">
        <f t="shared" si="108"/>
        <v>91</v>
      </c>
      <c r="H2152" s="2">
        <f t="shared" si="109"/>
        <v>9942</v>
      </c>
      <c r="I2152" s="2">
        <f>SUM(77313+476439)</f>
        <v>553752</v>
      </c>
    </row>
    <row r="2153" spans="2:9" x14ac:dyDescent="0.2">
      <c r="B2153" s="3"/>
      <c r="C2153" s="3" t="s">
        <v>18</v>
      </c>
      <c r="D2153" s="2">
        <v>7754</v>
      </c>
      <c r="E2153" s="2">
        <v>765</v>
      </c>
      <c r="F2153" s="2">
        <f t="shared" si="108"/>
        <v>45</v>
      </c>
      <c r="H2153" s="2">
        <f t="shared" si="109"/>
        <v>0</v>
      </c>
    </row>
    <row r="2154" spans="2:9" x14ac:dyDescent="0.2">
      <c r="B2154" s="3"/>
      <c r="C2154" s="3" t="s">
        <v>19</v>
      </c>
      <c r="D2154" s="2">
        <v>6805</v>
      </c>
      <c r="E2154" s="2">
        <v>662</v>
      </c>
      <c r="F2154" s="2">
        <f t="shared" si="108"/>
        <v>51</v>
      </c>
      <c r="H2154" s="2">
        <f t="shared" si="109"/>
        <v>0</v>
      </c>
    </row>
    <row r="2155" spans="2:9" x14ac:dyDescent="0.2">
      <c r="B2155" s="3"/>
      <c r="C2155" s="3" t="s">
        <v>40</v>
      </c>
      <c r="D2155" s="2">
        <v>3907</v>
      </c>
      <c r="E2155" s="2">
        <v>263</v>
      </c>
      <c r="F2155" s="2">
        <f t="shared" si="108"/>
        <v>12</v>
      </c>
      <c r="H2155" s="2">
        <f t="shared" si="109"/>
        <v>0</v>
      </c>
    </row>
    <row r="2156" spans="2:9" x14ac:dyDescent="0.2">
      <c r="B2156" s="3"/>
      <c r="C2156" s="3" t="s">
        <v>41</v>
      </c>
      <c r="D2156" s="2">
        <v>4262</v>
      </c>
      <c r="E2156" s="2">
        <v>335</v>
      </c>
      <c r="F2156" s="2">
        <f t="shared" si="108"/>
        <v>11</v>
      </c>
      <c r="H2156" s="2">
        <f t="shared" si="109"/>
        <v>0</v>
      </c>
    </row>
    <row r="2157" spans="2:9" x14ac:dyDescent="0.2">
      <c r="B2157" s="3" t="s">
        <v>20</v>
      </c>
      <c r="C2157" s="3" t="s">
        <v>22</v>
      </c>
      <c r="D2157" s="2">
        <v>68807</v>
      </c>
      <c r="E2157" s="2">
        <v>2813</v>
      </c>
      <c r="F2157" s="2">
        <f t="shared" si="108"/>
        <v>1789</v>
      </c>
      <c r="H2157" s="2">
        <f>SUM(I2157-I2127)</f>
        <v>64611</v>
      </c>
      <c r="I2157" s="2">
        <v>2662258</v>
      </c>
    </row>
    <row r="2158" spans="2:9" x14ac:dyDescent="0.2">
      <c r="B2158" s="3"/>
      <c r="C2158" s="3" t="s">
        <v>26</v>
      </c>
      <c r="D2158" s="2">
        <v>9000</v>
      </c>
      <c r="E2158" s="2">
        <v>312</v>
      </c>
      <c r="F2158" s="2">
        <f t="shared" si="108"/>
        <v>161</v>
      </c>
      <c r="H2158" s="2">
        <f t="shared" ref="H2158:H2221" si="110">SUM(I2158-I2128)</f>
        <v>0</v>
      </c>
    </row>
    <row r="2159" spans="2:9" x14ac:dyDescent="0.2">
      <c r="B2159" s="3"/>
      <c r="C2159" s="3" t="s">
        <v>27</v>
      </c>
      <c r="D2159" s="2">
        <v>10014</v>
      </c>
      <c r="E2159" s="2">
        <v>380</v>
      </c>
      <c r="F2159" s="2">
        <f t="shared" si="108"/>
        <v>157</v>
      </c>
      <c r="H2159" s="2">
        <f t="shared" si="110"/>
        <v>0</v>
      </c>
    </row>
    <row r="2160" spans="2:9" x14ac:dyDescent="0.2">
      <c r="C2160" s="3" t="s">
        <v>42</v>
      </c>
      <c r="D2160" s="2">
        <v>3049</v>
      </c>
      <c r="E2160" s="2">
        <v>149</v>
      </c>
      <c r="F2160" s="2">
        <f t="shared" si="108"/>
        <v>17</v>
      </c>
      <c r="H2160" s="2">
        <f t="shared" si="110"/>
        <v>0</v>
      </c>
    </row>
    <row r="2161" spans="1:9" x14ac:dyDescent="0.2">
      <c r="C2161" s="3" t="s">
        <v>43</v>
      </c>
      <c r="D2161" s="2">
        <v>8304</v>
      </c>
      <c r="E2161" s="2">
        <v>202</v>
      </c>
      <c r="F2161" s="2">
        <f t="shared" si="108"/>
        <v>82</v>
      </c>
      <c r="H2161" s="2">
        <f t="shared" si="110"/>
        <v>0</v>
      </c>
    </row>
    <row r="2162" spans="1:9" x14ac:dyDescent="0.2">
      <c r="A2162" s="1">
        <v>43994</v>
      </c>
      <c r="B2162" s="3" t="s">
        <v>5</v>
      </c>
      <c r="C2162" s="3" t="s">
        <v>6</v>
      </c>
      <c r="D2162" s="2">
        <v>63573</v>
      </c>
      <c r="E2162" s="2">
        <v>3988</v>
      </c>
      <c r="F2162" s="2">
        <f t="shared" si="108"/>
        <v>141</v>
      </c>
      <c r="H2162" s="2">
        <f t="shared" si="110"/>
        <v>72395</v>
      </c>
      <c r="I2162" s="2">
        <v>2801400</v>
      </c>
    </row>
    <row r="2163" spans="1:9" x14ac:dyDescent="0.2">
      <c r="B2163" s="3"/>
      <c r="C2163" s="3" t="s">
        <v>7</v>
      </c>
      <c r="D2163" s="2">
        <v>57733</v>
      </c>
      <c r="E2163" s="2">
        <v>4484</v>
      </c>
      <c r="F2163" s="2">
        <f t="shared" si="108"/>
        <v>128</v>
      </c>
      <c r="H2163" s="2">
        <f t="shared" si="110"/>
        <v>0</v>
      </c>
    </row>
    <row r="2164" spans="1:9" x14ac:dyDescent="0.2">
      <c r="B2164" s="3"/>
      <c r="C2164" s="3" t="s">
        <v>8</v>
      </c>
      <c r="D2164" s="2">
        <v>41114</v>
      </c>
      <c r="E2164" s="2">
        <v>2667</v>
      </c>
      <c r="F2164" s="2">
        <f t="shared" si="108"/>
        <v>54</v>
      </c>
      <c r="H2164" s="2">
        <f t="shared" si="110"/>
        <v>0</v>
      </c>
    </row>
    <row r="2165" spans="1:9" x14ac:dyDescent="0.2">
      <c r="B2165" s="3"/>
      <c r="C2165" s="3" t="s">
        <v>35</v>
      </c>
      <c r="D2165" s="2">
        <v>46396</v>
      </c>
      <c r="E2165" s="2">
        <v>3013</v>
      </c>
      <c r="F2165" s="2">
        <f t="shared" si="108"/>
        <v>80</v>
      </c>
      <c r="H2165" s="2">
        <f t="shared" si="110"/>
        <v>0</v>
      </c>
    </row>
    <row r="2166" spans="1:9" x14ac:dyDescent="0.2">
      <c r="B2166" s="3"/>
      <c r="C2166" s="3" t="s">
        <v>14</v>
      </c>
      <c r="D2166" s="2">
        <v>40559</v>
      </c>
      <c r="E2166" s="2">
        <v>1994</v>
      </c>
      <c r="F2166" s="2">
        <f t="shared" si="108"/>
        <v>47</v>
      </c>
      <c r="H2166" s="2">
        <f t="shared" si="110"/>
        <v>0</v>
      </c>
    </row>
    <row r="2167" spans="1:9" x14ac:dyDescent="0.2">
      <c r="B2167" s="3" t="s">
        <v>9</v>
      </c>
      <c r="C2167" s="3" t="s">
        <v>10</v>
      </c>
      <c r="D2167" s="2">
        <v>18743</v>
      </c>
      <c r="E2167" s="2">
        <v>1649</v>
      </c>
      <c r="F2167" s="2">
        <f t="shared" si="108"/>
        <v>24</v>
      </c>
      <c r="H2167" s="2">
        <f t="shared" si="110"/>
        <v>24603</v>
      </c>
      <c r="I2167" s="2">
        <v>1055396</v>
      </c>
    </row>
    <row r="2168" spans="1:9" x14ac:dyDescent="0.2">
      <c r="B2168" s="3"/>
      <c r="C2168" s="3" t="s">
        <v>11</v>
      </c>
      <c r="D2168" s="2">
        <v>18693</v>
      </c>
      <c r="E2168" s="2">
        <v>1246</v>
      </c>
      <c r="F2168" s="2">
        <f t="shared" si="108"/>
        <v>18</v>
      </c>
      <c r="H2168" s="2">
        <f t="shared" si="110"/>
        <v>0</v>
      </c>
    </row>
    <row r="2169" spans="1:9" x14ac:dyDescent="0.2">
      <c r="B2169" s="3"/>
      <c r="C2169" s="3" t="s">
        <v>12</v>
      </c>
      <c r="D2169" s="2">
        <v>18295</v>
      </c>
      <c r="E2169" s="2">
        <v>1728</v>
      </c>
      <c r="F2169" s="2">
        <f t="shared" si="108"/>
        <v>61</v>
      </c>
      <c r="H2169" s="2">
        <f t="shared" si="110"/>
        <v>0</v>
      </c>
    </row>
    <row r="2170" spans="1:9" x14ac:dyDescent="0.2">
      <c r="B2170" s="3"/>
      <c r="C2170" s="3" t="s">
        <v>36</v>
      </c>
      <c r="D2170" s="2">
        <v>16351</v>
      </c>
      <c r="E2170" s="2">
        <v>1112</v>
      </c>
      <c r="F2170" s="2">
        <f t="shared" si="108"/>
        <v>14</v>
      </c>
      <c r="H2170" s="2">
        <f t="shared" si="110"/>
        <v>0</v>
      </c>
    </row>
    <row r="2171" spans="1:9" x14ac:dyDescent="0.2">
      <c r="B2171" s="3"/>
      <c r="C2171" s="3" t="s">
        <v>37</v>
      </c>
      <c r="D2171" s="2">
        <v>16581</v>
      </c>
      <c r="E2171" s="2">
        <v>988</v>
      </c>
      <c r="F2171" s="2">
        <f t="shared" si="108"/>
        <v>26</v>
      </c>
      <c r="H2171" s="2">
        <f t="shared" si="110"/>
        <v>0</v>
      </c>
    </row>
    <row r="2172" spans="1:9" x14ac:dyDescent="0.2">
      <c r="B2172" s="3" t="s">
        <v>13</v>
      </c>
      <c r="C2172" s="3" t="s">
        <v>14</v>
      </c>
      <c r="D2172" s="2">
        <v>19249</v>
      </c>
      <c r="E2172" s="2">
        <v>941</v>
      </c>
      <c r="F2172" s="2">
        <f t="shared" si="108"/>
        <v>54</v>
      </c>
      <c r="H2172" s="2">
        <f t="shared" si="110"/>
        <v>10186</v>
      </c>
      <c r="I2172" s="2">
        <v>689111</v>
      </c>
    </row>
    <row r="2173" spans="1:9" x14ac:dyDescent="0.2">
      <c r="B2173" s="3"/>
      <c r="C2173" s="3" t="s">
        <v>15</v>
      </c>
      <c r="D2173" s="2">
        <v>23075</v>
      </c>
      <c r="E2173" s="2">
        <v>1744</v>
      </c>
      <c r="F2173" s="2">
        <f t="shared" si="108"/>
        <v>79</v>
      </c>
      <c r="H2173" s="2">
        <f t="shared" si="110"/>
        <v>0</v>
      </c>
    </row>
    <row r="2174" spans="1:9" x14ac:dyDescent="0.2">
      <c r="B2174" s="3"/>
      <c r="C2174" s="3" t="s">
        <v>12</v>
      </c>
      <c r="D2174" s="2">
        <v>15518</v>
      </c>
      <c r="E2174" s="2">
        <v>1035</v>
      </c>
      <c r="F2174" s="2">
        <f t="shared" si="108"/>
        <v>53</v>
      </c>
      <c r="H2174" s="2">
        <f t="shared" si="110"/>
        <v>0</v>
      </c>
    </row>
    <row r="2175" spans="1:9" x14ac:dyDescent="0.2">
      <c r="B2175" s="3"/>
      <c r="C2175" s="3" t="s">
        <v>33</v>
      </c>
      <c r="D2175" s="2">
        <v>8842</v>
      </c>
      <c r="E2175" s="2">
        <v>882</v>
      </c>
      <c r="F2175" s="2">
        <f t="shared" si="108"/>
        <v>33</v>
      </c>
      <c r="H2175" s="2">
        <f t="shared" si="110"/>
        <v>0</v>
      </c>
    </row>
    <row r="2176" spans="1:9" x14ac:dyDescent="0.2">
      <c r="B2176" s="3"/>
      <c r="C2176" s="3" t="s">
        <v>34</v>
      </c>
      <c r="D2176" s="2">
        <v>11937</v>
      </c>
      <c r="E2176" s="2">
        <v>856</v>
      </c>
      <c r="F2176" s="2">
        <f t="shared" si="108"/>
        <v>52</v>
      </c>
      <c r="H2176" s="2">
        <f t="shared" si="110"/>
        <v>0</v>
      </c>
    </row>
    <row r="2177" spans="1:9" x14ac:dyDescent="0.2">
      <c r="B2177" s="3" t="s">
        <v>23</v>
      </c>
      <c r="C2177" s="3" t="s">
        <v>24</v>
      </c>
      <c r="D2177" s="2">
        <v>20948</v>
      </c>
      <c r="E2177" s="2">
        <v>2547</v>
      </c>
      <c r="F2177" s="2">
        <f t="shared" si="108"/>
        <v>32</v>
      </c>
      <c r="H2177" s="2">
        <f t="shared" si="110"/>
        <v>15767</v>
      </c>
      <c r="I2177" s="2">
        <v>786287</v>
      </c>
    </row>
    <row r="2178" spans="1:9" x14ac:dyDescent="0.2">
      <c r="B2178" s="3"/>
      <c r="C2178" s="3" t="s">
        <v>25</v>
      </c>
      <c r="D2178" s="2">
        <v>8533</v>
      </c>
      <c r="E2178" s="2">
        <v>1021</v>
      </c>
      <c r="F2178" s="2">
        <f t="shared" si="108"/>
        <v>15</v>
      </c>
      <c r="H2178" s="2">
        <f t="shared" si="110"/>
        <v>0</v>
      </c>
    </row>
    <row r="2179" spans="1:9" x14ac:dyDescent="0.2">
      <c r="B2179" s="3"/>
      <c r="C2179" s="3" t="s">
        <v>28</v>
      </c>
      <c r="D2179" s="2">
        <v>6857</v>
      </c>
      <c r="E2179" s="2">
        <v>844</v>
      </c>
      <c r="F2179" s="2">
        <f t="shared" si="108"/>
        <v>10</v>
      </c>
      <c r="H2179" s="2">
        <f t="shared" si="110"/>
        <v>0</v>
      </c>
    </row>
    <row r="2180" spans="1:9" x14ac:dyDescent="0.2">
      <c r="B2180" s="3"/>
      <c r="C2180" s="3" t="s">
        <v>38</v>
      </c>
      <c r="D2180" s="2">
        <v>2078</v>
      </c>
      <c r="E2180" s="2">
        <v>256</v>
      </c>
      <c r="F2180" s="2">
        <f t="shared" si="108"/>
        <v>1</v>
      </c>
      <c r="H2180" s="2">
        <f t="shared" si="110"/>
        <v>0</v>
      </c>
    </row>
    <row r="2181" spans="1:9" x14ac:dyDescent="0.2">
      <c r="B2181" s="3"/>
      <c r="C2181" s="3" t="s">
        <v>39</v>
      </c>
      <c r="D2181" s="2">
        <v>1367</v>
      </c>
      <c r="E2181" s="2">
        <v>101</v>
      </c>
      <c r="F2181" s="2">
        <f t="shared" si="108"/>
        <v>1</v>
      </c>
      <c r="H2181" s="2">
        <f t="shared" si="110"/>
        <v>0</v>
      </c>
    </row>
    <row r="2182" spans="1:9" x14ac:dyDescent="0.2">
      <c r="B2182" s="3" t="s">
        <v>16</v>
      </c>
      <c r="C2182" s="3" t="s">
        <v>17</v>
      </c>
      <c r="D2182" s="2">
        <v>19746</v>
      </c>
      <c r="E2182" s="2">
        <v>1487</v>
      </c>
      <c r="F2182" s="2">
        <f t="shared" si="108"/>
        <v>174</v>
      </c>
      <c r="H2182" s="2">
        <f t="shared" si="110"/>
        <v>12632</v>
      </c>
      <c r="I2182" s="2">
        <f>SUM(77999+488385)</f>
        <v>566384</v>
      </c>
    </row>
    <row r="2183" spans="1:9" x14ac:dyDescent="0.2">
      <c r="B2183" s="3"/>
      <c r="C2183" s="3" t="s">
        <v>18</v>
      </c>
      <c r="D2183" s="2">
        <v>7834</v>
      </c>
      <c r="E2183" s="2">
        <v>768</v>
      </c>
      <c r="F2183" s="2">
        <f t="shared" si="108"/>
        <v>80</v>
      </c>
      <c r="H2183" s="2">
        <f t="shared" si="110"/>
        <v>0</v>
      </c>
    </row>
    <row r="2184" spans="1:9" x14ac:dyDescent="0.2">
      <c r="B2184" s="3"/>
      <c r="C2184" s="3" t="s">
        <v>19</v>
      </c>
      <c r="D2184" s="2">
        <v>6837</v>
      </c>
      <c r="E2184" s="2">
        <v>664</v>
      </c>
      <c r="F2184" s="2">
        <f t="shared" si="108"/>
        <v>32</v>
      </c>
      <c r="H2184" s="2">
        <f t="shared" si="110"/>
        <v>0</v>
      </c>
    </row>
    <row r="2185" spans="1:9" x14ac:dyDescent="0.2">
      <c r="B2185" s="3"/>
      <c r="C2185" s="3" t="s">
        <v>40</v>
      </c>
      <c r="D2185" s="2">
        <v>3926</v>
      </c>
      <c r="E2185" s="2">
        <v>264</v>
      </c>
      <c r="F2185" s="2">
        <f t="shared" si="108"/>
        <v>19</v>
      </c>
      <c r="H2185" s="2">
        <f t="shared" si="110"/>
        <v>0</v>
      </c>
    </row>
    <row r="2186" spans="1:9" x14ac:dyDescent="0.2">
      <c r="B2186" s="3"/>
      <c r="C2186" s="3" t="s">
        <v>41</v>
      </c>
      <c r="D2186" s="2">
        <v>4281</v>
      </c>
      <c r="E2186" s="2">
        <v>338</v>
      </c>
      <c r="F2186" s="2">
        <f t="shared" si="108"/>
        <v>19</v>
      </c>
      <c r="H2186" s="2">
        <f t="shared" si="110"/>
        <v>0</v>
      </c>
    </row>
    <row r="2187" spans="1:9" x14ac:dyDescent="0.2">
      <c r="B2187" s="3" t="s">
        <v>20</v>
      </c>
      <c r="C2187" s="3" t="s">
        <v>22</v>
      </c>
      <c r="D2187" s="2">
        <v>70385</v>
      </c>
      <c r="E2187" s="2">
        <v>2834</v>
      </c>
      <c r="F2187" s="2">
        <f t="shared" si="108"/>
        <v>1578</v>
      </c>
      <c r="H2187" s="2">
        <f t="shared" si="110"/>
        <v>62135</v>
      </c>
      <c r="I2187" s="2">
        <v>2724393</v>
      </c>
    </row>
    <row r="2188" spans="1:9" x14ac:dyDescent="0.2">
      <c r="B2188" s="3"/>
      <c r="C2188" s="3" t="s">
        <v>26</v>
      </c>
      <c r="D2188" s="2">
        <v>9132</v>
      </c>
      <c r="E2188" s="2">
        <v>312</v>
      </c>
      <c r="F2188" s="2">
        <f t="shared" si="108"/>
        <v>132</v>
      </c>
      <c r="H2188" s="2">
        <f t="shared" si="110"/>
        <v>0</v>
      </c>
    </row>
    <row r="2189" spans="1:9" x14ac:dyDescent="0.2">
      <c r="B2189" s="3"/>
      <c r="C2189" s="3" t="s">
        <v>27</v>
      </c>
      <c r="D2189" s="2">
        <v>10616</v>
      </c>
      <c r="E2189" s="2">
        <v>383</v>
      </c>
      <c r="F2189" s="2">
        <f t="shared" si="108"/>
        <v>602</v>
      </c>
      <c r="H2189" s="2">
        <f t="shared" si="110"/>
        <v>0</v>
      </c>
    </row>
    <row r="2190" spans="1:9" x14ac:dyDescent="0.2">
      <c r="C2190" s="3" t="s">
        <v>42</v>
      </c>
      <c r="D2190" s="2">
        <v>3099</v>
      </c>
      <c r="E2190" s="2">
        <v>150</v>
      </c>
      <c r="F2190" s="2">
        <f t="shared" si="108"/>
        <v>50</v>
      </c>
      <c r="H2190" s="2">
        <f t="shared" si="110"/>
        <v>0</v>
      </c>
    </row>
    <row r="2191" spans="1:9" x14ac:dyDescent="0.2">
      <c r="C2191" s="3" t="s">
        <v>43</v>
      </c>
      <c r="D2191" s="2">
        <v>8440</v>
      </c>
      <c r="E2191" s="2">
        <v>210</v>
      </c>
      <c r="F2191" s="2">
        <f t="shared" si="108"/>
        <v>136</v>
      </c>
      <c r="H2191" s="2">
        <f t="shared" si="110"/>
        <v>0</v>
      </c>
    </row>
    <row r="2192" spans="1:9" x14ac:dyDescent="0.2">
      <c r="A2192" s="1">
        <v>43995</v>
      </c>
      <c r="B2192" s="3" t="s">
        <v>5</v>
      </c>
      <c r="C2192" s="3" t="s">
        <v>6</v>
      </c>
      <c r="D2192" s="2">
        <v>63727</v>
      </c>
      <c r="E2192" s="2">
        <v>3989</v>
      </c>
      <c r="F2192" s="2">
        <f t="shared" si="108"/>
        <v>154</v>
      </c>
      <c r="H2192" s="2">
        <f t="shared" si="110"/>
        <v>70840</v>
      </c>
      <c r="I2192" s="2">
        <v>2872240</v>
      </c>
    </row>
    <row r="2193" spans="2:9" x14ac:dyDescent="0.2">
      <c r="B2193" s="3"/>
      <c r="C2193" s="3" t="s">
        <v>7</v>
      </c>
      <c r="D2193" s="2">
        <v>57919</v>
      </c>
      <c r="E2193" s="2">
        <v>4490</v>
      </c>
      <c r="F2193" s="2">
        <f t="shared" si="108"/>
        <v>186</v>
      </c>
      <c r="H2193" s="2">
        <f t="shared" si="110"/>
        <v>0</v>
      </c>
    </row>
    <row r="2194" spans="2:9" x14ac:dyDescent="0.2">
      <c r="B2194" s="3"/>
      <c r="C2194" s="3" t="s">
        <v>8</v>
      </c>
      <c r="D2194" s="2">
        <v>41172</v>
      </c>
      <c r="E2194" s="2">
        <v>2668</v>
      </c>
      <c r="F2194" s="2">
        <f t="shared" si="108"/>
        <v>58</v>
      </c>
      <c r="H2194" s="2">
        <f t="shared" si="110"/>
        <v>0</v>
      </c>
    </row>
    <row r="2195" spans="2:9" x14ac:dyDescent="0.2">
      <c r="B2195" s="3"/>
      <c r="C2195" s="3" t="s">
        <v>35</v>
      </c>
      <c r="D2195" s="2">
        <v>46501</v>
      </c>
      <c r="E2195" s="2">
        <v>3013</v>
      </c>
      <c r="F2195" s="2">
        <f t="shared" si="108"/>
        <v>105</v>
      </c>
      <c r="H2195" s="2">
        <f t="shared" si="110"/>
        <v>0</v>
      </c>
    </row>
    <row r="2196" spans="2:9" x14ac:dyDescent="0.2">
      <c r="B2196" s="3"/>
      <c r="C2196" s="3" t="s">
        <v>14</v>
      </c>
      <c r="D2196" s="2">
        <v>40615</v>
      </c>
      <c r="E2196" s="2">
        <v>1996</v>
      </c>
      <c r="F2196" s="2">
        <f t="shared" si="108"/>
        <v>56</v>
      </c>
      <c r="H2196" s="2">
        <f t="shared" si="110"/>
        <v>0</v>
      </c>
    </row>
    <row r="2197" spans="2:9" x14ac:dyDescent="0.2">
      <c r="B2197" s="3" t="s">
        <v>9</v>
      </c>
      <c r="C2197" s="3" t="s">
        <v>10</v>
      </c>
      <c r="D2197" s="2">
        <v>18805</v>
      </c>
      <c r="E2197" s="2">
        <v>1664</v>
      </c>
      <c r="F2197" s="2">
        <f t="shared" ref="F2197:F2260" si="111">SUM(D2197-D2167)</f>
        <v>62</v>
      </c>
      <c r="H2197" s="2">
        <f t="shared" si="110"/>
        <v>0</v>
      </c>
      <c r="I2197" s="2">
        <v>1055396</v>
      </c>
    </row>
    <row r="2198" spans="2:9" x14ac:dyDescent="0.2">
      <c r="B2198" s="3"/>
      <c r="C2198" s="3" t="s">
        <v>11</v>
      </c>
      <c r="D2198" s="2">
        <v>18717</v>
      </c>
      <c r="E2198" s="2">
        <v>1253</v>
      </c>
      <c r="F2198" s="2">
        <f t="shared" si="111"/>
        <v>24</v>
      </c>
      <c r="H2198" s="2">
        <f t="shared" si="110"/>
        <v>0</v>
      </c>
    </row>
    <row r="2199" spans="2:9" x14ac:dyDescent="0.2">
      <c r="B2199" s="3"/>
      <c r="C2199" s="3" t="s">
        <v>12</v>
      </c>
      <c r="D2199" s="2">
        <v>18336</v>
      </c>
      <c r="E2199" s="2">
        <v>1741</v>
      </c>
      <c r="F2199" s="2">
        <f t="shared" si="111"/>
        <v>41</v>
      </c>
      <c r="H2199" s="2">
        <f t="shared" si="110"/>
        <v>0</v>
      </c>
    </row>
    <row r="2200" spans="2:9" x14ac:dyDescent="0.2">
      <c r="B2200" s="3"/>
      <c r="C2200" s="3" t="s">
        <v>36</v>
      </c>
      <c r="D2200" s="2">
        <v>16337</v>
      </c>
      <c r="E2200" s="2">
        <v>1121</v>
      </c>
      <c r="F2200" s="2">
        <f t="shared" si="111"/>
        <v>-14</v>
      </c>
      <c r="H2200" s="2">
        <f t="shared" si="110"/>
        <v>0</v>
      </c>
    </row>
    <row r="2201" spans="2:9" x14ac:dyDescent="0.2">
      <c r="B2201" s="3"/>
      <c r="C2201" s="3" t="s">
        <v>37</v>
      </c>
      <c r="D2201" s="2">
        <v>16612</v>
      </c>
      <c r="E2201" s="2">
        <v>997</v>
      </c>
      <c r="F2201" s="2">
        <f t="shared" si="111"/>
        <v>31</v>
      </c>
      <c r="H2201" s="2">
        <f t="shared" si="110"/>
        <v>0</v>
      </c>
    </row>
    <row r="2202" spans="2:9" x14ac:dyDescent="0.2">
      <c r="B2202" s="3" t="s">
        <v>13</v>
      </c>
      <c r="C2202" s="3" t="s">
        <v>14</v>
      </c>
      <c r="D2202" s="2">
        <v>19299</v>
      </c>
      <c r="E2202" s="2">
        <v>943</v>
      </c>
      <c r="F2202" s="2">
        <f t="shared" si="111"/>
        <v>50</v>
      </c>
      <c r="H2202" s="2">
        <f t="shared" si="110"/>
        <v>10160</v>
      </c>
      <c r="I2202" s="2">
        <v>699271</v>
      </c>
    </row>
    <row r="2203" spans="2:9" x14ac:dyDescent="0.2">
      <c r="B2203" s="3"/>
      <c r="C2203" s="3" t="s">
        <v>15</v>
      </c>
      <c r="D2203" s="2">
        <v>23156</v>
      </c>
      <c r="E2203" s="2">
        <v>1748</v>
      </c>
      <c r="F2203" s="2">
        <f t="shared" si="111"/>
        <v>81</v>
      </c>
      <c r="H2203" s="2">
        <f t="shared" si="110"/>
        <v>0</v>
      </c>
    </row>
    <row r="2204" spans="2:9" x14ac:dyDescent="0.2">
      <c r="B2204" s="3"/>
      <c r="C2204" s="3" t="s">
        <v>12</v>
      </c>
      <c r="D2204" s="2">
        <v>15573</v>
      </c>
      <c r="E2204" s="2">
        <v>1041</v>
      </c>
      <c r="F2204" s="2">
        <f t="shared" si="111"/>
        <v>55</v>
      </c>
      <c r="H2204" s="2">
        <f t="shared" si="110"/>
        <v>0</v>
      </c>
    </row>
    <row r="2205" spans="2:9" x14ac:dyDescent="0.2">
      <c r="B2205" s="3"/>
      <c r="C2205" s="3" t="s">
        <v>33</v>
      </c>
      <c r="D2205" s="2">
        <v>8860</v>
      </c>
      <c r="E2205" s="2">
        <v>882</v>
      </c>
      <c r="F2205" s="2">
        <f t="shared" si="111"/>
        <v>18</v>
      </c>
      <c r="H2205" s="2">
        <f t="shared" si="110"/>
        <v>0</v>
      </c>
    </row>
    <row r="2206" spans="2:9" x14ac:dyDescent="0.2">
      <c r="B2206" s="3"/>
      <c r="C2206" s="3" t="s">
        <v>34</v>
      </c>
      <c r="D2206" s="2">
        <v>11961</v>
      </c>
      <c r="E2206" s="2">
        <v>863</v>
      </c>
      <c r="F2206" s="2">
        <f t="shared" si="111"/>
        <v>24</v>
      </c>
      <c r="H2206" s="2">
        <f t="shared" si="110"/>
        <v>0</v>
      </c>
    </row>
    <row r="2207" spans="2:9" x14ac:dyDescent="0.2">
      <c r="B2207" s="3" t="s">
        <v>23</v>
      </c>
      <c r="C2207" s="3" t="s">
        <v>24</v>
      </c>
      <c r="D2207" s="2">
        <v>21003</v>
      </c>
      <c r="E2207" s="2">
        <v>2551</v>
      </c>
      <c r="F2207" s="2">
        <f t="shared" si="111"/>
        <v>55</v>
      </c>
      <c r="H2207" s="2">
        <f t="shared" si="110"/>
        <v>13196</v>
      </c>
      <c r="I2207" s="2">
        <v>799483</v>
      </c>
    </row>
    <row r="2208" spans="2:9" x14ac:dyDescent="0.2">
      <c r="B2208" s="3"/>
      <c r="C2208" s="3" t="s">
        <v>25</v>
      </c>
      <c r="D2208" s="2">
        <v>8552</v>
      </c>
      <c r="E2208" s="2">
        <v>1025</v>
      </c>
      <c r="F2208" s="2">
        <f t="shared" si="111"/>
        <v>19</v>
      </c>
      <c r="H2208" s="2">
        <f t="shared" si="110"/>
        <v>0</v>
      </c>
    </row>
    <row r="2209" spans="1:9" x14ac:dyDescent="0.2">
      <c r="B2209" s="3"/>
      <c r="C2209" s="3" t="s">
        <v>28</v>
      </c>
      <c r="D2209" s="2">
        <v>6877</v>
      </c>
      <c r="E2209" s="2">
        <v>852</v>
      </c>
      <c r="F2209" s="2">
        <f t="shared" si="111"/>
        <v>20</v>
      </c>
      <c r="H2209" s="2">
        <f t="shared" si="110"/>
        <v>0</v>
      </c>
    </row>
    <row r="2210" spans="1:9" x14ac:dyDescent="0.2">
      <c r="B2210" s="3"/>
      <c r="C2210" s="3" t="s">
        <v>38</v>
      </c>
      <c r="D2210" s="2">
        <v>2084</v>
      </c>
      <c r="E2210" s="2">
        <v>258</v>
      </c>
      <c r="F2210" s="2">
        <f t="shared" si="111"/>
        <v>6</v>
      </c>
      <c r="H2210" s="2">
        <f t="shared" si="110"/>
        <v>0</v>
      </c>
    </row>
    <row r="2211" spans="1:9" x14ac:dyDescent="0.2">
      <c r="B2211" s="3"/>
      <c r="C2211" s="3" t="s">
        <v>39</v>
      </c>
      <c r="D2211" s="2">
        <v>1367</v>
      </c>
      <c r="E2211" s="2">
        <v>101</v>
      </c>
      <c r="F2211" s="2">
        <f t="shared" si="111"/>
        <v>0</v>
      </c>
      <c r="H2211" s="2">
        <f t="shared" si="110"/>
        <v>0</v>
      </c>
    </row>
    <row r="2212" spans="1:9" x14ac:dyDescent="0.2">
      <c r="B2212" s="3" t="s">
        <v>16</v>
      </c>
      <c r="C2212" s="3" t="s">
        <v>17</v>
      </c>
      <c r="D2212" s="2">
        <v>19856</v>
      </c>
      <c r="E2212" s="2">
        <v>1502</v>
      </c>
      <c r="F2212" s="2">
        <f t="shared" si="111"/>
        <v>110</v>
      </c>
      <c r="H2212" s="2">
        <f t="shared" si="110"/>
        <v>8667</v>
      </c>
      <c r="I2212" s="2">
        <f>SUM(78462+496589)</f>
        <v>575051</v>
      </c>
    </row>
    <row r="2213" spans="1:9" x14ac:dyDescent="0.2">
      <c r="B2213" s="3"/>
      <c r="C2213" s="3" t="s">
        <v>18</v>
      </c>
      <c r="D2213" s="2">
        <v>7865</v>
      </c>
      <c r="E2213" s="2">
        <v>768</v>
      </c>
      <c r="F2213" s="2">
        <f t="shared" si="111"/>
        <v>31</v>
      </c>
      <c r="H2213" s="2">
        <f t="shared" si="110"/>
        <v>0</v>
      </c>
    </row>
    <row r="2214" spans="1:9" x14ac:dyDescent="0.2">
      <c r="B2214" s="3"/>
      <c r="C2214" s="3" t="s">
        <v>19</v>
      </c>
      <c r="D2214" s="2">
        <v>6868</v>
      </c>
      <c r="E2214" s="2">
        <v>664</v>
      </c>
      <c r="F2214" s="2">
        <f t="shared" si="111"/>
        <v>31</v>
      </c>
      <c r="H2214" s="2">
        <f t="shared" si="110"/>
        <v>0</v>
      </c>
    </row>
    <row r="2215" spans="1:9" x14ac:dyDescent="0.2">
      <c r="B2215" s="3"/>
      <c r="C2215" s="3" t="s">
        <v>40</v>
      </c>
      <c r="D2215" s="2">
        <v>3939</v>
      </c>
      <c r="E2215" s="2">
        <v>267</v>
      </c>
      <c r="F2215" s="2">
        <f t="shared" si="111"/>
        <v>13</v>
      </c>
      <c r="H2215" s="2">
        <f t="shared" si="110"/>
        <v>0</v>
      </c>
    </row>
    <row r="2216" spans="1:9" x14ac:dyDescent="0.2">
      <c r="B2216" s="3"/>
      <c r="C2216" s="3" t="s">
        <v>41</v>
      </c>
      <c r="D2216" s="2">
        <v>4303</v>
      </c>
      <c r="E2216" s="2">
        <v>338</v>
      </c>
      <c r="F2216" s="2">
        <f t="shared" si="111"/>
        <v>22</v>
      </c>
      <c r="H2216" s="2">
        <f t="shared" si="110"/>
        <v>0</v>
      </c>
    </row>
    <row r="2217" spans="1:9" x14ac:dyDescent="0.2">
      <c r="B2217" s="3" t="s">
        <v>20</v>
      </c>
      <c r="C2217" s="3" t="s">
        <v>22</v>
      </c>
      <c r="D2217" s="2">
        <v>71938</v>
      </c>
      <c r="E2217" s="2">
        <v>2890</v>
      </c>
      <c r="F2217" s="2">
        <f t="shared" si="111"/>
        <v>1553</v>
      </c>
      <c r="H2217" s="2">
        <f t="shared" si="110"/>
        <v>77603</v>
      </c>
      <c r="I2217" s="2">
        <v>2801996</v>
      </c>
    </row>
    <row r="2218" spans="1:9" x14ac:dyDescent="0.2">
      <c r="B2218" s="3"/>
      <c r="C2218" s="3" t="s">
        <v>26</v>
      </c>
      <c r="D2218" s="2">
        <v>9316</v>
      </c>
      <c r="E2218" s="2">
        <v>320</v>
      </c>
      <c r="F2218" s="2">
        <f t="shared" si="111"/>
        <v>184</v>
      </c>
      <c r="H2218" s="2">
        <f t="shared" si="110"/>
        <v>0</v>
      </c>
    </row>
    <row r="2219" spans="1:9" x14ac:dyDescent="0.2">
      <c r="B2219" s="3"/>
      <c r="C2219" s="3" t="s">
        <v>27</v>
      </c>
      <c r="D2219" s="2">
        <v>10931</v>
      </c>
      <c r="E2219" s="2">
        <v>383</v>
      </c>
      <c r="F2219" s="2">
        <f t="shared" si="111"/>
        <v>315</v>
      </c>
      <c r="H2219" s="2">
        <f t="shared" si="110"/>
        <v>0</v>
      </c>
    </row>
    <row r="2220" spans="1:9" x14ac:dyDescent="0.2">
      <c r="C2220" s="3" t="s">
        <v>42</v>
      </c>
      <c r="D2220" s="2">
        <v>3141</v>
      </c>
      <c r="E2220" s="2">
        <v>150</v>
      </c>
      <c r="F2220" s="2">
        <f t="shared" si="111"/>
        <v>42</v>
      </c>
      <c r="H2220" s="2">
        <f t="shared" si="110"/>
        <v>0</v>
      </c>
    </row>
    <row r="2221" spans="1:9" x14ac:dyDescent="0.2">
      <c r="C2221" s="3" t="s">
        <v>43</v>
      </c>
      <c r="D2221" s="2">
        <v>8581</v>
      </c>
      <c r="E2221" s="2">
        <v>217</v>
      </c>
      <c r="F2221" s="2">
        <f t="shared" si="111"/>
        <v>141</v>
      </c>
      <c r="H2221" s="2">
        <f t="shared" si="110"/>
        <v>0</v>
      </c>
    </row>
    <row r="2222" spans="1:9" x14ac:dyDescent="0.2">
      <c r="A2222" s="1">
        <v>43996</v>
      </c>
      <c r="B2222" s="3" t="s">
        <v>5</v>
      </c>
      <c r="C2222" s="3" t="s">
        <v>6</v>
      </c>
      <c r="D2222" s="2">
        <v>63822</v>
      </c>
      <c r="E2222" s="2">
        <v>3991</v>
      </c>
      <c r="F2222" s="2">
        <f t="shared" si="111"/>
        <v>95</v>
      </c>
      <c r="H2222" s="2">
        <f t="shared" ref="H2222:H2285" si="112">SUM(I2222-I2192)</f>
        <v>62359</v>
      </c>
      <c r="I2222" s="2">
        <v>2934599</v>
      </c>
    </row>
    <row r="2223" spans="1:9" x14ac:dyDescent="0.2">
      <c r="B2223" s="3"/>
      <c r="C2223" s="3" t="s">
        <v>7</v>
      </c>
      <c r="D2223" s="2">
        <v>58059</v>
      </c>
      <c r="E2223" s="2">
        <v>4493</v>
      </c>
      <c r="F2223" s="2">
        <f t="shared" si="111"/>
        <v>140</v>
      </c>
      <c r="H2223" s="2">
        <f t="shared" si="112"/>
        <v>0</v>
      </c>
    </row>
    <row r="2224" spans="1:9" x14ac:dyDescent="0.2">
      <c r="B2224" s="3"/>
      <c r="C2224" s="3" t="s">
        <v>8</v>
      </c>
      <c r="D2224" s="2">
        <v>41204</v>
      </c>
      <c r="E2224" s="2">
        <v>2670</v>
      </c>
      <c r="F2224" s="2">
        <f t="shared" si="111"/>
        <v>32</v>
      </c>
      <c r="H2224" s="2">
        <f t="shared" si="112"/>
        <v>0</v>
      </c>
    </row>
    <row r="2225" spans="2:9" x14ac:dyDescent="0.2">
      <c r="B2225" s="3"/>
      <c r="C2225" s="3" t="s">
        <v>35</v>
      </c>
      <c r="D2225" s="2">
        <v>46567</v>
      </c>
      <c r="E2225" s="2">
        <v>3015</v>
      </c>
      <c r="F2225" s="2">
        <f t="shared" si="111"/>
        <v>66</v>
      </c>
      <c r="H2225" s="2">
        <f t="shared" si="112"/>
        <v>0</v>
      </c>
    </row>
    <row r="2226" spans="2:9" x14ac:dyDescent="0.2">
      <c r="B2226" s="3"/>
      <c r="C2226" s="3" t="s">
        <v>14</v>
      </c>
      <c r="D2226" s="2">
        <v>40659</v>
      </c>
      <c r="E2226" s="2">
        <v>1997</v>
      </c>
      <c r="F2226" s="2">
        <f t="shared" si="111"/>
        <v>44</v>
      </c>
      <c r="H2226" s="2">
        <f t="shared" si="112"/>
        <v>0</v>
      </c>
    </row>
    <row r="2227" spans="2:9" x14ac:dyDescent="0.2">
      <c r="B2227" s="3" t="s">
        <v>9</v>
      </c>
      <c r="C2227" s="3" t="s">
        <v>10</v>
      </c>
      <c r="D2227" s="2">
        <v>18818</v>
      </c>
      <c r="E2227" s="2">
        <v>1662</v>
      </c>
      <c r="F2227" s="2">
        <f t="shared" si="111"/>
        <v>13</v>
      </c>
      <c r="H2227" s="2">
        <f t="shared" si="112"/>
        <v>42220</v>
      </c>
      <c r="I2227" s="2">
        <v>1097616</v>
      </c>
    </row>
    <row r="2228" spans="2:9" x14ac:dyDescent="0.2">
      <c r="B2228" s="3"/>
      <c r="C2228" s="3" t="s">
        <v>11</v>
      </c>
      <c r="D2228" s="2">
        <v>18746</v>
      </c>
      <c r="E2228" s="2">
        <v>1254</v>
      </c>
      <c r="F2228" s="2">
        <f t="shared" si="111"/>
        <v>29</v>
      </c>
      <c r="H2228" s="2">
        <f t="shared" si="112"/>
        <v>0</v>
      </c>
    </row>
    <row r="2229" spans="2:9" x14ac:dyDescent="0.2">
      <c r="B2229" s="3"/>
      <c r="C2229" s="3" t="s">
        <v>12</v>
      </c>
      <c r="D2229" s="2">
        <v>18364</v>
      </c>
      <c r="E2229" s="2">
        <v>1745</v>
      </c>
      <c r="F2229" s="2">
        <f t="shared" si="111"/>
        <v>28</v>
      </c>
      <c r="H2229" s="2">
        <f t="shared" si="112"/>
        <v>0</v>
      </c>
    </row>
    <row r="2230" spans="2:9" x14ac:dyDescent="0.2">
      <c r="B2230" s="3"/>
      <c r="C2230" s="3" t="s">
        <v>36</v>
      </c>
      <c r="D2230" s="2">
        <v>16322</v>
      </c>
      <c r="E2230" s="2">
        <v>1126</v>
      </c>
      <c r="F2230" s="2">
        <f t="shared" si="111"/>
        <v>-15</v>
      </c>
      <c r="H2230" s="2">
        <f t="shared" si="112"/>
        <v>0</v>
      </c>
    </row>
    <row r="2231" spans="2:9" x14ac:dyDescent="0.2">
      <c r="B2231" s="3"/>
      <c r="C2231" s="3" t="s">
        <v>37</v>
      </c>
      <c r="D2231" s="2">
        <v>16627</v>
      </c>
      <c r="E2231" s="2">
        <v>999</v>
      </c>
      <c r="F2231" s="2">
        <f t="shared" si="111"/>
        <v>15</v>
      </c>
      <c r="H2231" s="2">
        <f t="shared" si="112"/>
        <v>0</v>
      </c>
    </row>
    <row r="2232" spans="2:9" x14ac:dyDescent="0.2">
      <c r="B2232" s="3" t="s">
        <v>13</v>
      </c>
      <c r="C2232" s="3" t="s">
        <v>14</v>
      </c>
      <c r="D2232" s="2">
        <v>19335</v>
      </c>
      <c r="E2232" s="2">
        <v>950</v>
      </c>
      <c r="F2232" s="2">
        <f t="shared" si="111"/>
        <v>36</v>
      </c>
      <c r="H2232" s="2">
        <f t="shared" si="112"/>
        <v>9112</v>
      </c>
      <c r="I2232" s="2">
        <v>708383</v>
      </c>
    </row>
    <row r="2233" spans="2:9" x14ac:dyDescent="0.2">
      <c r="B2233" s="3"/>
      <c r="C2233" s="3" t="s">
        <v>15</v>
      </c>
      <c r="D2233" s="2">
        <v>23195</v>
      </c>
      <c r="E2233" s="2">
        <v>1756</v>
      </c>
      <c r="F2233" s="2">
        <f t="shared" si="111"/>
        <v>39</v>
      </c>
      <c r="H2233" s="2">
        <f t="shared" si="112"/>
        <v>0</v>
      </c>
    </row>
    <row r="2234" spans="2:9" x14ac:dyDescent="0.2">
      <c r="B2234" s="3"/>
      <c r="C2234" s="3" t="s">
        <v>12</v>
      </c>
      <c r="D2234" s="2">
        <v>15604</v>
      </c>
      <c r="E2234" s="2">
        <v>1046</v>
      </c>
      <c r="F2234" s="2">
        <f t="shared" si="111"/>
        <v>31</v>
      </c>
      <c r="H2234" s="2">
        <f t="shared" si="112"/>
        <v>0</v>
      </c>
    </row>
    <row r="2235" spans="2:9" x14ac:dyDescent="0.2">
      <c r="B2235" s="3"/>
      <c r="C2235" s="3" t="s">
        <v>33</v>
      </c>
      <c r="D2235" s="2">
        <v>8866</v>
      </c>
      <c r="E2235" s="2">
        <v>888</v>
      </c>
      <c r="F2235" s="2">
        <f t="shared" si="111"/>
        <v>6</v>
      </c>
      <c r="H2235" s="2">
        <f t="shared" si="112"/>
        <v>0</v>
      </c>
    </row>
    <row r="2236" spans="2:9" x14ac:dyDescent="0.2">
      <c r="B2236" s="3"/>
      <c r="C2236" s="3" t="s">
        <v>34</v>
      </c>
      <c r="D2236" s="2">
        <v>11975</v>
      </c>
      <c r="E2236" s="2">
        <v>870</v>
      </c>
      <c r="F2236" s="2">
        <f t="shared" si="111"/>
        <v>14</v>
      </c>
      <c r="H2236" s="2">
        <f t="shared" si="112"/>
        <v>0</v>
      </c>
    </row>
    <row r="2237" spans="2:9" x14ac:dyDescent="0.2">
      <c r="B2237" s="3" t="s">
        <v>23</v>
      </c>
      <c r="C2237" s="3" t="s">
        <v>24</v>
      </c>
      <c r="D2237" s="2">
        <v>21023</v>
      </c>
      <c r="E2237" s="2">
        <v>2552</v>
      </c>
      <c r="F2237" s="2">
        <f t="shared" si="111"/>
        <v>20</v>
      </c>
      <c r="H2237" s="2">
        <f t="shared" si="112"/>
        <v>14015</v>
      </c>
      <c r="I2237" s="2">
        <v>813498</v>
      </c>
    </row>
    <row r="2238" spans="2:9" x14ac:dyDescent="0.2">
      <c r="B2238" s="3"/>
      <c r="C2238" s="3" t="s">
        <v>25</v>
      </c>
      <c r="D2238" s="2">
        <v>8559</v>
      </c>
      <c r="E2238" s="2">
        <v>1025</v>
      </c>
      <c r="F2238" s="2">
        <f t="shared" si="111"/>
        <v>7</v>
      </c>
      <c r="H2238" s="2">
        <f t="shared" si="112"/>
        <v>0</v>
      </c>
    </row>
    <row r="2239" spans="2:9" x14ac:dyDescent="0.2">
      <c r="B2239" s="3"/>
      <c r="C2239" s="3" t="s">
        <v>28</v>
      </c>
      <c r="D2239" s="2">
        <v>6886</v>
      </c>
      <c r="E2239" s="2">
        <v>852</v>
      </c>
      <c r="F2239" s="2">
        <f t="shared" si="111"/>
        <v>9</v>
      </c>
      <c r="H2239" s="2">
        <f t="shared" si="112"/>
        <v>0</v>
      </c>
    </row>
    <row r="2240" spans="2:9" x14ac:dyDescent="0.2">
      <c r="B2240" s="3"/>
      <c r="C2240" s="3" t="s">
        <v>38</v>
      </c>
      <c r="D2240" s="2">
        <v>2084</v>
      </c>
      <c r="E2240" s="2">
        <v>257</v>
      </c>
      <c r="F2240" s="2">
        <f t="shared" si="111"/>
        <v>0</v>
      </c>
      <c r="H2240" s="2">
        <f t="shared" si="112"/>
        <v>0</v>
      </c>
    </row>
    <row r="2241" spans="1:9" x14ac:dyDescent="0.2">
      <c r="B2241" s="3"/>
      <c r="C2241" s="3" t="s">
        <v>39</v>
      </c>
      <c r="D2241" s="2">
        <v>1373</v>
      </c>
      <c r="E2241" s="2">
        <v>101</v>
      </c>
      <c r="F2241" s="2">
        <f t="shared" si="111"/>
        <v>6</v>
      </c>
      <c r="H2241" s="2">
        <f t="shared" si="112"/>
        <v>0</v>
      </c>
    </row>
    <row r="2242" spans="1:9" x14ac:dyDescent="0.2">
      <c r="B2242" s="3" t="s">
        <v>16</v>
      </c>
      <c r="C2242" s="3" t="s">
        <v>17</v>
      </c>
      <c r="D2242" s="2">
        <v>19933</v>
      </c>
      <c r="E2242" s="2">
        <v>1505</v>
      </c>
      <c r="F2242" s="2">
        <f t="shared" si="111"/>
        <v>77</v>
      </c>
      <c r="H2242" s="2">
        <f t="shared" si="112"/>
        <v>8182</v>
      </c>
      <c r="I2242" s="2">
        <f>SUM(78798+504435)</f>
        <v>583233</v>
      </c>
    </row>
    <row r="2243" spans="1:9" x14ac:dyDescent="0.2">
      <c r="B2243" s="3"/>
      <c r="C2243" s="3" t="s">
        <v>18</v>
      </c>
      <c r="D2243" s="2">
        <v>7898</v>
      </c>
      <c r="E2243" s="2">
        <v>768</v>
      </c>
      <c r="F2243" s="2">
        <f t="shared" si="111"/>
        <v>33</v>
      </c>
      <c r="H2243" s="2">
        <f t="shared" si="112"/>
        <v>0</v>
      </c>
    </row>
    <row r="2244" spans="1:9" x14ac:dyDescent="0.2">
      <c r="B2244" s="3"/>
      <c r="C2244" s="3" t="s">
        <v>19</v>
      </c>
      <c r="D2244" s="2">
        <v>6888</v>
      </c>
      <c r="E2244" s="2">
        <v>671</v>
      </c>
      <c r="F2244" s="2">
        <f t="shared" si="111"/>
        <v>20</v>
      </c>
      <c r="H2244" s="2">
        <f t="shared" si="112"/>
        <v>0</v>
      </c>
    </row>
    <row r="2245" spans="1:9" x14ac:dyDescent="0.2">
      <c r="B2245" s="3"/>
      <c r="C2245" s="3" t="s">
        <v>40</v>
      </c>
      <c r="D2245" s="2">
        <v>3953</v>
      </c>
      <c r="E2245" s="2">
        <v>267</v>
      </c>
      <c r="F2245" s="2">
        <f t="shared" si="111"/>
        <v>14</v>
      </c>
      <c r="H2245" s="2">
        <f t="shared" si="112"/>
        <v>0</v>
      </c>
    </row>
    <row r="2246" spans="1:9" x14ac:dyDescent="0.2">
      <c r="B2246" s="3"/>
      <c r="C2246" s="3" t="s">
        <v>41</v>
      </c>
      <c r="D2246" s="2">
        <v>4319</v>
      </c>
      <c r="E2246" s="2">
        <v>338</v>
      </c>
      <c r="F2246" s="2">
        <f t="shared" si="111"/>
        <v>16</v>
      </c>
      <c r="H2246" s="2">
        <f t="shared" si="112"/>
        <v>0</v>
      </c>
    </row>
    <row r="2247" spans="1:9" x14ac:dyDescent="0.2">
      <c r="B2247" s="3" t="s">
        <v>20</v>
      </c>
      <c r="C2247" s="3" t="s">
        <v>22</v>
      </c>
      <c r="D2247" s="2">
        <v>72932</v>
      </c>
      <c r="E2247" s="2">
        <v>2907</v>
      </c>
      <c r="F2247" s="2">
        <f t="shared" si="111"/>
        <v>994</v>
      </c>
      <c r="H2247" s="2">
        <f t="shared" si="112"/>
        <v>66186</v>
      </c>
      <c r="I2247" s="2">
        <v>2868182</v>
      </c>
    </row>
    <row r="2248" spans="1:9" x14ac:dyDescent="0.2">
      <c r="B2248" s="3"/>
      <c r="C2248" s="3" t="s">
        <v>26</v>
      </c>
      <c r="D2248" s="2">
        <v>9442</v>
      </c>
      <c r="E2248" s="2">
        <v>320</v>
      </c>
      <c r="F2248" s="2">
        <f t="shared" si="111"/>
        <v>126</v>
      </c>
      <c r="H2248" s="2">
        <f t="shared" si="112"/>
        <v>0</v>
      </c>
    </row>
    <row r="2249" spans="1:9" x14ac:dyDescent="0.2">
      <c r="B2249" s="3"/>
      <c r="C2249" s="3" t="s">
        <v>27</v>
      </c>
      <c r="D2249" s="2">
        <v>11218</v>
      </c>
      <c r="E2249" s="2">
        <v>383</v>
      </c>
      <c r="F2249" s="2">
        <f t="shared" si="111"/>
        <v>287</v>
      </c>
      <c r="H2249" s="2">
        <f t="shared" si="112"/>
        <v>0</v>
      </c>
    </row>
    <row r="2250" spans="1:9" x14ac:dyDescent="0.2">
      <c r="C2250" s="3" t="s">
        <v>42</v>
      </c>
      <c r="D2250" s="2">
        <v>3178</v>
      </c>
      <c r="E2250" s="2">
        <v>151</v>
      </c>
      <c r="F2250" s="2">
        <f t="shared" si="111"/>
        <v>37</v>
      </c>
      <c r="H2250" s="2">
        <f t="shared" si="112"/>
        <v>0</v>
      </c>
    </row>
    <row r="2251" spans="1:9" x14ac:dyDescent="0.2">
      <c r="C2251" s="3" t="s">
        <v>43</v>
      </c>
      <c r="D2251" s="2">
        <v>8744</v>
      </c>
      <c r="E2251" s="2">
        <v>221</v>
      </c>
      <c r="F2251" s="2">
        <f t="shared" si="111"/>
        <v>163</v>
      </c>
      <c r="H2251" s="2">
        <f t="shared" si="112"/>
        <v>0</v>
      </c>
    </row>
    <row r="2252" spans="1:9" x14ac:dyDescent="0.2">
      <c r="A2252" s="1">
        <v>43997</v>
      </c>
      <c r="B2252" s="3" t="s">
        <v>5</v>
      </c>
      <c r="C2252" s="3" t="s">
        <v>6</v>
      </c>
      <c r="D2252" s="2">
        <v>63932</v>
      </c>
      <c r="E2252" s="2">
        <v>3992</v>
      </c>
      <c r="F2252" s="2">
        <f t="shared" si="111"/>
        <v>110</v>
      </c>
      <c r="H2252" s="2">
        <f t="shared" si="112"/>
        <v>56611</v>
      </c>
      <c r="I2252" s="2">
        <v>2991210</v>
      </c>
    </row>
    <row r="2253" spans="1:9" x14ac:dyDescent="0.2">
      <c r="B2253" s="3"/>
      <c r="C2253" s="3" t="s">
        <v>7</v>
      </c>
      <c r="D2253" s="2">
        <v>58177</v>
      </c>
      <c r="E2253" s="2">
        <v>4498</v>
      </c>
      <c r="F2253" s="2">
        <f t="shared" si="111"/>
        <v>118</v>
      </c>
      <c r="H2253" s="2">
        <f t="shared" si="112"/>
        <v>0</v>
      </c>
    </row>
    <row r="2254" spans="1:9" x14ac:dyDescent="0.2">
      <c r="B2254" s="3"/>
      <c r="C2254" s="3" t="s">
        <v>8</v>
      </c>
      <c r="D2254" s="2">
        <v>41240</v>
      </c>
      <c r="E2254" s="2">
        <v>2672</v>
      </c>
      <c r="F2254" s="2">
        <f t="shared" si="111"/>
        <v>36</v>
      </c>
      <c r="H2254" s="2">
        <f t="shared" si="112"/>
        <v>0</v>
      </c>
    </row>
    <row r="2255" spans="1:9" x14ac:dyDescent="0.2">
      <c r="B2255" s="3"/>
      <c r="C2255" s="3" t="s">
        <v>35</v>
      </c>
      <c r="D2255" s="2">
        <v>46645</v>
      </c>
      <c r="E2255" s="2">
        <v>3018</v>
      </c>
      <c r="F2255" s="2">
        <f t="shared" si="111"/>
        <v>78</v>
      </c>
      <c r="H2255" s="2">
        <f t="shared" si="112"/>
        <v>0</v>
      </c>
    </row>
    <row r="2256" spans="1:9" x14ac:dyDescent="0.2">
      <c r="B2256" s="3"/>
      <c r="C2256" s="3" t="s">
        <v>14</v>
      </c>
      <c r="D2256" s="2">
        <v>40692</v>
      </c>
      <c r="E2256" s="2">
        <v>2004</v>
      </c>
      <c r="F2256" s="2">
        <f t="shared" si="111"/>
        <v>33</v>
      </c>
      <c r="H2256" s="2">
        <f t="shared" si="112"/>
        <v>0</v>
      </c>
    </row>
    <row r="2257" spans="2:9" x14ac:dyDescent="0.2">
      <c r="B2257" s="3" t="s">
        <v>9</v>
      </c>
      <c r="C2257" s="3" t="s">
        <v>10</v>
      </c>
      <c r="D2257" s="2">
        <v>18848</v>
      </c>
      <c r="E2257" s="2">
        <v>1664</v>
      </c>
      <c r="F2257" s="2">
        <f t="shared" si="111"/>
        <v>30</v>
      </c>
      <c r="H2257" s="2">
        <f t="shared" si="112"/>
        <v>18467</v>
      </c>
      <c r="I2257" s="2">
        <v>1116083</v>
      </c>
    </row>
    <row r="2258" spans="2:9" x14ac:dyDescent="0.2">
      <c r="B2258" s="3"/>
      <c r="C2258" s="3" t="s">
        <v>11</v>
      </c>
      <c r="D2258" s="2">
        <v>18765</v>
      </c>
      <c r="E2258" s="2">
        <v>1256</v>
      </c>
      <c r="F2258" s="2">
        <f t="shared" si="111"/>
        <v>19</v>
      </c>
      <c r="H2258" s="2">
        <f t="shared" si="112"/>
        <v>0</v>
      </c>
    </row>
    <row r="2259" spans="2:9" x14ac:dyDescent="0.2">
      <c r="B2259" s="3"/>
      <c r="C2259" s="3" t="s">
        <v>12</v>
      </c>
      <c r="D2259" s="2">
        <v>18375</v>
      </c>
      <c r="E2259" s="2">
        <v>1751</v>
      </c>
      <c r="F2259" s="2">
        <f t="shared" si="111"/>
        <v>11</v>
      </c>
      <c r="H2259" s="2">
        <f t="shared" si="112"/>
        <v>0</v>
      </c>
    </row>
    <row r="2260" spans="2:9" x14ac:dyDescent="0.2">
      <c r="B2260" s="3"/>
      <c r="C2260" s="3" t="s">
        <v>36</v>
      </c>
      <c r="D2260" s="2">
        <v>16308</v>
      </c>
      <c r="E2260" s="2">
        <v>1128</v>
      </c>
      <c r="F2260" s="2">
        <f t="shared" si="111"/>
        <v>-14</v>
      </c>
      <c r="H2260" s="2">
        <f t="shared" si="112"/>
        <v>0</v>
      </c>
    </row>
    <row r="2261" spans="2:9" x14ac:dyDescent="0.2">
      <c r="B2261" s="3"/>
      <c r="C2261" s="3" t="s">
        <v>37</v>
      </c>
      <c r="D2261" s="2">
        <v>16649</v>
      </c>
      <c r="E2261" s="2">
        <v>1001</v>
      </c>
      <c r="F2261" s="2">
        <f t="shared" ref="F2261:F2324" si="113">SUM(D2261-D2231)</f>
        <v>22</v>
      </c>
      <c r="H2261" s="2">
        <f t="shared" si="112"/>
        <v>0</v>
      </c>
    </row>
    <row r="2262" spans="2:9" x14ac:dyDescent="0.2">
      <c r="B2262" s="3" t="s">
        <v>13</v>
      </c>
      <c r="C2262" s="3" t="s">
        <v>14</v>
      </c>
      <c r="D2262" s="2">
        <v>19334</v>
      </c>
      <c r="E2262" s="2">
        <v>951</v>
      </c>
      <c r="F2262" s="2">
        <f t="shared" si="113"/>
        <v>-1</v>
      </c>
      <c r="H2262" s="2">
        <f t="shared" si="112"/>
        <v>4492</v>
      </c>
      <c r="I2262" s="2">
        <v>712875</v>
      </c>
    </row>
    <row r="2263" spans="2:9" x14ac:dyDescent="0.2">
      <c r="B2263" s="3"/>
      <c r="C2263" s="3" t="s">
        <v>15</v>
      </c>
      <c r="D2263" s="2">
        <v>23227</v>
      </c>
      <c r="E2263" s="2">
        <v>1763</v>
      </c>
      <c r="F2263" s="2">
        <f t="shared" si="113"/>
        <v>32</v>
      </c>
      <c r="H2263" s="2">
        <f t="shared" si="112"/>
        <v>0</v>
      </c>
    </row>
    <row r="2264" spans="2:9" x14ac:dyDescent="0.2">
      <c r="B2264" s="3"/>
      <c r="C2264" s="3" t="s">
        <v>12</v>
      </c>
      <c r="D2264" s="2">
        <v>15627</v>
      </c>
      <c r="E2264" s="2">
        <v>1051</v>
      </c>
      <c r="F2264" s="2">
        <f t="shared" si="113"/>
        <v>23</v>
      </c>
      <c r="H2264" s="2">
        <f t="shared" si="112"/>
        <v>0</v>
      </c>
    </row>
    <row r="2265" spans="2:9" x14ac:dyDescent="0.2">
      <c r="B2265" s="3"/>
      <c r="C2265" s="3" t="s">
        <v>33</v>
      </c>
      <c r="D2265" s="2">
        <v>8872</v>
      </c>
      <c r="E2265" s="2">
        <v>890</v>
      </c>
      <c r="F2265" s="2">
        <f t="shared" si="113"/>
        <v>6</v>
      </c>
      <c r="H2265" s="2">
        <f t="shared" si="112"/>
        <v>0</v>
      </c>
    </row>
    <row r="2266" spans="2:9" x14ac:dyDescent="0.2">
      <c r="B2266" s="3"/>
      <c r="C2266" s="3" t="s">
        <v>34</v>
      </c>
      <c r="D2266" s="2">
        <v>11991</v>
      </c>
      <c r="E2266" s="2">
        <v>871</v>
      </c>
      <c r="F2266" s="2">
        <f t="shared" si="113"/>
        <v>16</v>
      </c>
      <c r="H2266" s="2">
        <f t="shared" si="112"/>
        <v>0</v>
      </c>
    </row>
    <row r="2267" spans="2:9" x14ac:dyDescent="0.2">
      <c r="B2267" s="3" t="s">
        <v>23</v>
      </c>
      <c r="C2267" s="3" t="s">
        <v>24</v>
      </c>
      <c r="D2267" s="2">
        <v>21061</v>
      </c>
      <c r="E2267" s="2">
        <v>2552</v>
      </c>
      <c r="F2267" s="2">
        <f t="shared" si="113"/>
        <v>38</v>
      </c>
      <c r="H2267" s="2">
        <f t="shared" si="112"/>
        <v>10539</v>
      </c>
      <c r="I2267" s="2">
        <v>824037</v>
      </c>
    </row>
    <row r="2268" spans="2:9" x14ac:dyDescent="0.2">
      <c r="B2268" s="3"/>
      <c r="C2268" s="3" t="s">
        <v>25</v>
      </c>
      <c r="D2268" s="2">
        <v>8564</v>
      </c>
      <c r="E2268" s="2">
        <v>1025</v>
      </c>
      <c r="F2268" s="2">
        <f t="shared" si="113"/>
        <v>5</v>
      </c>
      <c r="H2268" s="2">
        <f t="shared" si="112"/>
        <v>0</v>
      </c>
    </row>
    <row r="2269" spans="2:9" x14ac:dyDescent="0.2">
      <c r="B2269" s="3"/>
      <c r="C2269" s="3" t="s">
        <v>28</v>
      </c>
      <c r="D2269" s="2">
        <v>6895</v>
      </c>
      <c r="E2269" s="2">
        <v>852</v>
      </c>
      <c r="F2269" s="2">
        <f t="shared" si="113"/>
        <v>9</v>
      </c>
      <c r="H2269" s="2">
        <f t="shared" si="112"/>
        <v>0</v>
      </c>
    </row>
    <row r="2270" spans="2:9" x14ac:dyDescent="0.2">
      <c r="B2270" s="3"/>
      <c r="C2270" s="3" t="s">
        <v>38</v>
      </c>
      <c r="D2270" s="2">
        <v>2086</v>
      </c>
      <c r="E2270" s="2">
        <v>257</v>
      </c>
      <c r="F2270" s="2">
        <f t="shared" si="113"/>
        <v>2</v>
      </c>
      <c r="H2270" s="2">
        <f t="shared" si="112"/>
        <v>0</v>
      </c>
    </row>
    <row r="2271" spans="2:9" x14ac:dyDescent="0.2">
      <c r="B2271" s="3"/>
      <c r="C2271" s="3" t="s">
        <v>39</v>
      </c>
      <c r="D2271" s="2">
        <v>1375</v>
      </c>
      <c r="E2271" s="2">
        <v>101</v>
      </c>
      <c r="F2271" s="2">
        <f t="shared" si="113"/>
        <v>2</v>
      </c>
      <c r="H2271" s="2">
        <f t="shared" si="112"/>
        <v>0</v>
      </c>
    </row>
    <row r="2272" spans="2:9" x14ac:dyDescent="0.2">
      <c r="B2272" s="3" t="s">
        <v>16</v>
      </c>
      <c r="C2272" s="3" t="s">
        <v>17</v>
      </c>
      <c r="D2272" s="2">
        <v>20007</v>
      </c>
      <c r="E2272" s="2">
        <v>1509</v>
      </c>
      <c r="F2272" s="2">
        <f t="shared" si="113"/>
        <v>74</v>
      </c>
      <c r="H2272" s="2">
        <f t="shared" si="112"/>
        <v>9797</v>
      </c>
      <c r="I2272" s="2">
        <f>SUM(79121+513909)</f>
        <v>593030</v>
      </c>
    </row>
    <row r="2273" spans="1:9" x14ac:dyDescent="0.2">
      <c r="B2273" s="3"/>
      <c r="C2273" s="3" t="s">
        <v>18</v>
      </c>
      <c r="D2273" s="2">
        <v>7930</v>
      </c>
      <c r="E2273" s="2">
        <v>777</v>
      </c>
      <c r="F2273" s="2">
        <f t="shared" si="113"/>
        <v>32</v>
      </c>
      <c r="H2273" s="2">
        <f t="shared" si="112"/>
        <v>0</v>
      </c>
    </row>
    <row r="2274" spans="1:9" x14ac:dyDescent="0.2">
      <c r="B2274" s="3"/>
      <c r="C2274" s="3" t="s">
        <v>19</v>
      </c>
      <c r="D2274" s="2">
        <v>6921</v>
      </c>
      <c r="E2274" s="2">
        <v>671</v>
      </c>
      <c r="F2274" s="2">
        <f t="shared" si="113"/>
        <v>33</v>
      </c>
      <c r="H2274" s="2">
        <f t="shared" si="112"/>
        <v>0</v>
      </c>
    </row>
    <row r="2275" spans="1:9" x14ac:dyDescent="0.2">
      <c r="B2275" s="3"/>
      <c r="C2275" s="3" t="s">
        <v>40</v>
      </c>
      <c r="D2275" s="2">
        <v>3957</v>
      </c>
      <c r="E2275" s="2">
        <v>269</v>
      </c>
      <c r="F2275" s="2">
        <f t="shared" si="113"/>
        <v>4</v>
      </c>
      <c r="H2275" s="2">
        <f t="shared" si="112"/>
        <v>0</v>
      </c>
    </row>
    <row r="2276" spans="1:9" x14ac:dyDescent="0.2">
      <c r="B2276" s="3"/>
      <c r="C2276" s="3" t="s">
        <v>41</v>
      </c>
      <c r="D2276" s="2">
        <v>4324</v>
      </c>
      <c r="E2276" s="2">
        <v>338</v>
      </c>
      <c r="F2276" s="2">
        <f t="shared" si="113"/>
        <v>5</v>
      </c>
      <c r="H2276" s="2">
        <f t="shared" si="112"/>
        <v>0</v>
      </c>
    </row>
    <row r="2277" spans="1:9" x14ac:dyDescent="0.2">
      <c r="B2277" s="3" t="s">
        <v>20</v>
      </c>
      <c r="C2277" s="3" t="s">
        <v>22</v>
      </c>
      <c r="D2277" s="2">
        <v>73705</v>
      </c>
      <c r="E2277" s="2">
        <v>2926</v>
      </c>
      <c r="F2277" s="2">
        <f t="shared" si="113"/>
        <v>773</v>
      </c>
      <c r="H2277" s="2">
        <f t="shared" si="112"/>
        <v>69573</v>
      </c>
      <c r="I2277" s="2">
        <v>2937755</v>
      </c>
    </row>
    <row r="2278" spans="1:9" x14ac:dyDescent="0.2">
      <c r="B2278" s="3"/>
      <c r="C2278" s="3" t="s">
        <v>26</v>
      </c>
      <c r="D2278" s="2">
        <v>9612</v>
      </c>
      <c r="E2278" s="2">
        <v>320</v>
      </c>
      <c r="F2278" s="2">
        <f t="shared" si="113"/>
        <v>170</v>
      </c>
      <c r="H2278" s="2">
        <f t="shared" si="112"/>
        <v>0</v>
      </c>
    </row>
    <row r="2279" spans="1:9" x14ac:dyDescent="0.2">
      <c r="B2279" s="3"/>
      <c r="C2279" s="3" t="s">
        <v>27</v>
      </c>
      <c r="D2279" s="2">
        <v>11376</v>
      </c>
      <c r="E2279" s="2">
        <v>384</v>
      </c>
      <c r="F2279" s="2">
        <f t="shared" si="113"/>
        <v>158</v>
      </c>
      <c r="H2279" s="2">
        <f t="shared" si="112"/>
        <v>0</v>
      </c>
    </row>
    <row r="2280" spans="1:9" x14ac:dyDescent="0.2">
      <c r="C2280" s="3" t="s">
        <v>42</v>
      </c>
      <c r="D2280" s="2">
        <v>3204</v>
      </c>
      <c r="E2280" s="2">
        <v>152</v>
      </c>
      <c r="F2280" s="2">
        <f t="shared" si="113"/>
        <v>26</v>
      </c>
      <c r="H2280" s="2">
        <f t="shared" si="112"/>
        <v>0</v>
      </c>
    </row>
    <row r="2281" spans="1:9" x14ac:dyDescent="0.2">
      <c r="C2281" s="3" t="s">
        <v>43</v>
      </c>
      <c r="D2281" s="2">
        <v>8944</v>
      </c>
      <c r="E2281" s="2">
        <v>221</v>
      </c>
      <c r="F2281" s="2">
        <f t="shared" si="113"/>
        <v>200</v>
      </c>
      <c r="H2281" s="2">
        <f t="shared" si="112"/>
        <v>0</v>
      </c>
    </row>
    <row r="2282" spans="1:9" x14ac:dyDescent="0.2">
      <c r="A2282" s="1">
        <v>43998</v>
      </c>
      <c r="B2282" s="3" t="s">
        <v>5</v>
      </c>
      <c r="C2282" s="3" t="s">
        <v>6</v>
      </c>
      <c r="D2282" s="2">
        <v>64042</v>
      </c>
      <c r="E2282" s="2">
        <v>3992</v>
      </c>
      <c r="F2282" s="2">
        <f t="shared" si="113"/>
        <v>110</v>
      </c>
      <c r="H2282" s="2">
        <f t="shared" si="112"/>
        <v>60568</v>
      </c>
      <c r="I2282" s="2">
        <v>3051778</v>
      </c>
    </row>
    <row r="2283" spans="1:9" x14ac:dyDescent="0.2">
      <c r="B2283" s="3"/>
      <c r="C2283" s="3" t="s">
        <v>7</v>
      </c>
      <c r="D2283" s="2">
        <v>58274</v>
      </c>
      <c r="E2283" s="2">
        <v>4500</v>
      </c>
      <c r="F2283" s="2">
        <f t="shared" si="113"/>
        <v>97</v>
      </c>
      <c r="H2283" s="2">
        <f t="shared" si="112"/>
        <v>0</v>
      </c>
    </row>
    <row r="2284" spans="1:9" x14ac:dyDescent="0.2">
      <c r="B2284" s="3"/>
      <c r="C2284" s="3" t="s">
        <v>8</v>
      </c>
      <c r="D2284" s="2">
        <v>41290</v>
      </c>
      <c r="E2284" s="2">
        <v>2676</v>
      </c>
      <c r="F2284" s="2">
        <f t="shared" si="113"/>
        <v>50</v>
      </c>
      <c r="H2284" s="2">
        <f t="shared" si="112"/>
        <v>0</v>
      </c>
    </row>
    <row r="2285" spans="1:9" x14ac:dyDescent="0.2">
      <c r="B2285" s="3"/>
      <c r="C2285" s="3" t="s">
        <v>35</v>
      </c>
      <c r="D2285" s="2">
        <v>46710</v>
      </c>
      <c r="E2285" s="2">
        <v>3022</v>
      </c>
      <c r="F2285" s="2">
        <f t="shared" si="113"/>
        <v>65</v>
      </c>
      <c r="H2285" s="2">
        <f t="shared" si="112"/>
        <v>0</v>
      </c>
    </row>
    <row r="2286" spans="1:9" x14ac:dyDescent="0.2">
      <c r="B2286" s="3"/>
      <c r="C2286" s="3" t="s">
        <v>14</v>
      </c>
      <c r="D2286" s="2">
        <v>40738</v>
      </c>
      <c r="E2286" s="2">
        <v>2005</v>
      </c>
      <c r="F2286" s="2">
        <f t="shared" si="113"/>
        <v>46</v>
      </c>
      <c r="H2286" s="2">
        <f t="shared" ref="H2286:H2349" si="114">SUM(I2286-I2256)</f>
        <v>0</v>
      </c>
    </row>
    <row r="2287" spans="1:9" x14ac:dyDescent="0.2">
      <c r="B2287" s="3" t="s">
        <v>9</v>
      </c>
      <c r="C2287" s="3" t="s">
        <v>10</v>
      </c>
      <c r="D2287" s="2">
        <v>18901</v>
      </c>
      <c r="E2287" s="2">
        <v>1673</v>
      </c>
      <c r="F2287" s="2">
        <f t="shared" si="113"/>
        <v>53</v>
      </c>
      <c r="H2287" s="2">
        <f t="shared" si="114"/>
        <v>15699</v>
      </c>
      <c r="I2287" s="2">
        <v>1131782</v>
      </c>
    </row>
    <row r="2288" spans="1:9" x14ac:dyDescent="0.2">
      <c r="B2288" s="3"/>
      <c r="C2288" s="3" t="s">
        <v>11</v>
      </c>
      <c r="D2288" s="2">
        <v>18744</v>
      </c>
      <c r="E2288" s="2">
        <v>1255</v>
      </c>
      <c r="F2288" s="2">
        <f t="shared" si="113"/>
        <v>-21</v>
      </c>
      <c r="H2288" s="2">
        <f t="shared" si="114"/>
        <v>0</v>
      </c>
    </row>
    <row r="2289" spans="2:9" x14ac:dyDescent="0.2">
      <c r="B2289" s="3"/>
      <c r="C2289" s="3" t="s">
        <v>12</v>
      </c>
      <c r="D2289" s="2">
        <v>18388</v>
      </c>
      <c r="E2289" s="2">
        <v>1751</v>
      </c>
      <c r="F2289" s="2">
        <f t="shared" si="113"/>
        <v>13</v>
      </c>
      <c r="H2289" s="2">
        <f t="shared" si="114"/>
        <v>0</v>
      </c>
    </row>
    <row r="2290" spans="2:9" x14ac:dyDescent="0.2">
      <c r="B2290" s="3"/>
      <c r="C2290" s="3" t="s">
        <v>36</v>
      </c>
      <c r="D2290" s="2">
        <v>16320</v>
      </c>
      <c r="E2290" s="2">
        <v>1130</v>
      </c>
      <c r="F2290" s="2">
        <f t="shared" si="113"/>
        <v>12</v>
      </c>
      <c r="H2290" s="2">
        <f t="shared" si="114"/>
        <v>0</v>
      </c>
    </row>
    <row r="2291" spans="2:9" x14ac:dyDescent="0.2">
      <c r="B2291" s="3"/>
      <c r="C2291" s="3" t="s">
        <v>37</v>
      </c>
      <c r="D2291" s="2">
        <v>16664</v>
      </c>
      <c r="E2291" s="2">
        <v>1006</v>
      </c>
      <c r="F2291" s="2">
        <f t="shared" si="113"/>
        <v>15</v>
      </c>
      <c r="H2291" s="2">
        <f t="shared" si="114"/>
        <v>0</v>
      </c>
    </row>
    <row r="2292" spans="2:9" x14ac:dyDescent="0.2">
      <c r="B2292" s="3" t="s">
        <v>13</v>
      </c>
      <c r="C2292" s="3" t="s">
        <v>14</v>
      </c>
      <c r="D2292" s="2">
        <v>19367</v>
      </c>
      <c r="E2292" s="2">
        <v>952</v>
      </c>
      <c r="F2292" s="2">
        <f t="shared" si="113"/>
        <v>33</v>
      </c>
      <c r="H2292" s="2">
        <f t="shared" si="114"/>
        <v>6361</v>
      </c>
      <c r="I2292" s="2">
        <v>719236</v>
      </c>
    </row>
    <row r="2293" spans="2:9" x14ac:dyDescent="0.2">
      <c r="B2293" s="3"/>
      <c r="C2293" s="3" t="s">
        <v>15</v>
      </c>
      <c r="D2293" s="2">
        <v>23269</v>
      </c>
      <c r="E2293" s="2">
        <v>1765</v>
      </c>
      <c r="F2293" s="2">
        <f t="shared" si="113"/>
        <v>42</v>
      </c>
      <c r="H2293" s="2">
        <f t="shared" si="114"/>
        <v>0</v>
      </c>
    </row>
    <row r="2294" spans="2:9" x14ac:dyDescent="0.2">
      <c r="B2294" s="3"/>
      <c r="C2294" s="3" t="s">
        <v>12</v>
      </c>
      <c r="D2294" s="2">
        <v>15667</v>
      </c>
      <c r="E2294" s="2">
        <v>1052</v>
      </c>
      <c r="F2294" s="2">
        <f t="shared" si="113"/>
        <v>40</v>
      </c>
      <c r="H2294" s="2">
        <f t="shared" si="114"/>
        <v>0</v>
      </c>
    </row>
    <row r="2295" spans="2:9" x14ac:dyDescent="0.2">
      <c r="B2295" s="3"/>
      <c r="C2295" s="3" t="s">
        <v>33</v>
      </c>
      <c r="D2295" s="2">
        <v>8892</v>
      </c>
      <c r="E2295" s="2">
        <v>891</v>
      </c>
      <c r="F2295" s="2">
        <f t="shared" si="113"/>
        <v>20</v>
      </c>
      <c r="H2295" s="2">
        <f t="shared" si="114"/>
        <v>0</v>
      </c>
    </row>
    <row r="2296" spans="2:9" x14ac:dyDescent="0.2">
      <c r="B2296" s="3"/>
      <c r="C2296" s="3" t="s">
        <v>34</v>
      </c>
      <c r="D2296" s="2">
        <v>12014</v>
      </c>
      <c r="E2296" s="2">
        <v>877</v>
      </c>
      <c r="F2296" s="2">
        <f t="shared" si="113"/>
        <v>23</v>
      </c>
      <c r="H2296" s="2">
        <f t="shared" si="114"/>
        <v>0</v>
      </c>
    </row>
    <row r="2297" spans="2:9" x14ac:dyDescent="0.2">
      <c r="B2297" s="3" t="s">
        <v>23</v>
      </c>
      <c r="C2297" s="3" t="s">
        <v>24</v>
      </c>
      <c r="D2297" s="2">
        <v>21053</v>
      </c>
      <c r="E2297" s="2">
        <v>2558</v>
      </c>
      <c r="F2297" s="2">
        <f t="shared" si="113"/>
        <v>-8</v>
      </c>
      <c r="H2297" s="2">
        <f t="shared" si="114"/>
        <v>11497</v>
      </c>
      <c r="I2297" s="2">
        <v>835534</v>
      </c>
    </row>
    <row r="2298" spans="2:9" x14ac:dyDescent="0.2">
      <c r="B2298" s="3"/>
      <c r="C2298" s="3" t="s">
        <v>25</v>
      </c>
      <c r="D2298" s="2">
        <v>8595</v>
      </c>
      <c r="E2298" s="2">
        <v>1028</v>
      </c>
      <c r="F2298" s="2">
        <f t="shared" si="113"/>
        <v>31</v>
      </c>
      <c r="H2298" s="2">
        <f t="shared" si="114"/>
        <v>0</v>
      </c>
    </row>
    <row r="2299" spans="2:9" x14ac:dyDescent="0.2">
      <c r="B2299" s="3"/>
      <c r="C2299" s="3" t="s">
        <v>28</v>
      </c>
      <c r="D2299" s="2">
        <v>6926</v>
      </c>
      <c r="E2299" s="2">
        <v>854</v>
      </c>
      <c r="F2299" s="2">
        <f t="shared" si="113"/>
        <v>31</v>
      </c>
      <c r="H2299" s="2">
        <f t="shared" si="114"/>
        <v>0</v>
      </c>
    </row>
    <row r="2300" spans="2:9" x14ac:dyDescent="0.2">
      <c r="B2300" s="3"/>
      <c r="C2300" s="3" t="s">
        <v>38</v>
      </c>
      <c r="D2300" s="2">
        <v>2091</v>
      </c>
      <c r="E2300" s="2">
        <v>258</v>
      </c>
      <c r="F2300" s="2">
        <f t="shared" si="113"/>
        <v>5</v>
      </c>
      <c r="H2300" s="2">
        <f t="shared" si="114"/>
        <v>0</v>
      </c>
    </row>
    <row r="2301" spans="2:9" x14ac:dyDescent="0.2">
      <c r="B2301" s="3"/>
      <c r="C2301" s="3" t="s">
        <v>39</v>
      </c>
      <c r="D2301" s="2">
        <v>1382</v>
      </c>
      <c r="E2301" s="2">
        <v>101</v>
      </c>
      <c r="F2301" s="2">
        <f t="shared" si="113"/>
        <v>7</v>
      </c>
      <c r="H2301" s="2">
        <f t="shared" si="114"/>
        <v>0</v>
      </c>
    </row>
    <row r="2302" spans="2:9" x14ac:dyDescent="0.2">
      <c r="B2302" s="3" t="s">
        <v>16</v>
      </c>
      <c r="C2302" s="3" t="s">
        <v>17</v>
      </c>
      <c r="D2302" s="2">
        <v>20096</v>
      </c>
      <c r="E2302" s="2">
        <v>1518</v>
      </c>
      <c r="F2302" s="2">
        <f t="shared" si="113"/>
        <v>89</v>
      </c>
      <c r="H2302" s="2">
        <f t="shared" si="114"/>
        <v>10062</v>
      </c>
      <c r="I2302" s="2">
        <f>SUM(79483+523609)</f>
        <v>603092</v>
      </c>
    </row>
    <row r="2303" spans="2:9" x14ac:dyDescent="0.2">
      <c r="B2303" s="3"/>
      <c r="C2303" s="3" t="s">
        <v>18</v>
      </c>
      <c r="D2303" s="2">
        <v>7950</v>
      </c>
      <c r="E2303" s="2">
        <v>778</v>
      </c>
      <c r="F2303" s="2">
        <f t="shared" si="113"/>
        <v>20</v>
      </c>
      <c r="H2303" s="2">
        <f t="shared" si="114"/>
        <v>0</v>
      </c>
    </row>
    <row r="2304" spans="2:9" x14ac:dyDescent="0.2">
      <c r="B2304" s="3"/>
      <c r="C2304" s="3" t="s">
        <v>19</v>
      </c>
      <c r="D2304" s="2">
        <v>6936</v>
      </c>
      <c r="E2304" s="2">
        <v>674</v>
      </c>
      <c r="F2304" s="2">
        <f t="shared" si="113"/>
        <v>15</v>
      </c>
      <c r="H2304" s="2">
        <f t="shared" si="114"/>
        <v>0</v>
      </c>
    </row>
    <row r="2305" spans="1:9" x14ac:dyDescent="0.2">
      <c r="B2305" s="3"/>
      <c r="C2305" s="3" t="s">
        <v>40</v>
      </c>
      <c r="D2305" s="2">
        <v>3973</v>
      </c>
      <c r="E2305" s="2">
        <v>271</v>
      </c>
      <c r="F2305" s="2">
        <f t="shared" si="113"/>
        <v>16</v>
      </c>
      <c r="H2305" s="2">
        <f t="shared" si="114"/>
        <v>0</v>
      </c>
    </row>
    <row r="2306" spans="1:9" x14ac:dyDescent="0.2">
      <c r="B2306" s="3"/>
      <c r="C2306" s="3" t="s">
        <v>41</v>
      </c>
      <c r="D2306" s="2">
        <v>4341</v>
      </c>
      <c r="E2306" s="2">
        <v>338</v>
      </c>
      <c r="F2306" s="2">
        <f t="shared" si="113"/>
        <v>17</v>
      </c>
      <c r="H2306" s="2">
        <f t="shared" si="114"/>
        <v>0</v>
      </c>
    </row>
    <row r="2307" spans="1:9" x14ac:dyDescent="0.2">
      <c r="B2307" s="3" t="s">
        <v>20</v>
      </c>
      <c r="C2307" s="3" t="s">
        <v>22</v>
      </c>
      <c r="D2307" s="2">
        <v>75051</v>
      </c>
      <c r="E2307" s="2">
        <v>2959</v>
      </c>
      <c r="F2307" s="2">
        <f t="shared" si="113"/>
        <v>1346</v>
      </c>
      <c r="H2307" s="2">
        <f t="shared" si="114"/>
        <v>60233</v>
      </c>
      <c r="I2307" s="2">
        <v>2997988</v>
      </c>
    </row>
    <row r="2308" spans="1:9" x14ac:dyDescent="0.2">
      <c r="B2308" s="3"/>
      <c r="C2308" s="3" t="s">
        <v>26</v>
      </c>
      <c r="D2308" s="2">
        <v>9732</v>
      </c>
      <c r="E2308" s="2">
        <v>323</v>
      </c>
      <c r="F2308" s="2">
        <f t="shared" si="113"/>
        <v>120</v>
      </c>
      <c r="H2308" s="2">
        <f t="shared" si="114"/>
        <v>0</v>
      </c>
    </row>
    <row r="2309" spans="1:9" x14ac:dyDescent="0.2">
      <c r="B2309" s="3"/>
      <c r="C2309" s="3" t="s">
        <v>27</v>
      </c>
      <c r="D2309" s="2">
        <v>11638</v>
      </c>
      <c r="E2309" s="2">
        <v>395</v>
      </c>
      <c r="F2309" s="2">
        <f t="shared" si="113"/>
        <v>262</v>
      </c>
      <c r="H2309" s="2">
        <f t="shared" si="114"/>
        <v>0</v>
      </c>
    </row>
    <row r="2310" spans="1:9" x14ac:dyDescent="0.2">
      <c r="C2310" s="3" t="s">
        <v>42</v>
      </c>
      <c r="D2310" s="2">
        <v>3228</v>
      </c>
      <c r="E2310" s="2">
        <v>152</v>
      </c>
      <c r="F2310" s="2">
        <f t="shared" si="113"/>
        <v>24</v>
      </c>
      <c r="H2310" s="2">
        <f t="shared" si="114"/>
        <v>0</v>
      </c>
    </row>
    <row r="2311" spans="1:9" x14ac:dyDescent="0.2">
      <c r="C2311" s="3" t="s">
        <v>43</v>
      </c>
      <c r="D2311" s="2">
        <v>9163</v>
      </c>
      <c r="E2311" s="2">
        <v>233</v>
      </c>
      <c r="F2311" s="2">
        <f t="shared" si="113"/>
        <v>219</v>
      </c>
      <c r="H2311" s="2">
        <f t="shared" si="114"/>
        <v>0</v>
      </c>
    </row>
    <row r="2312" spans="1:9" x14ac:dyDescent="0.2">
      <c r="A2312" s="1">
        <v>43999</v>
      </c>
      <c r="B2312" s="3" t="s">
        <v>5</v>
      </c>
      <c r="C2312" s="3" t="s">
        <v>6</v>
      </c>
      <c r="D2312" s="2">
        <v>64176</v>
      </c>
      <c r="E2312" s="2">
        <v>3993</v>
      </c>
      <c r="F2312" s="2">
        <f t="shared" si="113"/>
        <v>134</v>
      </c>
      <c r="H2312" s="2">
        <f t="shared" si="114"/>
        <v>59341</v>
      </c>
      <c r="I2312" s="2">
        <v>3111119</v>
      </c>
    </row>
    <row r="2313" spans="1:9" x14ac:dyDescent="0.2">
      <c r="B2313" s="3"/>
      <c r="C2313" s="3" t="s">
        <v>7</v>
      </c>
      <c r="D2313" s="2">
        <v>58386</v>
      </c>
      <c r="E2313" s="2">
        <v>4502</v>
      </c>
      <c r="F2313" s="2">
        <f t="shared" si="113"/>
        <v>112</v>
      </c>
      <c r="H2313" s="2">
        <f t="shared" si="114"/>
        <v>0</v>
      </c>
    </row>
    <row r="2314" spans="1:9" x14ac:dyDescent="0.2">
      <c r="B2314" s="3"/>
      <c r="C2314" s="3" t="s">
        <v>8</v>
      </c>
      <c r="D2314" s="2">
        <v>41320</v>
      </c>
      <c r="E2314" s="2">
        <v>2677</v>
      </c>
      <c r="F2314" s="2">
        <f t="shared" si="113"/>
        <v>30</v>
      </c>
      <c r="H2314" s="2">
        <f t="shared" si="114"/>
        <v>0</v>
      </c>
    </row>
    <row r="2315" spans="1:9" x14ac:dyDescent="0.2">
      <c r="B2315" s="3"/>
      <c r="C2315" s="3" t="s">
        <v>35</v>
      </c>
      <c r="D2315" s="2">
        <v>46778</v>
      </c>
      <c r="E2315" s="2">
        <v>3024</v>
      </c>
      <c r="F2315" s="2">
        <f t="shared" si="113"/>
        <v>68</v>
      </c>
      <c r="H2315" s="2">
        <f t="shared" si="114"/>
        <v>0</v>
      </c>
    </row>
    <row r="2316" spans="1:9" x14ac:dyDescent="0.2">
      <c r="B2316" s="3"/>
      <c r="C2316" s="3" t="s">
        <v>14</v>
      </c>
      <c r="D2316" s="2">
        <v>40770</v>
      </c>
      <c r="E2316" s="2">
        <v>2006</v>
      </c>
      <c r="F2316" s="2">
        <f t="shared" si="113"/>
        <v>32</v>
      </c>
      <c r="H2316" s="2">
        <f t="shared" si="114"/>
        <v>0</v>
      </c>
    </row>
    <row r="2317" spans="1:9" x14ac:dyDescent="0.2">
      <c r="B2317" s="3" t="s">
        <v>9</v>
      </c>
      <c r="C2317" s="3" t="s">
        <v>10</v>
      </c>
      <c r="D2317" s="2">
        <v>18928</v>
      </c>
      <c r="E2317" s="2">
        <v>1681</v>
      </c>
      <c r="F2317" s="2">
        <f t="shared" si="113"/>
        <v>27</v>
      </c>
      <c r="H2317" s="2">
        <f t="shared" si="114"/>
        <v>16059</v>
      </c>
      <c r="I2317" s="2">
        <v>1147841</v>
      </c>
    </row>
    <row r="2318" spans="1:9" x14ac:dyDescent="0.2">
      <c r="B2318" s="3"/>
      <c r="C2318" s="3" t="s">
        <v>11</v>
      </c>
      <c r="D2318" s="2">
        <v>18755</v>
      </c>
      <c r="E2318" s="2">
        <v>1257</v>
      </c>
      <c r="F2318" s="2">
        <f t="shared" si="113"/>
        <v>11</v>
      </c>
      <c r="H2318" s="2">
        <f t="shared" si="114"/>
        <v>0</v>
      </c>
    </row>
    <row r="2319" spans="1:9" x14ac:dyDescent="0.2">
      <c r="B2319" s="3"/>
      <c r="C2319" s="3" t="s">
        <v>12</v>
      </c>
      <c r="D2319" s="2">
        <v>18421</v>
      </c>
      <c r="E2319" s="2">
        <v>1755</v>
      </c>
      <c r="F2319" s="2">
        <f t="shared" si="113"/>
        <v>33</v>
      </c>
      <c r="H2319" s="2">
        <f t="shared" si="114"/>
        <v>0</v>
      </c>
    </row>
    <row r="2320" spans="1:9" x14ac:dyDescent="0.2">
      <c r="B2320" s="3"/>
      <c r="C2320" s="3" t="s">
        <v>36</v>
      </c>
      <c r="D2320" s="2">
        <v>16315</v>
      </c>
      <c r="E2320" s="2">
        <v>1094</v>
      </c>
      <c r="F2320" s="2">
        <f t="shared" si="113"/>
        <v>-5</v>
      </c>
      <c r="H2320" s="2">
        <f t="shared" si="114"/>
        <v>0</v>
      </c>
    </row>
    <row r="2321" spans="2:9" x14ac:dyDescent="0.2">
      <c r="B2321" s="3"/>
      <c r="C2321" s="3" t="s">
        <v>37</v>
      </c>
      <c r="D2321" s="2">
        <v>16683</v>
      </c>
      <c r="E2321" s="2">
        <v>1007</v>
      </c>
      <c r="F2321" s="2">
        <f t="shared" si="113"/>
        <v>19</v>
      </c>
      <c r="H2321" s="2">
        <f t="shared" si="114"/>
        <v>0</v>
      </c>
    </row>
    <row r="2322" spans="2:9" x14ac:dyDescent="0.2">
      <c r="B2322" s="3" t="s">
        <v>13</v>
      </c>
      <c r="C2322" s="3" t="s">
        <v>14</v>
      </c>
      <c r="D2322" s="2">
        <v>19434</v>
      </c>
      <c r="E2322" s="2">
        <v>959</v>
      </c>
      <c r="F2322" s="2">
        <f t="shared" si="113"/>
        <v>67</v>
      </c>
      <c r="H2322" s="2">
        <f t="shared" si="114"/>
        <v>8313</v>
      </c>
      <c r="I2322" s="2">
        <v>727549</v>
      </c>
    </row>
    <row r="2323" spans="2:9" x14ac:dyDescent="0.2">
      <c r="B2323" s="3"/>
      <c r="C2323" s="3" t="s">
        <v>15</v>
      </c>
      <c r="D2323" s="2">
        <v>23346</v>
      </c>
      <c r="E2323" s="2">
        <v>1781</v>
      </c>
      <c r="F2323" s="2">
        <f t="shared" si="113"/>
        <v>77</v>
      </c>
      <c r="H2323" s="2">
        <f t="shared" si="114"/>
        <v>0</v>
      </c>
    </row>
    <row r="2324" spans="2:9" x14ac:dyDescent="0.2">
      <c r="B2324" s="3"/>
      <c r="C2324" s="3" t="s">
        <v>12</v>
      </c>
      <c r="D2324" s="2">
        <v>15703</v>
      </c>
      <c r="E2324" s="2">
        <v>1057</v>
      </c>
      <c r="F2324" s="2">
        <f t="shared" si="113"/>
        <v>36</v>
      </c>
      <c r="H2324" s="2">
        <f t="shared" si="114"/>
        <v>0</v>
      </c>
    </row>
    <row r="2325" spans="2:9" x14ac:dyDescent="0.2">
      <c r="B2325" s="3"/>
      <c r="C2325" s="3" t="s">
        <v>33</v>
      </c>
      <c r="D2325" s="2">
        <v>8908</v>
      </c>
      <c r="E2325" s="2">
        <v>903</v>
      </c>
      <c r="F2325" s="2">
        <f t="shared" ref="F2325:F2371" si="115">SUM(D2325-D2295)</f>
        <v>16</v>
      </c>
      <c r="H2325" s="2">
        <f t="shared" si="114"/>
        <v>0</v>
      </c>
    </row>
    <row r="2326" spans="2:9" x14ac:dyDescent="0.2">
      <c r="B2326" s="3"/>
      <c r="C2326" s="3" t="s">
        <v>34</v>
      </c>
      <c r="D2326" s="2">
        <v>12032</v>
      </c>
      <c r="E2326" s="2">
        <v>888</v>
      </c>
      <c r="F2326" s="2">
        <f t="shared" si="115"/>
        <v>18</v>
      </c>
      <c r="H2326" s="2">
        <f t="shared" si="114"/>
        <v>0</v>
      </c>
    </row>
    <row r="2327" spans="2:9" x14ac:dyDescent="0.2">
      <c r="B2327" s="3" t="s">
        <v>23</v>
      </c>
      <c r="C2327" s="3" t="s">
        <v>24</v>
      </c>
      <c r="D2327" s="2">
        <v>21131</v>
      </c>
      <c r="E2327" s="2">
        <v>2559</v>
      </c>
      <c r="F2327" s="2">
        <f t="shared" si="115"/>
        <v>78</v>
      </c>
      <c r="H2327" s="2">
        <f t="shared" si="114"/>
        <v>14351</v>
      </c>
      <c r="I2327" s="2">
        <v>849885</v>
      </c>
    </row>
    <row r="2328" spans="2:9" x14ac:dyDescent="0.2">
      <c r="B2328" s="3"/>
      <c r="C2328" s="3" t="s">
        <v>25</v>
      </c>
      <c r="D2328" s="2">
        <v>8692</v>
      </c>
      <c r="E2328" s="2">
        <v>1028</v>
      </c>
      <c r="F2328" s="2">
        <f t="shared" si="115"/>
        <v>97</v>
      </c>
      <c r="H2328" s="2">
        <f t="shared" si="114"/>
        <v>0</v>
      </c>
    </row>
    <row r="2329" spans="2:9" x14ac:dyDescent="0.2">
      <c r="B2329" s="3"/>
      <c r="C2329" s="3" t="s">
        <v>28</v>
      </c>
      <c r="D2329" s="2">
        <v>6937</v>
      </c>
      <c r="E2329" s="2">
        <v>855</v>
      </c>
      <c r="F2329" s="2">
        <f t="shared" si="115"/>
        <v>11</v>
      </c>
      <c r="H2329" s="2">
        <f t="shared" si="114"/>
        <v>0</v>
      </c>
    </row>
    <row r="2330" spans="2:9" x14ac:dyDescent="0.2">
      <c r="B2330" s="3"/>
      <c r="C2330" s="3" t="s">
        <v>38</v>
      </c>
      <c r="D2330" s="2">
        <v>2097</v>
      </c>
      <c r="E2330" s="2">
        <v>258</v>
      </c>
      <c r="F2330" s="2">
        <f t="shared" si="115"/>
        <v>6</v>
      </c>
      <c r="H2330" s="2">
        <f t="shared" si="114"/>
        <v>0</v>
      </c>
    </row>
    <row r="2331" spans="2:9" x14ac:dyDescent="0.2">
      <c r="B2331" s="3"/>
      <c r="C2331" s="3" t="s">
        <v>39</v>
      </c>
      <c r="D2331" s="2">
        <v>1389</v>
      </c>
      <c r="E2331" s="2">
        <v>101</v>
      </c>
      <c r="F2331" s="2">
        <f t="shared" si="115"/>
        <v>7</v>
      </c>
      <c r="H2331" s="2">
        <f t="shared" si="114"/>
        <v>0</v>
      </c>
    </row>
    <row r="2332" spans="2:9" x14ac:dyDescent="0.2">
      <c r="B2332" s="3" t="s">
        <v>16</v>
      </c>
      <c r="C2332" s="3" t="s">
        <v>17</v>
      </c>
      <c r="D2332" s="2">
        <v>20184</v>
      </c>
      <c r="E2332" s="2">
        <v>1528</v>
      </c>
      <c r="F2332" s="2">
        <f t="shared" si="115"/>
        <v>88</v>
      </c>
      <c r="H2332" s="2">
        <f t="shared" si="114"/>
        <v>9739</v>
      </c>
      <c r="I2332" s="2">
        <f>SUM(79818+533013)</f>
        <v>612831</v>
      </c>
    </row>
    <row r="2333" spans="2:9" x14ac:dyDescent="0.2">
      <c r="B2333" s="3"/>
      <c r="C2333" s="3" t="s">
        <v>18</v>
      </c>
      <c r="D2333" s="2">
        <v>7990</v>
      </c>
      <c r="E2333" s="2">
        <v>778</v>
      </c>
      <c r="F2333" s="2">
        <f t="shared" si="115"/>
        <v>40</v>
      </c>
      <c r="H2333" s="2">
        <f t="shared" si="114"/>
        <v>0</v>
      </c>
    </row>
    <row r="2334" spans="2:9" x14ac:dyDescent="0.2">
      <c r="B2334" s="3"/>
      <c r="C2334" s="3" t="s">
        <v>19</v>
      </c>
      <c r="D2334" s="2">
        <v>6967</v>
      </c>
      <c r="E2334" s="2">
        <v>678</v>
      </c>
      <c r="F2334" s="2">
        <f t="shared" si="115"/>
        <v>31</v>
      </c>
      <c r="H2334" s="2">
        <f t="shared" si="114"/>
        <v>0</v>
      </c>
    </row>
    <row r="2335" spans="2:9" x14ac:dyDescent="0.2">
      <c r="B2335" s="3"/>
      <c r="C2335" s="3" t="s">
        <v>40</v>
      </c>
      <c r="D2335" s="2">
        <v>3978</v>
      </c>
      <c r="E2335" s="2">
        <v>273</v>
      </c>
      <c r="F2335" s="2">
        <f t="shared" si="115"/>
        <v>5</v>
      </c>
      <c r="H2335" s="2">
        <f t="shared" si="114"/>
        <v>0</v>
      </c>
    </row>
    <row r="2336" spans="2:9" x14ac:dyDescent="0.2">
      <c r="B2336" s="3"/>
      <c r="C2336" s="3" t="s">
        <v>41</v>
      </c>
      <c r="D2336" s="2">
        <v>4350</v>
      </c>
      <c r="E2336" s="2">
        <v>340</v>
      </c>
      <c r="F2336" s="2">
        <f t="shared" si="115"/>
        <v>9</v>
      </c>
      <c r="H2336" s="2">
        <f t="shared" si="114"/>
        <v>0</v>
      </c>
    </row>
    <row r="2337" spans="1:11" x14ac:dyDescent="0.2">
      <c r="B2337" s="3" t="s">
        <v>20</v>
      </c>
      <c r="C2337" s="3" t="s">
        <v>22</v>
      </c>
      <c r="D2337" s="2">
        <v>77166</v>
      </c>
      <c r="E2337" s="2">
        <v>2991</v>
      </c>
      <c r="F2337" s="2">
        <f t="shared" si="115"/>
        <v>2115</v>
      </c>
      <c r="H2337" s="2">
        <f t="shared" si="114"/>
        <v>76542</v>
      </c>
      <c r="I2337" s="2">
        <v>3074530</v>
      </c>
    </row>
    <row r="2338" spans="1:11" x14ac:dyDescent="0.2">
      <c r="B2338" s="3"/>
      <c r="C2338" s="3" t="s">
        <v>26</v>
      </c>
      <c r="D2338" s="2">
        <v>9856</v>
      </c>
      <c r="E2338" s="2">
        <v>327</v>
      </c>
      <c r="F2338" s="2">
        <f t="shared" si="115"/>
        <v>124</v>
      </c>
      <c r="H2338" s="2">
        <f t="shared" si="114"/>
        <v>0</v>
      </c>
    </row>
    <row r="2339" spans="1:11" x14ac:dyDescent="0.2">
      <c r="B2339" s="3"/>
      <c r="C2339" s="3" t="s">
        <v>27</v>
      </c>
      <c r="D2339" s="2">
        <v>11859</v>
      </c>
      <c r="E2339" s="2">
        <v>399</v>
      </c>
      <c r="F2339" s="2">
        <f t="shared" si="115"/>
        <v>221</v>
      </c>
      <c r="H2339" s="2">
        <f t="shared" si="114"/>
        <v>0</v>
      </c>
    </row>
    <row r="2340" spans="1:11" x14ac:dyDescent="0.2">
      <c r="C2340" s="3" t="s">
        <v>42</v>
      </c>
      <c r="D2340" s="2">
        <v>3264</v>
      </c>
      <c r="E2340" s="2">
        <v>152</v>
      </c>
      <c r="F2340" s="2">
        <f t="shared" si="115"/>
        <v>36</v>
      </c>
      <c r="H2340" s="2">
        <f t="shared" si="114"/>
        <v>0</v>
      </c>
    </row>
    <row r="2341" spans="1:11" x14ac:dyDescent="0.2">
      <c r="C2341" s="3" t="s">
        <v>43</v>
      </c>
      <c r="D2341" s="2">
        <v>9278</v>
      </c>
      <c r="E2341" s="2">
        <v>244</v>
      </c>
      <c r="F2341" s="2">
        <f t="shared" si="115"/>
        <v>115</v>
      </c>
      <c r="H2341" s="2">
        <f t="shared" si="114"/>
        <v>0</v>
      </c>
    </row>
    <row r="2342" spans="1:11" x14ac:dyDescent="0.2">
      <c r="A2342" s="1">
        <v>44000</v>
      </c>
      <c r="B2342" s="3" t="s">
        <v>5</v>
      </c>
      <c r="C2342" s="3" t="s">
        <v>6</v>
      </c>
      <c r="D2342" s="2">
        <v>64268</v>
      </c>
      <c r="E2342" s="2">
        <v>4002</v>
      </c>
      <c r="F2342" s="2">
        <f t="shared" si="115"/>
        <v>92</v>
      </c>
      <c r="H2342" s="2">
        <f t="shared" si="114"/>
        <v>68541</v>
      </c>
      <c r="I2342" s="2">
        <v>3179660</v>
      </c>
    </row>
    <row r="2343" spans="1:11" x14ac:dyDescent="0.2">
      <c r="B2343" s="3"/>
      <c r="C2343" s="3" t="s">
        <v>7</v>
      </c>
      <c r="D2343" s="2">
        <v>58502</v>
      </c>
      <c r="E2343" s="2">
        <v>4504</v>
      </c>
      <c r="F2343" s="2">
        <f t="shared" si="115"/>
        <v>116</v>
      </c>
      <c r="H2343" s="2">
        <f t="shared" si="114"/>
        <v>0</v>
      </c>
    </row>
    <row r="2344" spans="1:11" x14ac:dyDescent="0.2">
      <c r="B2344" s="3"/>
      <c r="C2344" s="3" t="s">
        <v>8</v>
      </c>
      <c r="D2344" s="2">
        <v>41349</v>
      </c>
      <c r="E2344" s="2">
        <v>2677</v>
      </c>
      <c r="F2344" s="2">
        <f t="shared" si="115"/>
        <v>29</v>
      </c>
      <c r="H2344" s="2">
        <f t="shared" si="114"/>
        <v>0</v>
      </c>
      <c r="K2344" s="2"/>
    </row>
    <row r="2345" spans="1:11" x14ac:dyDescent="0.2">
      <c r="B2345" s="3"/>
      <c r="C2345" s="3" t="s">
        <v>35</v>
      </c>
      <c r="D2345" s="2">
        <v>46830</v>
      </c>
      <c r="E2345" s="2">
        <v>3025</v>
      </c>
      <c r="F2345" s="2">
        <f t="shared" si="115"/>
        <v>52</v>
      </c>
      <c r="H2345" s="2">
        <f t="shared" si="114"/>
        <v>0</v>
      </c>
      <c r="K2345" s="2"/>
    </row>
    <row r="2346" spans="1:11" x14ac:dyDescent="0.2">
      <c r="B2346" s="3"/>
      <c r="C2346" s="3" t="s">
        <v>14</v>
      </c>
      <c r="D2346" s="2">
        <v>40810</v>
      </c>
      <c r="E2346" s="2">
        <v>2010</v>
      </c>
      <c r="F2346" s="2">
        <f t="shared" si="115"/>
        <v>40</v>
      </c>
      <c r="H2346" s="2">
        <f t="shared" si="114"/>
        <v>0</v>
      </c>
      <c r="K2346" s="2"/>
    </row>
    <row r="2347" spans="1:11" x14ac:dyDescent="0.2">
      <c r="B2347" s="3" t="s">
        <v>9</v>
      </c>
      <c r="C2347" s="3" t="s">
        <v>10</v>
      </c>
      <c r="D2347" s="2">
        <v>18949</v>
      </c>
      <c r="E2347" s="2">
        <v>1684</v>
      </c>
      <c r="F2347" s="2">
        <f t="shared" si="115"/>
        <v>21</v>
      </c>
      <c r="H2347" s="2">
        <f t="shared" si="114"/>
        <v>23893</v>
      </c>
      <c r="I2347" s="2">
        <v>1171734</v>
      </c>
      <c r="K2347" s="2"/>
    </row>
    <row r="2348" spans="1:11" x14ac:dyDescent="0.2">
      <c r="B2348" s="3"/>
      <c r="C2348" s="3" t="s">
        <v>11</v>
      </c>
      <c r="D2348" s="2">
        <v>18753</v>
      </c>
      <c r="E2348" s="2">
        <v>1256</v>
      </c>
      <c r="F2348" s="2">
        <f t="shared" si="115"/>
        <v>-2</v>
      </c>
      <c r="H2348" s="2">
        <f t="shared" si="114"/>
        <v>0</v>
      </c>
      <c r="K2348" s="2"/>
    </row>
    <row r="2349" spans="1:11" x14ac:dyDescent="0.2">
      <c r="B2349" s="3"/>
      <c r="C2349" s="3" t="s">
        <v>12</v>
      </c>
      <c r="D2349" s="2">
        <v>18499</v>
      </c>
      <c r="E2349" s="2">
        <v>1758</v>
      </c>
      <c r="F2349" s="2">
        <f t="shared" si="115"/>
        <v>78</v>
      </c>
      <c r="H2349" s="2">
        <f t="shared" si="114"/>
        <v>0</v>
      </c>
      <c r="K2349" s="2"/>
    </row>
    <row r="2350" spans="1:11" x14ac:dyDescent="0.2">
      <c r="B2350" s="3"/>
      <c r="C2350" s="3" t="s">
        <v>36</v>
      </c>
      <c r="D2350" s="2">
        <v>16304</v>
      </c>
      <c r="E2350" s="2">
        <v>1132</v>
      </c>
      <c r="F2350" s="2">
        <f t="shared" si="115"/>
        <v>-11</v>
      </c>
      <c r="H2350" s="2">
        <f t="shared" ref="H2350:H2371" si="116">SUM(I2350-I2320)</f>
        <v>0</v>
      </c>
      <c r="K2350" s="2"/>
    </row>
    <row r="2351" spans="1:11" x14ac:dyDescent="0.2">
      <c r="B2351" s="3"/>
      <c r="C2351" s="3" t="s">
        <v>37</v>
      </c>
      <c r="D2351" s="2">
        <v>16706</v>
      </c>
      <c r="E2351" s="2">
        <v>1009</v>
      </c>
      <c r="F2351" s="2">
        <f t="shared" si="115"/>
        <v>23</v>
      </c>
      <c r="H2351" s="2">
        <f t="shared" si="116"/>
        <v>0</v>
      </c>
      <c r="K2351" s="2"/>
    </row>
    <row r="2352" spans="1:11" x14ac:dyDescent="0.2">
      <c r="B2352" s="3" t="s">
        <v>13</v>
      </c>
      <c r="C2352" s="3" t="s">
        <v>14</v>
      </c>
      <c r="D2352" s="2">
        <v>19477</v>
      </c>
      <c r="E2352" s="2">
        <v>963</v>
      </c>
      <c r="F2352" s="2">
        <f t="shared" si="115"/>
        <v>43</v>
      </c>
      <c r="H2352" s="2">
        <f t="shared" si="116"/>
        <v>9142</v>
      </c>
      <c r="I2352" s="2">
        <v>736691</v>
      </c>
      <c r="K2352" s="2"/>
    </row>
    <row r="2353" spans="2:11" x14ac:dyDescent="0.2">
      <c r="B2353" s="3"/>
      <c r="C2353" s="3" t="s">
        <v>15</v>
      </c>
      <c r="D2353" s="2">
        <v>23407</v>
      </c>
      <c r="E2353" s="2">
        <v>1788</v>
      </c>
      <c r="F2353" s="2">
        <f t="shared" si="115"/>
        <v>61</v>
      </c>
      <c r="H2353" s="2">
        <f t="shared" si="116"/>
        <v>0</v>
      </c>
      <c r="K2353" s="2"/>
    </row>
    <row r="2354" spans="2:11" x14ac:dyDescent="0.2">
      <c r="B2354" s="3"/>
      <c r="C2354" s="3" t="s">
        <v>12</v>
      </c>
      <c r="D2354" s="2">
        <v>15739</v>
      </c>
      <c r="E2354" s="2">
        <v>1063</v>
      </c>
      <c r="F2354" s="2">
        <f t="shared" si="115"/>
        <v>36</v>
      </c>
      <c r="H2354" s="2">
        <f t="shared" si="116"/>
        <v>0</v>
      </c>
      <c r="K2354" s="2"/>
    </row>
    <row r="2355" spans="2:11" x14ac:dyDescent="0.2">
      <c r="B2355" s="3"/>
      <c r="C2355" s="3" t="s">
        <v>33</v>
      </c>
      <c r="D2355" s="2">
        <v>8935</v>
      </c>
      <c r="E2355" s="2">
        <v>905</v>
      </c>
      <c r="F2355" s="2">
        <f t="shared" si="115"/>
        <v>27</v>
      </c>
      <c r="H2355" s="2">
        <f t="shared" si="116"/>
        <v>0</v>
      </c>
      <c r="K2355" s="2"/>
    </row>
    <row r="2356" spans="2:11" x14ac:dyDescent="0.2">
      <c r="B2356" s="3"/>
      <c r="C2356" s="3" t="s">
        <v>34</v>
      </c>
      <c r="D2356" s="2">
        <v>12050</v>
      </c>
      <c r="E2356" s="2">
        <v>889</v>
      </c>
      <c r="F2356" s="2">
        <f t="shared" si="115"/>
        <v>18</v>
      </c>
      <c r="H2356" s="2">
        <f t="shared" si="116"/>
        <v>0</v>
      </c>
      <c r="K2356" s="2"/>
    </row>
    <row r="2357" spans="2:11" x14ac:dyDescent="0.2">
      <c r="B2357" s="3" t="s">
        <v>23</v>
      </c>
      <c r="C2357" s="3" t="s">
        <v>24</v>
      </c>
      <c r="D2357" s="2">
        <v>21171</v>
      </c>
      <c r="E2357" s="2">
        <v>2563</v>
      </c>
      <c r="F2357" s="2">
        <f t="shared" si="115"/>
        <v>40</v>
      </c>
      <c r="H2357" s="2">
        <f t="shared" si="116"/>
        <v>301</v>
      </c>
      <c r="I2357" s="2">
        <v>850186</v>
      </c>
      <c r="K2357" s="2"/>
    </row>
    <row r="2358" spans="2:11" x14ac:dyDescent="0.2">
      <c r="B2358" s="3"/>
      <c r="C2358" s="3" t="s">
        <v>25</v>
      </c>
      <c r="D2358" s="2">
        <v>8617</v>
      </c>
      <c r="E2358" s="2">
        <v>1030</v>
      </c>
      <c r="F2358" s="2">
        <f t="shared" si="115"/>
        <v>-75</v>
      </c>
      <c r="H2358" s="2">
        <f t="shared" si="116"/>
        <v>0</v>
      </c>
      <c r="K2358" s="2"/>
    </row>
    <row r="2359" spans="2:11" x14ac:dyDescent="0.2">
      <c r="B2359" s="3"/>
      <c r="C2359" s="3" t="s">
        <v>28</v>
      </c>
      <c r="D2359" s="2">
        <v>6943</v>
      </c>
      <c r="E2359" s="2">
        <v>860</v>
      </c>
      <c r="F2359" s="2">
        <f t="shared" si="115"/>
        <v>6</v>
      </c>
      <c r="H2359" s="2">
        <f t="shared" si="116"/>
        <v>0</v>
      </c>
      <c r="K2359" s="2"/>
    </row>
    <row r="2360" spans="2:11" x14ac:dyDescent="0.2">
      <c r="B2360" s="3"/>
      <c r="C2360" s="3" t="s">
        <v>38</v>
      </c>
      <c r="D2360" s="2">
        <v>2102</v>
      </c>
      <c r="E2360" s="2">
        <v>258</v>
      </c>
      <c r="F2360" s="2">
        <f t="shared" si="115"/>
        <v>5</v>
      </c>
      <c r="H2360" s="2">
        <f t="shared" si="116"/>
        <v>0</v>
      </c>
      <c r="K2360" s="2"/>
    </row>
    <row r="2361" spans="2:11" x14ac:dyDescent="0.2">
      <c r="B2361" s="3"/>
      <c r="C2361" s="3" t="s">
        <v>39</v>
      </c>
      <c r="D2361" s="2">
        <v>1394</v>
      </c>
      <c r="E2361" s="2">
        <v>103</v>
      </c>
      <c r="F2361" s="2">
        <f t="shared" si="115"/>
        <v>5</v>
      </c>
      <c r="H2361" s="2">
        <f t="shared" si="116"/>
        <v>0</v>
      </c>
      <c r="K2361" s="2"/>
    </row>
    <row r="2362" spans="2:11" x14ac:dyDescent="0.2">
      <c r="B2362" s="3" t="s">
        <v>16</v>
      </c>
      <c r="C2362" s="3" t="s">
        <v>17</v>
      </c>
      <c r="D2362" s="2">
        <v>20276</v>
      </c>
      <c r="E2362" s="2">
        <v>1540</v>
      </c>
      <c r="F2362" s="2">
        <f t="shared" si="115"/>
        <v>92</v>
      </c>
      <c r="H2362" s="2">
        <f t="shared" si="116"/>
        <v>11237</v>
      </c>
      <c r="I2362" s="2">
        <f>SUM(80236+543832)</f>
        <v>624068</v>
      </c>
      <c r="K2362" s="2"/>
    </row>
    <row r="2363" spans="2:11" x14ac:dyDescent="0.2">
      <c r="B2363" s="3"/>
      <c r="C2363" s="3" t="s">
        <v>18</v>
      </c>
      <c r="D2363" s="2">
        <v>8014</v>
      </c>
      <c r="E2363" s="2">
        <v>780</v>
      </c>
      <c r="F2363" s="2">
        <f t="shared" si="115"/>
        <v>24</v>
      </c>
      <c r="H2363" s="2">
        <f t="shared" si="116"/>
        <v>0</v>
      </c>
      <c r="K2363" s="2"/>
    </row>
    <row r="2364" spans="2:11" x14ac:dyDescent="0.2">
      <c r="B2364" s="3"/>
      <c r="C2364" s="3" t="s">
        <v>19</v>
      </c>
      <c r="D2364" s="2">
        <v>6981</v>
      </c>
      <c r="E2364" s="2">
        <v>680</v>
      </c>
      <c r="F2364" s="2">
        <f t="shared" si="115"/>
        <v>14</v>
      </c>
      <c r="H2364" s="2">
        <f t="shared" si="116"/>
        <v>0</v>
      </c>
      <c r="K2364" s="2"/>
    </row>
    <row r="2365" spans="2:11" x14ac:dyDescent="0.2">
      <c r="B2365" s="3"/>
      <c r="C2365" s="3" t="s">
        <v>40</v>
      </c>
      <c r="D2365" s="2">
        <v>3997</v>
      </c>
      <c r="E2365" s="2">
        <v>276</v>
      </c>
      <c r="F2365" s="2">
        <f t="shared" si="115"/>
        <v>19</v>
      </c>
      <c r="H2365" s="2">
        <f t="shared" si="116"/>
        <v>0</v>
      </c>
      <c r="K2365" s="2"/>
    </row>
    <row r="2366" spans="2:11" x14ac:dyDescent="0.2">
      <c r="B2366" s="3"/>
      <c r="C2366" s="3" t="s">
        <v>41</v>
      </c>
      <c r="D2366" s="2">
        <v>4359</v>
      </c>
      <c r="E2366" s="2">
        <v>342</v>
      </c>
      <c r="F2366" s="2">
        <f t="shared" si="115"/>
        <v>9</v>
      </c>
      <c r="H2366" s="2">
        <f t="shared" si="116"/>
        <v>0</v>
      </c>
      <c r="K2366" s="2"/>
    </row>
    <row r="2367" spans="2:11" x14ac:dyDescent="0.2">
      <c r="B2367" s="3" t="s">
        <v>20</v>
      </c>
      <c r="C2367" s="3" t="s">
        <v>22</v>
      </c>
      <c r="D2367" s="2">
        <v>78244</v>
      </c>
      <c r="E2367" s="2">
        <v>3027</v>
      </c>
      <c r="F2367" s="2">
        <f t="shared" si="115"/>
        <v>1078</v>
      </c>
      <c r="H2367" s="2">
        <f t="shared" si="116"/>
        <v>81172</v>
      </c>
      <c r="I2367" s="2">
        <v>3155702</v>
      </c>
      <c r="K2367" s="2"/>
    </row>
    <row r="2368" spans="2:11" x14ac:dyDescent="0.2">
      <c r="B2368" s="3"/>
      <c r="C2368" s="3" t="s">
        <v>26</v>
      </c>
      <c r="D2368" s="2">
        <v>10094</v>
      </c>
      <c r="E2368" s="2">
        <v>331</v>
      </c>
      <c r="F2368" s="2">
        <f t="shared" si="115"/>
        <v>238</v>
      </c>
      <c r="H2368" s="2">
        <f t="shared" si="116"/>
        <v>0</v>
      </c>
      <c r="K2368" s="2"/>
    </row>
    <row r="2369" spans="1:11" x14ac:dyDescent="0.2">
      <c r="B2369" s="3"/>
      <c r="C2369" s="3" t="s">
        <v>27</v>
      </c>
      <c r="D2369" s="2">
        <v>12410</v>
      </c>
      <c r="E2369" s="2">
        <v>408</v>
      </c>
      <c r="F2369" s="2">
        <f t="shared" si="115"/>
        <v>551</v>
      </c>
      <c r="H2369" s="2">
        <f t="shared" si="116"/>
        <v>0</v>
      </c>
      <c r="K2369" s="2"/>
    </row>
    <row r="2370" spans="1:11" x14ac:dyDescent="0.2">
      <c r="C2370" s="3" t="s">
        <v>42</v>
      </c>
      <c r="D2370" s="2">
        <v>3338</v>
      </c>
      <c r="E2370" s="2">
        <v>152</v>
      </c>
      <c r="F2370" s="2">
        <f t="shared" si="115"/>
        <v>74</v>
      </c>
      <c r="H2370" s="2">
        <f t="shared" si="116"/>
        <v>0</v>
      </c>
      <c r="K2370" s="2"/>
    </row>
    <row r="2371" spans="1:11" x14ac:dyDescent="0.2">
      <c r="C2371" s="3" t="s">
        <v>43</v>
      </c>
      <c r="D2371" s="2">
        <v>9597</v>
      </c>
      <c r="E2371" s="2">
        <v>250</v>
      </c>
      <c r="F2371" s="2">
        <f t="shared" si="115"/>
        <v>319</v>
      </c>
      <c r="H2371" s="2">
        <f t="shared" si="116"/>
        <v>0</v>
      </c>
      <c r="K2371" s="2"/>
    </row>
    <row r="2372" spans="1:11" x14ac:dyDescent="0.2">
      <c r="A2372" s="1">
        <v>44001</v>
      </c>
      <c r="B2372" s="3" t="s">
        <v>5</v>
      </c>
      <c r="C2372" s="3" t="s">
        <v>6</v>
      </c>
      <c r="D2372" s="2">
        <v>64380</v>
      </c>
      <c r="E2372" s="2">
        <v>4007</v>
      </c>
      <c r="H2372" s="2">
        <v>3258963</v>
      </c>
      <c r="K2372" s="2"/>
    </row>
    <row r="2373" spans="1:11" x14ac:dyDescent="0.2">
      <c r="B2373" s="3"/>
      <c r="C2373" s="3" t="s">
        <v>7</v>
      </c>
      <c r="D2373" s="2">
        <v>58634</v>
      </c>
      <c r="E2373" s="2">
        <v>4506</v>
      </c>
      <c r="K2373" s="2"/>
    </row>
    <row r="2374" spans="1:11" x14ac:dyDescent="0.2">
      <c r="B2374" s="3"/>
      <c r="C2374" s="3" t="s">
        <v>8</v>
      </c>
      <c r="D2374" s="2">
        <v>41387</v>
      </c>
      <c r="E2374" s="2">
        <v>2680</v>
      </c>
    </row>
    <row r="2375" spans="1:11" x14ac:dyDescent="0.2">
      <c r="B2375" s="3"/>
      <c r="C2375" s="3" t="s">
        <v>35</v>
      </c>
      <c r="D2375" s="2">
        <v>46915</v>
      </c>
      <c r="E2375" s="2">
        <v>3027</v>
      </c>
    </row>
    <row r="2376" spans="1:11" x14ac:dyDescent="0.2">
      <c r="B2376" s="3"/>
      <c r="C2376" s="3" t="s">
        <v>14</v>
      </c>
      <c r="D2376" s="2">
        <v>40864</v>
      </c>
      <c r="E2376" s="2">
        <v>2011</v>
      </c>
    </row>
    <row r="2377" spans="1:11" x14ac:dyDescent="0.2">
      <c r="B2377" s="3" t="s">
        <v>9</v>
      </c>
      <c r="C2377" s="3" t="s">
        <v>10</v>
      </c>
      <c r="D2377" s="2">
        <v>18967</v>
      </c>
      <c r="E2377" s="2">
        <v>1691</v>
      </c>
      <c r="H2377" s="2">
        <v>1194343</v>
      </c>
    </row>
    <row r="2378" spans="1:11" x14ac:dyDescent="0.2">
      <c r="B2378" s="3"/>
      <c r="C2378" s="3" t="s">
        <v>11</v>
      </c>
      <c r="D2378" s="2">
        <v>18761</v>
      </c>
      <c r="E2378" s="2">
        <v>1261</v>
      </c>
    </row>
    <row r="2379" spans="1:11" x14ac:dyDescent="0.2">
      <c r="B2379" s="3"/>
      <c r="C2379" s="3" t="s">
        <v>12</v>
      </c>
      <c r="D2379" s="2">
        <v>18533</v>
      </c>
      <c r="E2379" s="2">
        <v>1758</v>
      </c>
    </row>
    <row r="2380" spans="1:11" x14ac:dyDescent="0.2">
      <c r="B2380" s="3"/>
      <c r="C2380" s="3" t="s">
        <v>36</v>
      </c>
      <c r="D2380" s="2">
        <v>16291</v>
      </c>
      <c r="E2380" s="2">
        <v>1131</v>
      </c>
    </row>
    <row r="2381" spans="1:11" x14ac:dyDescent="0.2">
      <c r="B2381" s="3"/>
      <c r="C2381" s="3" t="s">
        <v>37</v>
      </c>
      <c r="D2381" s="2">
        <v>16725</v>
      </c>
      <c r="E2381" s="2">
        <v>1013</v>
      </c>
    </row>
    <row r="2382" spans="1:11" x14ac:dyDescent="0.2">
      <c r="B2382" s="3" t="s">
        <v>13</v>
      </c>
      <c r="C2382" s="3" t="s">
        <v>14</v>
      </c>
      <c r="D2382" s="2">
        <v>19493</v>
      </c>
      <c r="E2382" s="2">
        <v>971</v>
      </c>
      <c r="H2382" s="2">
        <v>746162</v>
      </c>
    </row>
    <row r="2383" spans="1:11" x14ac:dyDescent="0.2">
      <c r="B2383" s="3"/>
      <c r="C2383" s="3" t="s">
        <v>15</v>
      </c>
      <c r="D2383" s="2">
        <v>23464</v>
      </c>
      <c r="E2383" s="2">
        <v>1791</v>
      </c>
    </row>
    <row r="2384" spans="1:11" x14ac:dyDescent="0.2">
      <c r="B2384" s="3"/>
      <c r="C2384" s="3" t="s">
        <v>12</v>
      </c>
      <c r="D2384" s="2">
        <v>15778</v>
      </c>
      <c r="E2384" s="2">
        <v>1065</v>
      </c>
    </row>
    <row r="2385" spans="2:8" x14ac:dyDescent="0.2">
      <c r="B2385" s="3"/>
      <c r="C2385" s="3" t="s">
        <v>33</v>
      </c>
      <c r="D2385" s="2">
        <v>8962</v>
      </c>
      <c r="E2385" s="2">
        <v>907</v>
      </c>
    </row>
    <row r="2386" spans="2:8" x14ac:dyDescent="0.2">
      <c r="B2386" s="3"/>
      <c r="C2386" s="3" t="s">
        <v>34</v>
      </c>
      <c r="D2386" s="2">
        <v>12085</v>
      </c>
      <c r="E2386" s="2">
        <v>893</v>
      </c>
    </row>
    <row r="2387" spans="2:8" x14ac:dyDescent="0.2">
      <c r="B2387" s="3" t="s">
        <v>23</v>
      </c>
      <c r="C2387" s="3" t="s">
        <v>24</v>
      </c>
      <c r="D2387" s="2">
        <v>21211</v>
      </c>
      <c r="E2387" s="2">
        <v>2563</v>
      </c>
      <c r="H2387" s="2">
        <v>879928</v>
      </c>
    </row>
    <row r="2388" spans="2:8" x14ac:dyDescent="0.2">
      <c r="B2388" s="3"/>
      <c r="C2388" s="3" t="s">
        <v>25</v>
      </c>
      <c r="D2388" s="2">
        <v>8629</v>
      </c>
      <c r="E2388" s="2">
        <v>1030</v>
      </c>
    </row>
    <row r="2389" spans="2:8" x14ac:dyDescent="0.2">
      <c r="B2389" s="3"/>
      <c r="C2389" s="3" t="s">
        <v>28</v>
      </c>
      <c r="D2389" s="2">
        <v>6955</v>
      </c>
      <c r="E2389" s="2">
        <v>860</v>
      </c>
    </row>
    <row r="2390" spans="2:8" x14ac:dyDescent="0.2">
      <c r="B2390" s="3"/>
      <c r="C2390" s="3" t="s">
        <v>38</v>
      </c>
      <c r="D2390" s="2">
        <v>2111</v>
      </c>
      <c r="E2390" s="2">
        <v>258</v>
      </c>
    </row>
    <row r="2391" spans="2:8" x14ac:dyDescent="0.2">
      <c r="B2391" s="3"/>
      <c r="C2391" s="3" t="s">
        <v>39</v>
      </c>
      <c r="D2391" s="2">
        <v>1397</v>
      </c>
      <c r="E2391" s="2">
        <v>103</v>
      </c>
    </row>
    <row r="2392" spans="2:8" x14ac:dyDescent="0.2">
      <c r="B2392" s="3" t="s">
        <v>16</v>
      </c>
      <c r="C2392" s="3" t="s">
        <v>17</v>
      </c>
      <c r="D2392" s="2">
        <v>20404</v>
      </c>
      <c r="E2392" s="2">
        <v>1550</v>
      </c>
      <c r="H2392" s="2">
        <f>SUM(80762+556456)</f>
        <v>637218</v>
      </c>
    </row>
    <row r="2393" spans="2:8" x14ac:dyDescent="0.2">
      <c r="B2393" s="3"/>
      <c r="C2393" s="3" t="s">
        <v>18</v>
      </c>
      <c r="D2393" s="2">
        <v>8046</v>
      </c>
      <c r="E2393" s="2">
        <v>780</v>
      </c>
    </row>
    <row r="2394" spans="2:8" x14ac:dyDescent="0.2">
      <c r="B2394" s="3"/>
      <c r="C2394" s="3" t="s">
        <v>19</v>
      </c>
      <c r="D2394" s="2">
        <v>7003</v>
      </c>
      <c r="E2394" s="2">
        <v>681</v>
      </c>
    </row>
    <row r="2395" spans="2:8" x14ac:dyDescent="0.2">
      <c r="B2395" s="3"/>
      <c r="C2395" s="3" t="s">
        <v>40</v>
      </c>
      <c r="D2395" s="2">
        <v>4024</v>
      </c>
      <c r="E2395" s="2">
        <v>277</v>
      </c>
    </row>
    <row r="2396" spans="2:8" x14ac:dyDescent="0.2">
      <c r="B2396" s="3"/>
      <c r="C2396" s="3" t="s">
        <v>41</v>
      </c>
      <c r="D2396" s="2">
        <v>4374</v>
      </c>
      <c r="E2396" s="2">
        <v>343</v>
      </c>
    </row>
    <row r="2397" spans="2:8" x14ac:dyDescent="0.2">
      <c r="B2397" s="3" t="s">
        <v>20</v>
      </c>
      <c r="C2397" s="3" t="s">
        <v>22</v>
      </c>
      <c r="D2397" s="2">
        <v>79572</v>
      </c>
      <c r="E2397" s="2">
        <v>3063</v>
      </c>
      <c r="H2397" s="2">
        <v>3234412</v>
      </c>
    </row>
    <row r="2398" spans="2:8" x14ac:dyDescent="0.2">
      <c r="B2398" s="3"/>
      <c r="C2398" s="3" t="s">
        <v>26</v>
      </c>
      <c r="D2398" s="2">
        <v>10352</v>
      </c>
      <c r="E2398" s="2">
        <v>332</v>
      </c>
    </row>
    <row r="2399" spans="2:8" x14ac:dyDescent="0.2">
      <c r="B2399" s="3"/>
      <c r="C2399" s="3" t="s">
        <v>27</v>
      </c>
      <c r="D2399" s="2">
        <v>12710</v>
      </c>
      <c r="E2399" s="2">
        <v>410</v>
      </c>
    </row>
    <row r="2400" spans="2:8" x14ac:dyDescent="0.2">
      <c r="C2400" s="3" t="s">
        <v>42</v>
      </c>
      <c r="D2400" s="2">
        <v>3376</v>
      </c>
      <c r="E2400" s="2">
        <v>152</v>
      </c>
    </row>
    <row r="2401" spans="1:8" x14ac:dyDescent="0.2">
      <c r="C2401" s="3" t="s">
        <v>43</v>
      </c>
      <c r="D2401" s="2">
        <v>9972</v>
      </c>
      <c r="E2401" s="2">
        <v>257</v>
      </c>
    </row>
    <row r="2402" spans="1:8" x14ac:dyDescent="0.2">
      <c r="A2402" s="1">
        <v>44002</v>
      </c>
      <c r="B2402" s="3" t="s">
        <v>5</v>
      </c>
      <c r="C2402" s="3" t="s">
        <v>6</v>
      </c>
      <c r="D2402" s="2">
        <v>64486</v>
      </c>
      <c r="E2402" s="2">
        <v>4009</v>
      </c>
      <c r="H2402" s="2">
        <v>3327793</v>
      </c>
    </row>
    <row r="2403" spans="1:8" x14ac:dyDescent="0.2">
      <c r="B2403" s="3"/>
      <c r="C2403" s="3" t="s">
        <v>7</v>
      </c>
      <c r="D2403" s="2">
        <v>58761</v>
      </c>
      <c r="E2403" s="2">
        <v>4508</v>
      </c>
    </row>
    <row r="2404" spans="1:8" x14ac:dyDescent="0.2">
      <c r="B2404" s="3"/>
      <c r="C2404" s="3" t="s">
        <v>8</v>
      </c>
      <c r="D2404" s="2">
        <v>41443</v>
      </c>
      <c r="E2404" s="2">
        <v>2680</v>
      </c>
    </row>
    <row r="2405" spans="1:8" x14ac:dyDescent="0.2">
      <c r="B2405" s="3"/>
      <c r="C2405" s="3" t="s">
        <v>35</v>
      </c>
      <c r="D2405" s="2">
        <v>46979</v>
      </c>
      <c r="E2405" s="2">
        <v>3028</v>
      </c>
    </row>
    <row r="2406" spans="1:8" x14ac:dyDescent="0.2">
      <c r="B2406" s="3"/>
      <c r="C2406" s="3" t="s">
        <v>14</v>
      </c>
      <c r="D2406" s="2">
        <v>40908</v>
      </c>
      <c r="E2406" s="2">
        <v>2012</v>
      </c>
    </row>
    <row r="2407" spans="1:8" x14ac:dyDescent="0.2">
      <c r="B2407" s="3" t="s">
        <v>9</v>
      </c>
      <c r="C2407" s="3" t="s">
        <v>10</v>
      </c>
      <c r="D2407" s="2">
        <v>18996</v>
      </c>
      <c r="E2407" s="2">
        <v>1693</v>
      </c>
      <c r="H2407" s="2">
        <v>1218873</v>
      </c>
    </row>
    <row r="2408" spans="1:8" x14ac:dyDescent="0.2">
      <c r="B2408" s="3"/>
      <c r="C2408" s="3" t="s">
        <v>11</v>
      </c>
      <c r="D2408" s="2">
        <v>18775</v>
      </c>
      <c r="E2408" s="2">
        <v>1261</v>
      </c>
    </row>
    <row r="2409" spans="1:8" x14ac:dyDescent="0.2">
      <c r="B2409" s="3"/>
      <c r="C2409" s="3" t="s">
        <v>12</v>
      </c>
      <c r="D2409" s="2">
        <v>18515</v>
      </c>
      <c r="E2409" s="2">
        <v>1759</v>
      </c>
    </row>
    <row r="2410" spans="1:8" x14ac:dyDescent="0.2">
      <c r="B2410" s="3"/>
      <c r="C2410" s="3" t="s">
        <v>36</v>
      </c>
      <c r="D2410" s="2">
        <v>16298</v>
      </c>
      <c r="E2410" s="2">
        <v>1135</v>
      </c>
    </row>
    <row r="2411" spans="1:8" x14ac:dyDescent="0.2">
      <c r="B2411" s="3"/>
      <c r="C2411" s="3" t="s">
        <v>37</v>
      </c>
      <c r="D2411" s="2">
        <v>16735</v>
      </c>
      <c r="E2411" s="2">
        <v>1013</v>
      </c>
    </row>
    <row r="2412" spans="1:8" x14ac:dyDescent="0.2">
      <c r="B2412" s="3" t="s">
        <v>13</v>
      </c>
      <c r="C2412" s="3" t="s">
        <v>14</v>
      </c>
      <c r="D2412" s="2">
        <v>19528</v>
      </c>
      <c r="E2412" s="2">
        <v>973</v>
      </c>
      <c r="H2412" s="2">
        <v>760229</v>
      </c>
    </row>
    <row r="2413" spans="1:8" x14ac:dyDescent="0.2">
      <c r="B2413" s="3"/>
      <c r="C2413" s="3" t="s">
        <v>15</v>
      </c>
      <c r="D2413" s="2">
        <v>23544</v>
      </c>
      <c r="E2413" s="2">
        <v>1801</v>
      </c>
    </row>
    <row r="2414" spans="1:8" x14ac:dyDescent="0.2">
      <c r="B2414" s="3"/>
      <c r="C2414" s="3" t="s">
        <v>12</v>
      </c>
      <c r="D2414" s="2">
        <v>15817</v>
      </c>
      <c r="E2414" s="2">
        <v>1071</v>
      </c>
    </row>
    <row r="2415" spans="1:8" x14ac:dyDescent="0.2">
      <c r="B2415" s="3"/>
      <c r="C2415" s="3" t="s">
        <v>33</v>
      </c>
      <c r="D2415" s="2">
        <v>8983</v>
      </c>
      <c r="E2415" s="2">
        <v>908</v>
      </c>
    </row>
    <row r="2416" spans="1:8" x14ac:dyDescent="0.2">
      <c r="B2416" s="3"/>
      <c r="C2416" s="3" t="s">
        <v>34</v>
      </c>
      <c r="D2416" s="2">
        <v>12122</v>
      </c>
      <c r="E2416" s="2">
        <v>897</v>
      </c>
    </row>
    <row r="2417" spans="2:8" x14ac:dyDescent="0.2">
      <c r="B2417" s="3" t="s">
        <v>23</v>
      </c>
      <c r="C2417" s="3" t="s">
        <v>24</v>
      </c>
      <c r="D2417" s="2">
        <v>21286</v>
      </c>
      <c r="E2417" s="2">
        <v>2569</v>
      </c>
      <c r="H2417" s="2">
        <v>894634</v>
      </c>
    </row>
    <row r="2418" spans="2:8" x14ac:dyDescent="0.2">
      <c r="B2418" s="3"/>
      <c r="C2418" s="3" t="s">
        <v>25</v>
      </c>
      <c r="D2418" s="2">
        <v>8648</v>
      </c>
      <c r="E2418" s="2">
        <v>1035</v>
      </c>
    </row>
    <row r="2419" spans="2:8" x14ac:dyDescent="0.2">
      <c r="B2419" s="3"/>
      <c r="C2419" s="3" t="s">
        <v>28</v>
      </c>
      <c r="D2419" s="2">
        <v>6972</v>
      </c>
      <c r="E2419" s="2">
        <v>862</v>
      </c>
    </row>
    <row r="2420" spans="2:8" x14ac:dyDescent="0.2">
      <c r="B2420" s="3"/>
      <c r="C2420" s="3" t="s">
        <v>38</v>
      </c>
      <c r="D2420" s="2">
        <v>2115</v>
      </c>
      <c r="E2420" s="2">
        <v>259</v>
      </c>
    </row>
    <row r="2421" spans="2:8" x14ac:dyDescent="0.2">
      <c r="B2421" s="3"/>
      <c r="C2421" s="3" t="s">
        <v>39</v>
      </c>
      <c r="D2421" s="2">
        <v>1404</v>
      </c>
      <c r="E2421" s="2">
        <v>103</v>
      </c>
    </row>
    <row r="2422" spans="2:8" x14ac:dyDescent="0.2">
      <c r="B2422" s="3" t="s">
        <v>16</v>
      </c>
      <c r="C2422" s="3" t="s">
        <v>17</v>
      </c>
      <c r="D2422" s="2">
        <v>20517</v>
      </c>
      <c r="E2422" s="2">
        <v>1552</v>
      </c>
      <c r="H2422" s="2">
        <f>SUM(81266+556461)</f>
        <v>637727</v>
      </c>
    </row>
    <row r="2423" spans="2:8" x14ac:dyDescent="0.2">
      <c r="B2423" s="3"/>
      <c r="C2423" s="3" t="s">
        <v>18</v>
      </c>
      <c r="D2423" s="2">
        <v>8076</v>
      </c>
      <c r="E2423" s="2">
        <v>783</v>
      </c>
    </row>
    <row r="2424" spans="2:8" x14ac:dyDescent="0.2">
      <c r="B2424" s="3"/>
      <c r="C2424" s="3" t="s">
        <v>19</v>
      </c>
      <c r="D2424" s="2">
        <v>7023</v>
      </c>
      <c r="E2424" s="2">
        <v>683</v>
      </c>
    </row>
    <row r="2425" spans="2:8" x14ac:dyDescent="0.2">
      <c r="B2425" s="3"/>
      <c r="C2425" s="3" t="s">
        <v>40</v>
      </c>
      <c r="D2425" s="2">
        <v>4072</v>
      </c>
      <c r="E2425" s="2">
        <v>278</v>
      </c>
    </row>
    <row r="2426" spans="2:8" x14ac:dyDescent="0.2">
      <c r="B2426" s="3"/>
      <c r="C2426" s="3" t="s">
        <v>41</v>
      </c>
      <c r="D2426" s="2">
        <v>4388</v>
      </c>
      <c r="E2426" s="2">
        <v>344</v>
      </c>
    </row>
    <row r="2427" spans="2:8" x14ac:dyDescent="0.2">
      <c r="B2427" s="3" t="s">
        <v>20</v>
      </c>
      <c r="C2427" s="3" t="s">
        <v>22</v>
      </c>
    </row>
    <row r="2428" spans="2:8" x14ac:dyDescent="0.2">
      <c r="B2428" s="3"/>
      <c r="C2428" s="3" t="s">
        <v>26</v>
      </c>
    </row>
    <row r="2429" spans="2:8" x14ac:dyDescent="0.2">
      <c r="B2429" s="3"/>
      <c r="C2429" s="3" t="s">
        <v>27</v>
      </c>
    </row>
    <row r="2430" spans="2:8" x14ac:dyDescent="0.2">
      <c r="C2430" s="3" t="s">
        <v>42</v>
      </c>
    </row>
    <row r="2431" spans="2:8" x14ac:dyDescent="0.2">
      <c r="C2431" s="3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2020-04-19T21:59:06Z</dcterms:created>
  <dcterms:modified xsi:type="dcterms:W3CDTF">2020-06-21T08:03:32Z</dcterms:modified>
</cp:coreProperties>
</file>