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el\home\projects\Arduino\libraries\IECDevice\doc\"/>
    </mc:Choice>
  </mc:AlternateContent>
  <xr:revisionPtr revIDLastSave="0" documentId="13_ncr:1_{085303DA-F37A-4F55-A70A-924B33E400B6}" xr6:coauthVersionLast="47" xr6:coauthVersionMax="47" xr10:uidLastSave="{00000000-0000-0000-0000-000000000000}"/>
  <bookViews>
    <workbookView xWindow="-120" yWindow="-120" windowWidth="29040" windowHeight="15840" xr2:uid="{8851EF2D-44BA-444C-9B41-CD0C88F2796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S5" i="1"/>
  <c r="T5" i="1"/>
  <c r="U5" i="1" s="1"/>
  <c r="S6" i="1"/>
  <c r="T6" i="1"/>
  <c r="S7" i="1"/>
  <c r="T7" i="1"/>
  <c r="S8" i="1"/>
  <c r="U7" i="1" s="1"/>
  <c r="T8" i="1"/>
  <c r="S9" i="1"/>
  <c r="U8" i="1" s="1"/>
  <c r="T9" i="1"/>
  <c r="S10" i="1"/>
  <c r="T10" i="1"/>
  <c r="S11" i="1"/>
  <c r="T11" i="1"/>
  <c r="S12" i="1"/>
  <c r="U11" i="1" s="1"/>
  <c r="T12" i="1"/>
  <c r="S13" i="1"/>
  <c r="U12" i="1" s="1"/>
  <c r="T13" i="1"/>
  <c r="U13" i="1" s="1"/>
  <c r="S14" i="1"/>
  <c r="T14" i="1"/>
  <c r="S15" i="1"/>
  <c r="U14" i="1" s="1"/>
  <c r="T15" i="1"/>
  <c r="S16" i="1"/>
  <c r="U15" i="1" s="1"/>
  <c r="T16" i="1"/>
  <c r="S17" i="1"/>
  <c r="U16" i="1" s="1"/>
  <c r="T17" i="1"/>
  <c r="U17" i="1" s="1"/>
  <c r="S18" i="1"/>
  <c r="T18" i="1"/>
  <c r="S19" i="1"/>
  <c r="S20" i="1"/>
  <c r="U19" i="1" s="1"/>
  <c r="T20" i="1"/>
  <c r="AB20" i="1"/>
  <c r="AB19" i="1"/>
  <c r="AB18" i="1"/>
  <c r="AB16" i="1"/>
  <c r="AB15" i="1"/>
  <c r="AB14" i="1"/>
  <c r="AB12" i="1"/>
  <c r="AB11" i="1"/>
  <c r="AB10" i="1"/>
  <c r="AB8" i="1"/>
  <c r="AB7" i="1"/>
  <c r="AB6" i="1"/>
  <c r="X6" i="1"/>
  <c r="AF20" i="1"/>
  <c r="AF19" i="1"/>
  <c r="AF18" i="1"/>
  <c r="AF16" i="1"/>
  <c r="AF15" i="1"/>
  <c r="AF14" i="1"/>
  <c r="AF12" i="1"/>
  <c r="AE12" i="1"/>
  <c r="AE16" i="1" s="1"/>
  <c r="AE20" i="1" s="1"/>
  <c r="AF11" i="1"/>
  <c r="AE11" i="1"/>
  <c r="AE15" i="1" s="1"/>
  <c r="AE19" i="1" s="1"/>
  <c r="AF10" i="1"/>
  <c r="AE10" i="1"/>
  <c r="AE14" i="1" s="1"/>
  <c r="AE18" i="1" s="1"/>
  <c r="AF8" i="1"/>
  <c r="AF7" i="1"/>
  <c r="AF6" i="1"/>
  <c r="W12" i="1"/>
  <c r="W16" i="1" s="1"/>
  <c r="W20" i="1" s="1"/>
  <c r="W11" i="1"/>
  <c r="W15" i="1" s="1"/>
  <c r="W19" i="1" s="1"/>
  <c r="W10" i="1"/>
  <c r="W14" i="1" s="1"/>
  <c r="W18" i="1" s="1"/>
  <c r="X20" i="1"/>
  <c r="X19" i="1"/>
  <c r="X18" i="1"/>
  <c r="X16" i="1"/>
  <c r="X15" i="1"/>
  <c r="X14" i="1"/>
  <c r="X12" i="1"/>
  <c r="X11" i="1"/>
  <c r="X10" i="1"/>
  <c r="X8" i="1"/>
  <c r="X7" i="1"/>
  <c r="U9" i="1"/>
  <c r="U6" i="1"/>
  <c r="C5" i="1"/>
  <c r="I1" i="1"/>
  <c r="I3" i="1" s="1"/>
  <c r="B1" i="1"/>
  <c r="B3" i="1" s="1"/>
  <c r="D5" i="1" s="1"/>
  <c r="J5" i="1"/>
  <c r="K5" i="1" s="1"/>
  <c r="E5" i="1" l="1"/>
  <c r="L5" i="1"/>
  <c r="U18" i="1"/>
  <c r="U10" i="1"/>
  <c r="J6" i="1"/>
  <c r="C6" i="1"/>
  <c r="E6" i="1" l="1"/>
  <c r="D6" i="1"/>
  <c r="L6" i="1"/>
  <c r="K6" i="1"/>
  <c r="P5" i="1"/>
  <c r="O5" i="1"/>
  <c r="J7" i="1"/>
  <c r="C7" i="1"/>
  <c r="L7" i="1" l="1"/>
  <c r="K7" i="1"/>
  <c r="E7" i="1"/>
  <c r="D7" i="1"/>
  <c r="F6" i="1"/>
  <c r="AC5" i="1"/>
  <c r="AG5" i="1"/>
  <c r="M6" i="1"/>
  <c r="P6" i="1"/>
  <c r="O6" i="1"/>
  <c r="Y5" i="1" s="1"/>
  <c r="J8" i="1"/>
  <c r="C8" i="1"/>
  <c r="D8" i="1" l="1"/>
  <c r="E8" i="1"/>
  <c r="K8" i="1"/>
  <c r="L8" i="1"/>
  <c r="F7" i="1"/>
  <c r="AC6" i="1"/>
  <c r="AG6" i="1"/>
  <c r="M7" i="1"/>
  <c r="P7" i="1"/>
  <c r="Q5" i="1"/>
  <c r="O7" i="1"/>
  <c r="Y6" i="1" s="1"/>
  <c r="J9" i="1"/>
  <c r="C9" i="1"/>
  <c r="E9" i="1" l="1"/>
  <c r="D9" i="1"/>
  <c r="K9" i="1"/>
  <c r="L9" i="1"/>
  <c r="P8" i="1"/>
  <c r="F8" i="1"/>
  <c r="AC7" i="1"/>
  <c r="AG7" i="1"/>
  <c r="M8" i="1"/>
  <c r="Q6" i="1"/>
  <c r="AC8" i="1"/>
  <c r="AG8" i="1"/>
  <c r="O8" i="1"/>
  <c r="Y7" i="1" s="1"/>
  <c r="J10" i="1"/>
  <c r="C10" i="1"/>
  <c r="E10" i="1" l="1"/>
  <c r="D10" i="1"/>
  <c r="AC9" i="1" s="1"/>
  <c r="L10" i="1"/>
  <c r="K10" i="1"/>
  <c r="AG9" i="1" s="1"/>
  <c r="P9" i="1"/>
  <c r="Q7" i="1"/>
  <c r="F9" i="1"/>
  <c r="M9" i="1"/>
  <c r="O9" i="1"/>
  <c r="Y8" i="1" s="1"/>
  <c r="J11" i="1"/>
  <c r="C11" i="1"/>
  <c r="E11" i="1" l="1"/>
  <c r="D11" i="1"/>
  <c r="AC10" i="1" s="1"/>
  <c r="L11" i="1"/>
  <c r="K11" i="1"/>
  <c r="AG10" i="1" s="1"/>
  <c r="P10" i="1"/>
  <c r="Q8" i="1"/>
  <c r="O10" i="1"/>
  <c r="Y9" i="1" s="1"/>
  <c r="J12" i="1"/>
  <c r="C12" i="1"/>
  <c r="K12" i="1" l="1"/>
  <c r="L12" i="1"/>
  <c r="E12" i="1"/>
  <c r="D12" i="1"/>
  <c r="P11" i="1"/>
  <c r="Q9" i="1"/>
  <c r="AC11" i="1"/>
  <c r="AG11" i="1"/>
  <c r="O11" i="1"/>
  <c r="Y10" i="1" s="1"/>
  <c r="J13" i="1"/>
  <c r="C13" i="1"/>
  <c r="E13" i="1" l="1"/>
  <c r="D13" i="1"/>
  <c r="K13" i="1"/>
  <c r="L13" i="1"/>
  <c r="P12" i="1"/>
  <c r="Q10" i="1"/>
  <c r="AC12" i="1"/>
  <c r="AG12" i="1"/>
  <c r="O12" i="1"/>
  <c r="Y11" i="1" s="1"/>
  <c r="J14" i="1"/>
  <c r="C14" i="1"/>
  <c r="E14" i="1" l="1"/>
  <c r="D14" i="1"/>
  <c r="AC13" i="1" s="1"/>
  <c r="L14" i="1"/>
  <c r="K14" i="1"/>
  <c r="P13" i="1"/>
  <c r="Q11" i="1"/>
  <c r="AG13" i="1"/>
  <c r="F13" i="1"/>
  <c r="M13" i="1"/>
  <c r="O13" i="1"/>
  <c r="Y12" i="1" s="1"/>
  <c r="J15" i="1"/>
  <c r="C15" i="1"/>
  <c r="E15" i="1" l="1"/>
  <c r="D15" i="1"/>
  <c r="AC14" i="1" s="1"/>
  <c r="L15" i="1"/>
  <c r="K15" i="1"/>
  <c r="AG14" i="1" s="1"/>
  <c r="P14" i="1"/>
  <c r="Q12" i="1"/>
  <c r="O14" i="1"/>
  <c r="Y13" i="1" s="1"/>
  <c r="J16" i="1"/>
  <c r="C16" i="1"/>
  <c r="K16" i="1" l="1"/>
  <c r="L16" i="1"/>
  <c r="D16" i="1"/>
  <c r="E16" i="1"/>
  <c r="P15" i="1"/>
  <c r="Q13" i="1"/>
  <c r="AC15" i="1"/>
  <c r="AG15" i="1"/>
  <c r="O15" i="1"/>
  <c r="Y14" i="1" s="1"/>
  <c r="J17" i="1"/>
  <c r="C17" i="1"/>
  <c r="E17" i="1" l="1"/>
  <c r="D17" i="1"/>
  <c r="AC16" i="1" s="1"/>
  <c r="K17" i="1"/>
  <c r="AG16" i="1" s="1"/>
  <c r="L17" i="1"/>
  <c r="P16" i="1"/>
  <c r="Q14" i="1"/>
  <c r="O16" i="1"/>
  <c r="Y15" i="1" s="1"/>
  <c r="J18" i="1"/>
  <c r="C18" i="1"/>
  <c r="E18" i="1" l="1"/>
  <c r="D18" i="1"/>
  <c r="AC17" i="1" s="1"/>
  <c r="L18" i="1"/>
  <c r="K18" i="1"/>
  <c r="AG17" i="1" s="1"/>
  <c r="P17" i="1"/>
  <c r="Q15" i="1"/>
  <c r="F17" i="1"/>
  <c r="M17" i="1"/>
  <c r="O17" i="1"/>
  <c r="Y16" i="1" s="1"/>
  <c r="J19" i="1"/>
  <c r="C19" i="1"/>
  <c r="L19" i="1" l="1"/>
  <c r="K19" i="1"/>
  <c r="E19" i="1"/>
  <c r="D19" i="1"/>
  <c r="P18" i="1"/>
  <c r="Q16" i="1"/>
  <c r="AC18" i="1"/>
  <c r="AG18" i="1"/>
  <c r="O18" i="1"/>
  <c r="Y17" i="1" s="1"/>
  <c r="J20" i="1"/>
  <c r="C20" i="1"/>
  <c r="D20" i="1" l="1"/>
  <c r="E20" i="1"/>
  <c r="K20" i="1"/>
  <c r="L20" i="1"/>
  <c r="P19" i="1"/>
  <c r="Q17" i="1"/>
  <c r="AG19" i="1"/>
  <c r="P20" i="1"/>
  <c r="AC19" i="1"/>
  <c r="O19" i="1"/>
  <c r="Y18" i="1" s="1"/>
  <c r="Q18" i="1" l="1"/>
  <c r="O20" i="1"/>
  <c r="Y19" i="1" s="1"/>
  <c r="Q19" i="1" l="1"/>
</calcChain>
</file>

<file path=xl/sharedStrings.xml><?xml version="1.0" encoding="utf-8"?>
<sst xmlns="http://schemas.openxmlformats.org/spreadsheetml/2006/main" count="33" uniqueCount="16">
  <si>
    <t>PAL</t>
  </si>
  <si>
    <t>NTSC</t>
  </si>
  <si>
    <t>Min</t>
  </si>
  <si>
    <t>Max</t>
  </si>
  <si>
    <t>Bit read after CLK low</t>
  </si>
  <si>
    <t xml:space="preserve"> </t>
  </si>
  <si>
    <t>Bit set after CLK low</t>
  </si>
  <si>
    <t>cycles</t>
  </si>
  <si>
    <t>us</t>
  </si>
  <si>
    <t>usMax</t>
  </si>
  <si>
    <t>usMin</t>
  </si>
  <si>
    <t>Margin</t>
  </si>
  <si>
    <t>Observed bit read after CLK low</t>
  </si>
  <si>
    <t>NTSC only</t>
  </si>
  <si>
    <t>PAL+NTSC</t>
  </si>
  <si>
    <t>PAL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</si>
</sst>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B8D0-ADA3-450E-9687-C9B0EF1103A7}">
  <dimension ref="A1:AG20"/>
  <sheetViews>
    <sheetView tabSelected="1" zoomScale="90" zoomScaleNormal="90" workbookViewId="0"/>
  </sheetViews>
  <sheetFormatPr defaultRowHeight="15" x14ac:dyDescent="0.25"/>
  <cols>
    <col min="2" max="2" width="13.140625" customWidth="1"/>
    <col min="4" max="6" width="9.140625" style="1"/>
    <col min="11" max="12" width="9.140625" style="1"/>
    <col min="13" max="13" width="7.7109375" style="1" customWidth="1"/>
  </cols>
  <sheetData>
    <row r="1" spans="1:33" x14ac:dyDescent="0.25">
      <c r="B1">
        <f>17.734475/18</f>
        <v>0.98524861111111106</v>
      </c>
      <c r="I1">
        <f>14.31818/14</f>
        <v>1.0227271428571429</v>
      </c>
      <c r="U1">
        <v>-0.33</v>
      </c>
    </row>
    <row r="2" spans="1:33" s="5" customFormat="1" x14ac:dyDescent="0.25">
      <c r="A2" s="5" t="s">
        <v>0</v>
      </c>
      <c r="D2" s="6"/>
      <c r="E2" s="6"/>
      <c r="F2" s="6"/>
      <c r="H2" s="5" t="s">
        <v>1</v>
      </c>
      <c r="K2" s="6"/>
      <c r="L2" s="6"/>
      <c r="M2" s="6"/>
      <c r="O2" s="5" t="s">
        <v>14</v>
      </c>
      <c r="S2" s="5" t="s">
        <v>14</v>
      </c>
      <c r="U2" s="7" t="s">
        <v>5</v>
      </c>
      <c r="W2" s="5" t="s">
        <v>14</v>
      </c>
      <c r="AA2" s="5" t="s">
        <v>15</v>
      </c>
      <c r="AE2" s="5" t="s">
        <v>13</v>
      </c>
    </row>
    <row r="3" spans="1:33" x14ac:dyDescent="0.25">
      <c r="B3">
        <f>1/B1</f>
        <v>1.014972250376738</v>
      </c>
      <c r="C3" s="2" t="s">
        <v>7</v>
      </c>
      <c r="D3" s="3" t="s">
        <v>10</v>
      </c>
      <c r="E3" s="3" t="s">
        <v>9</v>
      </c>
      <c r="I3">
        <f>1/I1</f>
        <v>0.97777790194005099</v>
      </c>
      <c r="J3" s="2" t="s">
        <v>7</v>
      </c>
      <c r="K3" s="3" t="s">
        <v>10</v>
      </c>
      <c r="L3" s="3" t="s">
        <v>9</v>
      </c>
      <c r="O3" t="s">
        <v>4</v>
      </c>
      <c r="S3" t="s">
        <v>12</v>
      </c>
      <c r="X3" t="s">
        <v>6</v>
      </c>
      <c r="AB3" t="s">
        <v>6</v>
      </c>
      <c r="AF3" t="s">
        <v>6</v>
      </c>
    </row>
    <row r="4" spans="1:33" x14ac:dyDescent="0.25">
      <c r="C4">
        <v>0</v>
      </c>
      <c r="J4">
        <v>0</v>
      </c>
      <c r="O4" s="2" t="s">
        <v>2</v>
      </c>
      <c r="P4" s="2" t="s">
        <v>3</v>
      </c>
      <c r="Q4" s="2" t="s">
        <v>11</v>
      </c>
      <c r="S4" s="2" t="s">
        <v>2</v>
      </c>
      <c r="T4" s="2" t="s">
        <v>3</v>
      </c>
      <c r="U4" s="2" t="s">
        <v>11</v>
      </c>
      <c r="V4" s="2"/>
      <c r="X4" s="2" t="s">
        <v>8</v>
      </c>
      <c r="Y4" s="2" t="s">
        <v>11</v>
      </c>
      <c r="AA4" s="2"/>
      <c r="AB4" s="2" t="s">
        <v>8</v>
      </c>
      <c r="AC4" s="2" t="s">
        <v>11</v>
      </c>
      <c r="AD4" s="2"/>
      <c r="AE4" s="2"/>
      <c r="AF4" s="2" t="s">
        <v>8</v>
      </c>
      <c r="AG4" s="2" t="s">
        <v>11</v>
      </c>
    </row>
    <row r="5" spans="1:33" x14ac:dyDescent="0.25">
      <c r="A5">
        <v>1</v>
      </c>
      <c r="B5">
        <v>13</v>
      </c>
      <c r="C5">
        <f>C4+B5</f>
        <v>13</v>
      </c>
      <c r="D5" s="1">
        <f>(C5)*B$3</f>
        <v>13.194639254897593</v>
      </c>
      <c r="E5" s="1">
        <f>(C5+7)*B$3</f>
        <v>20.299445007534761</v>
      </c>
      <c r="H5">
        <v>1</v>
      </c>
      <c r="I5">
        <v>13</v>
      </c>
      <c r="J5">
        <f>J4+I5</f>
        <v>13</v>
      </c>
      <c r="K5" s="1">
        <f t="shared" ref="K5:K20" si="0">(J5)*I$3</f>
        <v>12.711112725220662</v>
      </c>
      <c r="L5" s="1">
        <f t="shared" ref="L5:L20" si="1">(J5+7)*I$3</f>
        <v>19.555558038801021</v>
      </c>
      <c r="O5" s="1">
        <f t="shared" ref="O5:O20" si="2">MIN(K5,D5)</f>
        <v>12.711112725220662</v>
      </c>
      <c r="P5" s="1">
        <f>MAX(E5,L5)</f>
        <v>20.299445007534761</v>
      </c>
      <c r="Q5" s="1">
        <f>O6-P5</f>
        <v>5.0748612518836893</v>
      </c>
      <c r="S5" s="1">
        <f>$U$1+13.02</f>
        <v>12.69</v>
      </c>
      <c r="T5" s="1">
        <f>$U$1+20.64</f>
        <v>20.310000000000002</v>
      </c>
      <c r="U5" s="1">
        <f t="shared" ref="U5:U19" si="3">S6-T5</f>
        <v>5.0599999999999987</v>
      </c>
      <c r="X5" s="5">
        <v>20.5</v>
      </c>
      <c r="Y5" s="1">
        <f>O6-X5</f>
        <v>4.8743062594184501</v>
      </c>
      <c r="AB5" s="5">
        <v>21</v>
      </c>
      <c r="AC5" s="1">
        <f>D6-AB5</f>
        <v>4.3743062594184501</v>
      </c>
      <c r="AF5" s="5">
        <v>20</v>
      </c>
      <c r="AG5" s="1">
        <f>K6-AF5</f>
        <v>6.4000033523813755</v>
      </c>
    </row>
    <row r="6" spans="1:33" x14ac:dyDescent="0.25">
      <c r="B6">
        <v>12</v>
      </c>
      <c r="C6">
        <f t="shared" ref="C6:C8" si="4">C5+B6</f>
        <v>25</v>
      </c>
      <c r="D6" s="1">
        <f t="shared" ref="D6:D20" si="5">(C6)*B$3</f>
        <v>25.37430625941845</v>
      </c>
      <c r="E6" s="1">
        <f t="shared" ref="E6:E20" si="6">(C6+7)*B$3</f>
        <v>32.479112012055616</v>
      </c>
      <c r="F6" s="1">
        <f>D6-D5</f>
        <v>12.179667004520857</v>
      </c>
      <c r="I6">
        <v>14</v>
      </c>
      <c r="J6">
        <f t="shared" ref="J6:J8" si="7">J5+I6</f>
        <v>27</v>
      </c>
      <c r="K6" s="1">
        <f t="shared" si="0"/>
        <v>26.400003352381376</v>
      </c>
      <c r="L6" s="1">
        <f t="shared" si="1"/>
        <v>33.244448665961734</v>
      </c>
      <c r="M6" s="1">
        <f>K6-K5</f>
        <v>13.688890627160713</v>
      </c>
      <c r="O6" s="1">
        <f t="shared" si="2"/>
        <v>25.37430625941845</v>
      </c>
      <c r="P6" s="1">
        <f t="shared" ref="P6:P20" si="8">MAX(E6,L6)</f>
        <v>33.244448665961734</v>
      </c>
      <c r="Q6" s="1">
        <f t="shared" ref="Q6:Q19" si="9">O7-P6</f>
        <v>4.3095245979775711</v>
      </c>
      <c r="R6" s="1"/>
      <c r="S6" s="1">
        <f>$U$1+25.7</f>
        <v>25.37</v>
      </c>
      <c r="T6" s="1">
        <f>$U$1+33.58</f>
        <v>33.25</v>
      </c>
      <c r="U6" s="1">
        <f t="shared" si="3"/>
        <v>4.3000000000000043</v>
      </c>
      <c r="V6" s="1"/>
      <c r="W6" s="5">
        <v>13</v>
      </c>
      <c r="X6" s="4">
        <f>X5+W$6</f>
        <v>33.5</v>
      </c>
      <c r="Y6" s="1">
        <f>O7-X6</f>
        <v>4.0539732639393051</v>
      </c>
      <c r="AA6" s="5">
        <v>12.5</v>
      </c>
      <c r="AB6" s="4">
        <f>AB5+AA$6</f>
        <v>33.5</v>
      </c>
      <c r="AC6" s="1">
        <f>D7-AB6</f>
        <v>4.0539732639393051</v>
      </c>
      <c r="AE6" s="5">
        <v>14</v>
      </c>
      <c r="AF6" s="4">
        <f>AF5+AE$6</f>
        <v>34</v>
      </c>
      <c r="AG6" s="1">
        <f>K7-AF6</f>
        <v>4.13333817566199</v>
      </c>
    </row>
    <row r="7" spans="1:33" x14ac:dyDescent="0.25">
      <c r="B7">
        <v>12</v>
      </c>
      <c r="C7">
        <f t="shared" si="4"/>
        <v>37</v>
      </c>
      <c r="D7" s="1">
        <f t="shared" si="5"/>
        <v>37.553973263939305</v>
      </c>
      <c r="E7" s="1">
        <f t="shared" si="6"/>
        <v>44.658779016576474</v>
      </c>
      <c r="F7" s="1">
        <f>D7-D5</f>
        <v>24.35933400904171</v>
      </c>
      <c r="I7">
        <v>12</v>
      </c>
      <c r="J7">
        <f t="shared" si="7"/>
        <v>39</v>
      </c>
      <c r="K7" s="1">
        <f t="shared" si="0"/>
        <v>38.13333817566199</v>
      </c>
      <c r="L7" s="1">
        <f t="shared" si="1"/>
        <v>44.977783489242348</v>
      </c>
      <c r="M7" s="1">
        <f>K7-K5</f>
        <v>25.422225450441328</v>
      </c>
      <c r="O7" s="1">
        <f t="shared" si="2"/>
        <v>37.553973263939305</v>
      </c>
      <c r="P7" s="1">
        <f t="shared" si="8"/>
        <v>44.977783489242348</v>
      </c>
      <c r="Q7" s="1">
        <f t="shared" si="9"/>
        <v>4.7558567792178152</v>
      </c>
      <c r="R7" s="1"/>
      <c r="S7" s="1">
        <f>$U$1+37.88</f>
        <v>37.550000000000004</v>
      </c>
      <c r="T7" s="1">
        <f>$U$1+45.3</f>
        <v>44.97</v>
      </c>
      <c r="U7" s="1">
        <f t="shared" si="3"/>
        <v>4.7600000000000051</v>
      </c>
      <c r="V7" s="1"/>
      <c r="W7" s="5">
        <v>25</v>
      </c>
      <c r="X7" s="4">
        <f>X5+W$7</f>
        <v>45.5</v>
      </c>
      <c r="Y7" s="1">
        <f>O8-X7</f>
        <v>4.2336402684601637</v>
      </c>
      <c r="AA7" s="5">
        <v>24.5</v>
      </c>
      <c r="AB7" s="4">
        <f>AB5+AA$7</f>
        <v>45.5</v>
      </c>
      <c r="AC7" s="1">
        <f>D8-AB7</f>
        <v>4.2336402684601637</v>
      </c>
      <c r="AE7" s="5">
        <v>25.5</v>
      </c>
      <c r="AF7" s="4">
        <f>AF5+AE$7</f>
        <v>45.5</v>
      </c>
      <c r="AG7" s="1">
        <f>K8-AF7</f>
        <v>4.3666729989425974</v>
      </c>
    </row>
    <row r="8" spans="1:33" x14ac:dyDescent="0.25">
      <c r="B8">
        <v>12</v>
      </c>
      <c r="C8">
        <f t="shared" si="4"/>
        <v>49</v>
      </c>
      <c r="D8" s="1">
        <f t="shared" si="5"/>
        <v>49.733640268460164</v>
      </c>
      <c r="E8" s="1">
        <f t="shared" si="6"/>
        <v>56.838446021097326</v>
      </c>
      <c r="F8" s="1">
        <f>D8-D5</f>
        <v>36.539001013562569</v>
      </c>
      <c r="I8">
        <v>12</v>
      </c>
      <c r="J8">
        <f t="shared" si="7"/>
        <v>51</v>
      </c>
      <c r="K8" s="1">
        <f t="shared" si="0"/>
        <v>49.866672998942597</v>
      </c>
      <c r="L8" s="1">
        <f t="shared" si="1"/>
        <v>56.711118312522956</v>
      </c>
      <c r="M8" s="1">
        <f>K8-K5</f>
        <v>37.155560273721932</v>
      </c>
      <c r="O8" s="1">
        <f t="shared" si="2"/>
        <v>49.733640268460164</v>
      </c>
      <c r="P8" s="1">
        <f t="shared" si="8"/>
        <v>56.838446021097326</v>
      </c>
      <c r="Q8" s="1">
        <f t="shared" si="9"/>
        <v>6.7171176050059884</v>
      </c>
      <c r="R8" s="1"/>
      <c r="S8" s="1">
        <f>$U$1+50.06</f>
        <v>49.730000000000004</v>
      </c>
      <c r="T8" s="1">
        <f>$U$1+57.18</f>
        <v>56.85</v>
      </c>
      <c r="U8" s="1">
        <f t="shared" si="3"/>
        <v>6.7000000000000028</v>
      </c>
      <c r="V8" s="1"/>
      <c r="W8" s="5">
        <v>37</v>
      </c>
      <c r="X8" s="4">
        <f>X5+W$8</f>
        <v>57.5</v>
      </c>
      <c r="Y8" s="1">
        <f>O9-X8</f>
        <v>6.0555636261033143</v>
      </c>
      <c r="AA8" s="5">
        <v>36.5</v>
      </c>
      <c r="AB8" s="4">
        <f>AB5+AA$8</f>
        <v>57.5</v>
      </c>
      <c r="AC8" s="1">
        <f>D9-AB8</f>
        <v>6.4432517737344952</v>
      </c>
      <c r="AE8" s="5">
        <v>37</v>
      </c>
      <c r="AF8" s="4">
        <f>AF5+AE$8</f>
        <v>57</v>
      </c>
      <c r="AG8" s="1">
        <f>K9-AF8</f>
        <v>6.5555636261033143</v>
      </c>
    </row>
    <row r="9" spans="1:33" x14ac:dyDescent="0.25">
      <c r="A9">
        <v>2</v>
      </c>
      <c r="B9">
        <v>14</v>
      </c>
      <c r="C9">
        <f>C8+B9</f>
        <v>63</v>
      </c>
      <c r="D9" s="1">
        <f t="shared" si="5"/>
        <v>63.943251773734495</v>
      </c>
      <c r="E9" s="1">
        <f t="shared" si="6"/>
        <v>71.048057526371664</v>
      </c>
      <c r="F9" s="6">
        <f>D9-D5</f>
        <v>50.7486125188369</v>
      </c>
      <c r="H9">
        <v>2</v>
      </c>
      <c r="I9">
        <v>14</v>
      </c>
      <c r="J9">
        <f>J8+I9</f>
        <v>65</v>
      </c>
      <c r="K9" s="1">
        <f t="shared" si="0"/>
        <v>63.555563626103314</v>
      </c>
      <c r="L9" s="1">
        <f t="shared" si="1"/>
        <v>70.400008939683673</v>
      </c>
      <c r="M9" s="6">
        <f>K9-K5</f>
        <v>50.844450900882649</v>
      </c>
      <c r="O9" s="1">
        <f t="shared" si="2"/>
        <v>63.555563626103314</v>
      </c>
      <c r="P9" s="1">
        <f t="shared" si="8"/>
        <v>71.048057526371664</v>
      </c>
      <c r="Q9" s="1">
        <f t="shared" si="9"/>
        <v>5.0748612518836893</v>
      </c>
      <c r="S9" s="1">
        <f>$U$1+63.88</f>
        <v>63.550000000000004</v>
      </c>
      <c r="T9" s="1">
        <f>$U$1+71.4</f>
        <v>71.070000000000007</v>
      </c>
      <c r="U9" s="1">
        <f t="shared" si="3"/>
        <v>5.0599999999999881</v>
      </c>
      <c r="X9" s="5">
        <v>71.5</v>
      </c>
      <c r="Y9" s="1">
        <f>O10-X9</f>
        <v>4.6229187782553538</v>
      </c>
      <c r="AB9" s="5">
        <v>71.5</v>
      </c>
      <c r="AC9" s="1">
        <f>D10-AB9</f>
        <v>4.6229187782553538</v>
      </c>
      <c r="AF9" s="5">
        <v>71</v>
      </c>
      <c r="AG9" s="1">
        <f>K10-AF9</f>
        <v>6.2444542532640241</v>
      </c>
    </row>
    <row r="10" spans="1:33" x14ac:dyDescent="0.25">
      <c r="B10">
        <v>12</v>
      </c>
      <c r="C10">
        <f t="shared" ref="C10:C12" si="10">C9+B10</f>
        <v>75</v>
      </c>
      <c r="D10" s="1">
        <f t="shared" si="5"/>
        <v>76.122918778255354</v>
      </c>
      <c r="E10" s="1">
        <f t="shared" si="6"/>
        <v>83.227724530892516</v>
      </c>
      <c r="I10">
        <v>14</v>
      </c>
      <c r="J10">
        <f t="shared" ref="J10:J12" si="11">J9+I10</f>
        <v>79</v>
      </c>
      <c r="K10" s="1">
        <f t="shared" si="0"/>
        <v>77.244454253264024</v>
      </c>
      <c r="L10" s="1">
        <f t="shared" si="1"/>
        <v>84.08889956684439</v>
      </c>
      <c r="O10" s="1">
        <f t="shared" si="2"/>
        <v>76.122918778255354</v>
      </c>
      <c r="P10" s="1">
        <f t="shared" si="8"/>
        <v>84.08889956684439</v>
      </c>
      <c r="Q10" s="1">
        <f t="shared" si="9"/>
        <v>4.2136862159318156</v>
      </c>
      <c r="R10" s="1"/>
      <c r="S10" s="1">
        <f>$U$1+76.46</f>
        <v>76.13</v>
      </c>
      <c r="T10" s="1">
        <f>$U$1+84.42</f>
        <v>84.09</v>
      </c>
      <c r="U10" s="1">
        <f t="shared" si="3"/>
        <v>4.2199999999999989</v>
      </c>
      <c r="V10" s="1"/>
      <c r="W10" s="4">
        <f>W6</f>
        <v>13</v>
      </c>
      <c r="X10" s="4">
        <f>X9+W$6</f>
        <v>84.5</v>
      </c>
      <c r="Y10" s="1">
        <f>O11-X10</f>
        <v>3.8025857827762053</v>
      </c>
      <c r="AB10" s="4">
        <f>AB9+AA$6</f>
        <v>84</v>
      </c>
      <c r="AC10" s="1">
        <f>D11-AB10</f>
        <v>4.3025857827762053</v>
      </c>
      <c r="AE10" s="4">
        <f>AE6</f>
        <v>14</v>
      </c>
      <c r="AF10" s="4">
        <f>AF9+AE$6</f>
        <v>85</v>
      </c>
      <c r="AG10" s="1">
        <f>K11-AF10</f>
        <v>3.9777890765446386</v>
      </c>
    </row>
    <row r="11" spans="1:33" x14ac:dyDescent="0.25">
      <c r="B11">
        <v>12</v>
      </c>
      <c r="C11">
        <f t="shared" si="10"/>
        <v>87</v>
      </c>
      <c r="D11" s="1">
        <f t="shared" si="5"/>
        <v>88.302585782776205</v>
      </c>
      <c r="E11" s="1">
        <f t="shared" si="6"/>
        <v>95.407391535413367</v>
      </c>
      <c r="I11">
        <v>12</v>
      </c>
      <c r="J11">
        <f t="shared" si="11"/>
        <v>91</v>
      </c>
      <c r="K11" s="1">
        <f t="shared" si="0"/>
        <v>88.977789076544639</v>
      </c>
      <c r="L11" s="1">
        <f t="shared" si="1"/>
        <v>95.82223439012499</v>
      </c>
      <c r="O11" s="1">
        <f t="shared" si="2"/>
        <v>88.302585782776205</v>
      </c>
      <c r="P11" s="1">
        <f t="shared" si="8"/>
        <v>95.82223439012499</v>
      </c>
      <c r="Q11" s="1">
        <f t="shared" si="9"/>
        <v>4.6600183971720668</v>
      </c>
      <c r="R11" s="1"/>
      <c r="S11" s="1">
        <f>$U$1+88.64</f>
        <v>88.31</v>
      </c>
      <c r="T11" s="1">
        <f>$U$1+96.16</f>
        <v>95.83</v>
      </c>
      <c r="U11" s="1">
        <f t="shared" si="3"/>
        <v>4.6599999999999966</v>
      </c>
      <c r="V11" s="1"/>
      <c r="W11" s="4">
        <f>W7</f>
        <v>25</v>
      </c>
      <c r="X11" s="4">
        <f>X9+W$7</f>
        <v>96.5</v>
      </c>
      <c r="Y11" s="1">
        <f>O12-X11</f>
        <v>3.9822527872970568</v>
      </c>
      <c r="AB11" s="4">
        <f>AB9+AA$7</f>
        <v>96</v>
      </c>
      <c r="AC11" s="1">
        <f>D12-AB11</f>
        <v>4.4822527872970568</v>
      </c>
      <c r="AE11" s="4">
        <f>AE7</f>
        <v>25.5</v>
      </c>
      <c r="AF11" s="4">
        <f>AF9+AE$7</f>
        <v>96.5</v>
      </c>
      <c r="AG11" s="1">
        <f>K12-AF11</f>
        <v>4.2111238998252531</v>
      </c>
    </row>
    <row r="12" spans="1:33" x14ac:dyDescent="0.25">
      <c r="B12">
        <v>12</v>
      </c>
      <c r="C12">
        <f t="shared" si="10"/>
        <v>99</v>
      </c>
      <c r="D12" s="1">
        <f t="shared" si="5"/>
        <v>100.48225278729706</v>
      </c>
      <c r="E12" s="1">
        <f t="shared" si="6"/>
        <v>107.58705853993423</v>
      </c>
      <c r="I12">
        <v>12</v>
      </c>
      <c r="J12">
        <f t="shared" si="11"/>
        <v>103</v>
      </c>
      <c r="K12" s="1">
        <f t="shared" si="0"/>
        <v>100.71112389982525</v>
      </c>
      <c r="L12" s="1">
        <f t="shared" si="1"/>
        <v>107.5555692134056</v>
      </c>
      <c r="O12" s="1">
        <f t="shared" si="2"/>
        <v>100.48225278729706</v>
      </c>
      <c r="P12" s="1">
        <f t="shared" si="8"/>
        <v>107.58705853993423</v>
      </c>
      <c r="Q12" s="1">
        <f t="shared" si="9"/>
        <v>6.8129559870517369</v>
      </c>
      <c r="R12" s="1"/>
      <c r="S12" s="1">
        <f>$U$1+100.82</f>
        <v>100.49</v>
      </c>
      <c r="T12" s="1">
        <f>$U$1+107.94</f>
        <v>107.61</v>
      </c>
      <c r="U12" s="1">
        <f t="shared" si="3"/>
        <v>6.7800000000000011</v>
      </c>
      <c r="V12" s="1"/>
      <c r="W12" s="4">
        <f>W8</f>
        <v>37</v>
      </c>
      <c r="X12" s="4">
        <f>X9+W$8</f>
        <v>108.5</v>
      </c>
      <c r="Y12" s="1">
        <f>O13-X12</f>
        <v>5.9000145269859701</v>
      </c>
      <c r="AB12" s="4">
        <f>AB9+AA$8</f>
        <v>108</v>
      </c>
      <c r="AC12" s="1">
        <f>D13-AB12</f>
        <v>6.6918642925713954</v>
      </c>
      <c r="AE12" s="4">
        <f>AE8</f>
        <v>37</v>
      </c>
      <c r="AF12" s="4">
        <f>AF9+AE$8</f>
        <v>108</v>
      </c>
      <c r="AG12" s="1">
        <f>K13-AF12</f>
        <v>6.4000145269859701</v>
      </c>
    </row>
    <row r="13" spans="1:33" x14ac:dyDescent="0.25">
      <c r="A13">
        <v>3</v>
      </c>
      <c r="B13">
        <v>14</v>
      </c>
      <c r="C13">
        <f>C12+B13</f>
        <v>113</v>
      </c>
      <c r="D13" s="1">
        <f t="shared" si="5"/>
        <v>114.6918642925714</v>
      </c>
      <c r="E13" s="1">
        <f t="shared" si="6"/>
        <v>121.79667004520856</v>
      </c>
      <c r="F13" s="6">
        <f>D13-D9</f>
        <v>50.7486125188369</v>
      </c>
      <c r="H13">
        <v>3</v>
      </c>
      <c r="I13">
        <v>14</v>
      </c>
      <c r="J13">
        <f>J12+I13</f>
        <v>117</v>
      </c>
      <c r="K13" s="1">
        <f t="shared" si="0"/>
        <v>114.40001452698597</v>
      </c>
      <c r="L13" s="1">
        <f t="shared" si="1"/>
        <v>121.24445984056632</v>
      </c>
      <c r="M13" s="6">
        <f>K13-K9</f>
        <v>50.844450900882656</v>
      </c>
      <c r="O13" s="1">
        <f t="shared" si="2"/>
        <v>114.40001452698597</v>
      </c>
      <c r="P13" s="1">
        <f t="shared" si="8"/>
        <v>121.79667004520856</v>
      </c>
      <c r="Q13" s="1">
        <f t="shared" si="9"/>
        <v>5.0748612518836893</v>
      </c>
      <c r="S13" s="1">
        <f>$U$1+114.72</f>
        <v>114.39</v>
      </c>
      <c r="T13" s="1">
        <f>$U$1+122.14</f>
        <v>121.81</v>
      </c>
      <c r="U13" s="1">
        <f t="shared" si="3"/>
        <v>5.0600000000000023</v>
      </c>
      <c r="W13" s="4"/>
      <c r="X13" s="5">
        <v>122.5</v>
      </c>
      <c r="Y13" s="1">
        <f>O14-X13</f>
        <v>4.3715312970922469</v>
      </c>
      <c r="AB13" s="5">
        <v>122.5</v>
      </c>
      <c r="AC13" s="1">
        <f>D14-AB13</f>
        <v>4.3715312970922469</v>
      </c>
      <c r="AE13" s="4"/>
      <c r="AF13" s="5">
        <v>121.75</v>
      </c>
      <c r="AG13" s="1">
        <f>K14-AF13</f>
        <v>6.338905154146687</v>
      </c>
    </row>
    <row r="14" spans="1:33" x14ac:dyDescent="0.25">
      <c r="B14">
        <v>12</v>
      </c>
      <c r="C14">
        <f t="shared" ref="C14:C16" si="12">C13+B14</f>
        <v>125</v>
      </c>
      <c r="D14" s="1">
        <f t="shared" si="5"/>
        <v>126.87153129709225</v>
      </c>
      <c r="E14" s="1">
        <f t="shared" si="6"/>
        <v>133.97633704972941</v>
      </c>
      <c r="I14">
        <v>14</v>
      </c>
      <c r="J14">
        <f t="shared" ref="J14:J16" si="13">J13+I14</f>
        <v>131</v>
      </c>
      <c r="K14" s="1">
        <f t="shared" si="0"/>
        <v>128.08890515414669</v>
      </c>
      <c r="L14" s="1">
        <f t="shared" si="1"/>
        <v>134.93335046772702</v>
      </c>
      <c r="O14" s="1">
        <f t="shared" si="2"/>
        <v>126.87153129709225</v>
      </c>
      <c r="P14" s="1">
        <f t="shared" si="8"/>
        <v>134.93335046772702</v>
      </c>
      <c r="Q14" s="1">
        <f t="shared" si="9"/>
        <v>4.1178478338860884</v>
      </c>
      <c r="R14" s="1"/>
      <c r="S14" s="1">
        <f>$U$1+127.2</f>
        <v>126.87</v>
      </c>
      <c r="T14" s="1">
        <f>$U$1+135.26</f>
        <v>134.92999999999998</v>
      </c>
      <c r="U14" s="1">
        <f t="shared" si="3"/>
        <v>4.1200000000000045</v>
      </c>
      <c r="V14" s="1"/>
      <c r="W14" s="4">
        <f>W10</f>
        <v>13</v>
      </c>
      <c r="X14" s="4">
        <f>X13+W$6</f>
        <v>135.5</v>
      </c>
      <c r="Y14" s="1">
        <f>O15-X14</f>
        <v>3.5511983016131126</v>
      </c>
      <c r="AB14" s="4">
        <f>AB13+AA$6</f>
        <v>135</v>
      </c>
      <c r="AC14" s="1">
        <f>D15-AB14</f>
        <v>4.0511983016131126</v>
      </c>
      <c r="AE14" s="4">
        <f>AE10</f>
        <v>14</v>
      </c>
      <c r="AF14" s="4">
        <f>AF13+AE$6</f>
        <v>135.75</v>
      </c>
      <c r="AG14" s="1">
        <f>K15-AF14</f>
        <v>4.0722399774273015</v>
      </c>
    </row>
    <row r="15" spans="1:33" x14ac:dyDescent="0.25">
      <c r="B15">
        <v>12</v>
      </c>
      <c r="C15">
        <f t="shared" si="12"/>
        <v>137</v>
      </c>
      <c r="D15" s="1">
        <f t="shared" si="5"/>
        <v>139.05119830161311</v>
      </c>
      <c r="E15" s="1">
        <f t="shared" si="6"/>
        <v>146.15600405425027</v>
      </c>
      <c r="I15">
        <v>12</v>
      </c>
      <c r="J15">
        <f t="shared" si="13"/>
        <v>143</v>
      </c>
      <c r="K15" s="1">
        <f t="shared" si="0"/>
        <v>139.8222399774273</v>
      </c>
      <c r="L15" s="1">
        <f t="shared" si="1"/>
        <v>146.66668529100764</v>
      </c>
      <c r="O15" s="1">
        <f t="shared" si="2"/>
        <v>139.05119830161311</v>
      </c>
      <c r="P15" s="1">
        <f t="shared" si="8"/>
        <v>146.66668529100764</v>
      </c>
      <c r="Q15" s="1">
        <f t="shared" si="9"/>
        <v>4.5641800151263112</v>
      </c>
      <c r="R15" s="1"/>
      <c r="S15" s="1">
        <f>$U$1+139.38</f>
        <v>139.04999999999998</v>
      </c>
      <c r="T15" s="1">
        <f>$U$1+147</f>
        <v>146.66999999999999</v>
      </c>
      <c r="U15" s="1">
        <f t="shared" si="3"/>
        <v>4.5600000000000023</v>
      </c>
      <c r="V15" s="1"/>
      <c r="W15" s="4">
        <f>W11</f>
        <v>25</v>
      </c>
      <c r="X15" s="4">
        <f>X13+W$7</f>
        <v>147.5</v>
      </c>
      <c r="Y15" s="1">
        <f>O16-X15</f>
        <v>3.7308653061339498</v>
      </c>
      <c r="AB15" s="4">
        <f>AB13+AA$7</f>
        <v>147</v>
      </c>
      <c r="AC15" s="1">
        <f>D16-AB15</f>
        <v>4.2308653061339498</v>
      </c>
      <c r="AE15" s="4">
        <f>AE11</f>
        <v>25.5</v>
      </c>
      <c r="AF15" s="4">
        <f>AF13+AE$7</f>
        <v>147.25</v>
      </c>
      <c r="AG15" s="1">
        <f>K16-AF15</f>
        <v>4.305574800707916</v>
      </c>
    </row>
    <row r="16" spans="1:33" x14ac:dyDescent="0.25">
      <c r="B16">
        <v>12</v>
      </c>
      <c r="C16">
        <f t="shared" si="12"/>
        <v>149</v>
      </c>
      <c r="D16" s="1">
        <f t="shared" si="5"/>
        <v>151.23086530613395</v>
      </c>
      <c r="E16" s="1">
        <f t="shared" si="6"/>
        <v>158.33567105877114</v>
      </c>
      <c r="I16">
        <v>12</v>
      </c>
      <c r="J16">
        <f t="shared" si="13"/>
        <v>155</v>
      </c>
      <c r="K16" s="1">
        <f t="shared" si="0"/>
        <v>151.55557480070792</v>
      </c>
      <c r="L16" s="1">
        <f t="shared" si="1"/>
        <v>158.40002011428825</v>
      </c>
      <c r="O16" s="1">
        <f t="shared" si="2"/>
        <v>151.23086530613395</v>
      </c>
      <c r="P16" s="1">
        <f t="shared" si="8"/>
        <v>158.40002011428825</v>
      </c>
      <c r="Q16" s="1">
        <f t="shared" si="9"/>
        <v>6.8444453135803656</v>
      </c>
      <c r="R16" s="1"/>
      <c r="S16" s="1">
        <f>$U$1+151.56</f>
        <v>151.22999999999999</v>
      </c>
      <c r="T16" s="1">
        <f>$U$1+158.72</f>
        <v>158.38999999999999</v>
      </c>
      <c r="U16" s="1">
        <f t="shared" si="3"/>
        <v>6.8400000000000034</v>
      </c>
      <c r="V16" s="1"/>
      <c r="W16" s="4">
        <f>W12</f>
        <v>37</v>
      </c>
      <c r="X16" s="4">
        <f>X13+W$8</f>
        <v>159.5</v>
      </c>
      <c r="Y16" s="1">
        <f>O17-X16</f>
        <v>5.7444654278686187</v>
      </c>
      <c r="AB16" s="4">
        <f>AB13+AA$8</f>
        <v>159</v>
      </c>
      <c r="AC16" s="1">
        <f>D17-AB16</f>
        <v>6.4404768114083026</v>
      </c>
      <c r="AE16" s="4">
        <f>AE12</f>
        <v>37</v>
      </c>
      <c r="AF16" s="4">
        <f>AF13+AE$8</f>
        <v>158.75</v>
      </c>
      <c r="AG16" s="1">
        <f>K17-AF16</f>
        <v>6.4944654278686187</v>
      </c>
    </row>
    <row r="17" spans="1:33" x14ac:dyDescent="0.25">
      <c r="A17">
        <v>4</v>
      </c>
      <c r="B17">
        <v>14</v>
      </c>
      <c r="C17">
        <f>C16+B17</f>
        <v>163</v>
      </c>
      <c r="D17" s="1">
        <f t="shared" si="5"/>
        <v>165.4404768114083</v>
      </c>
      <c r="E17" s="1">
        <f t="shared" si="6"/>
        <v>172.54528256404546</v>
      </c>
      <c r="F17" s="6">
        <f>D17-D13</f>
        <v>50.748612518836907</v>
      </c>
      <c r="H17">
        <v>4</v>
      </c>
      <c r="I17">
        <v>14</v>
      </c>
      <c r="J17">
        <f>J16+I17</f>
        <v>169</v>
      </c>
      <c r="K17" s="1">
        <f t="shared" si="0"/>
        <v>165.24446542786862</v>
      </c>
      <c r="L17" s="1">
        <f t="shared" si="1"/>
        <v>172.08891074144898</v>
      </c>
      <c r="M17" s="6">
        <f>K17-K13</f>
        <v>50.844450900882649</v>
      </c>
      <c r="O17" s="1">
        <f t="shared" si="2"/>
        <v>165.24446542786862</v>
      </c>
      <c r="P17" s="1">
        <f t="shared" si="8"/>
        <v>172.54528256404546</v>
      </c>
      <c r="Q17" s="1">
        <f t="shared" si="9"/>
        <v>5.0748612518836751</v>
      </c>
      <c r="S17" s="1">
        <f>$U$1+165.56</f>
        <v>165.23</v>
      </c>
      <c r="T17" s="1">
        <f>$U$1+172.9</f>
        <v>172.57</v>
      </c>
      <c r="U17" s="1">
        <f t="shared" si="3"/>
        <v>5.0600000000000023</v>
      </c>
      <c r="W17" s="4"/>
      <c r="X17" s="5">
        <v>173</v>
      </c>
      <c r="Y17" s="1">
        <f>O18-X17</f>
        <v>4.6201438159291399</v>
      </c>
      <c r="AB17" s="5">
        <v>173</v>
      </c>
      <c r="AC17" s="1">
        <f>D18-AB17</f>
        <v>4.6201438159291399</v>
      </c>
      <c r="AE17" s="4"/>
      <c r="AF17" s="5">
        <v>172.5</v>
      </c>
      <c r="AG17" s="1">
        <f>K18-AF17</f>
        <v>6.4333560550293214</v>
      </c>
    </row>
    <row r="18" spans="1:33" x14ac:dyDescent="0.25">
      <c r="B18">
        <v>12</v>
      </c>
      <c r="C18">
        <f t="shared" ref="C18:C20" si="14">C17+B18</f>
        <v>175</v>
      </c>
      <c r="D18" s="1">
        <f t="shared" si="5"/>
        <v>177.62014381592914</v>
      </c>
      <c r="E18" s="1">
        <f t="shared" si="6"/>
        <v>184.7249495685663</v>
      </c>
      <c r="I18">
        <v>14</v>
      </c>
      <c r="J18">
        <f t="shared" ref="J18:J20" si="15">J17+I18</f>
        <v>183</v>
      </c>
      <c r="K18" s="1">
        <f t="shared" si="0"/>
        <v>178.93335605502932</v>
      </c>
      <c r="L18" s="1">
        <f t="shared" si="1"/>
        <v>185.77780136860969</v>
      </c>
      <c r="O18" s="1">
        <f t="shared" si="2"/>
        <v>177.62014381592914</v>
      </c>
      <c r="P18" s="1">
        <f t="shared" si="8"/>
        <v>185.77780136860969</v>
      </c>
      <c r="Q18" s="1">
        <f t="shared" si="9"/>
        <v>4.0220094518403187</v>
      </c>
      <c r="R18" s="1"/>
      <c r="S18" s="1">
        <f>$U$1+177.96</f>
        <v>177.63</v>
      </c>
      <c r="T18" s="1">
        <f>$U$1+186.1</f>
        <v>185.76999999999998</v>
      </c>
      <c r="U18" s="1">
        <f t="shared" si="3"/>
        <v>4.039999999999992</v>
      </c>
      <c r="V18" s="1"/>
      <c r="W18" s="4">
        <f>W14</f>
        <v>13</v>
      </c>
      <c r="X18" s="4">
        <f>X17+W$6</f>
        <v>186</v>
      </c>
      <c r="Y18" s="1">
        <f>O19-X18</f>
        <v>3.7998108204500056</v>
      </c>
      <c r="AB18" s="4">
        <f>AB17+AA$6</f>
        <v>185.5</v>
      </c>
      <c r="AC18" s="1">
        <f>D19-AB18</f>
        <v>4.2998108204500056</v>
      </c>
      <c r="AE18" s="4">
        <f>AE14</f>
        <v>14</v>
      </c>
      <c r="AF18" s="4">
        <f>AF17+AE$6</f>
        <v>186.5</v>
      </c>
      <c r="AG18" s="1">
        <f>K19-AF18</f>
        <v>4.1666908783099359</v>
      </c>
    </row>
    <row r="19" spans="1:33" x14ac:dyDescent="0.25">
      <c r="B19">
        <v>12</v>
      </c>
      <c r="C19">
        <f t="shared" si="14"/>
        <v>187</v>
      </c>
      <c r="D19" s="1">
        <f t="shared" si="5"/>
        <v>189.79981082045001</v>
      </c>
      <c r="E19" s="1">
        <f t="shared" si="6"/>
        <v>196.90461657308717</v>
      </c>
      <c r="I19">
        <v>12</v>
      </c>
      <c r="J19">
        <f t="shared" si="15"/>
        <v>195</v>
      </c>
      <c r="K19" s="1">
        <f t="shared" si="0"/>
        <v>190.66669087830994</v>
      </c>
      <c r="L19" s="1">
        <f t="shared" si="1"/>
        <v>197.5111361918903</v>
      </c>
      <c r="O19" s="1">
        <f t="shared" si="2"/>
        <v>189.79981082045001</v>
      </c>
      <c r="P19" s="1">
        <f t="shared" si="8"/>
        <v>197.5111361918903</v>
      </c>
      <c r="Q19" s="1">
        <f t="shared" si="9"/>
        <v>4.4683416330805699</v>
      </c>
      <c r="R19" s="1"/>
      <c r="S19" s="1">
        <f>$U$1+190.14</f>
        <v>189.80999999999997</v>
      </c>
      <c r="T19" s="1">
        <f>$U$1+197.84</f>
        <v>197.51</v>
      </c>
      <c r="U19" s="1">
        <f t="shared" si="3"/>
        <v>4.4799999999999898</v>
      </c>
      <c r="V19" s="1"/>
      <c r="W19" s="4">
        <f>W15</f>
        <v>25</v>
      </c>
      <c r="X19" s="4">
        <f>X17+W$7</f>
        <v>198</v>
      </c>
      <c r="Y19" s="1">
        <f>O20-X19</f>
        <v>3.9794778249708713</v>
      </c>
      <c r="AB19" s="4">
        <f>AB17+AA$7</f>
        <v>197.5</v>
      </c>
      <c r="AC19" s="1">
        <f>D20-AB19</f>
        <v>4.4794778249708713</v>
      </c>
      <c r="AE19" s="4">
        <f>AE15</f>
        <v>25.5</v>
      </c>
      <c r="AF19" s="4">
        <f>AF17+AE$7</f>
        <v>198</v>
      </c>
      <c r="AG19" s="1">
        <f>K20-AF19</f>
        <v>4.4000257015905504</v>
      </c>
    </row>
    <row r="20" spans="1:33" x14ac:dyDescent="0.25">
      <c r="B20">
        <v>12</v>
      </c>
      <c r="C20">
        <f t="shared" si="14"/>
        <v>199</v>
      </c>
      <c r="D20" s="1">
        <f t="shared" si="5"/>
        <v>201.97947782497087</v>
      </c>
      <c r="E20" s="1">
        <f t="shared" si="6"/>
        <v>209.08428357760803</v>
      </c>
      <c r="I20">
        <v>12</v>
      </c>
      <c r="J20">
        <f t="shared" si="15"/>
        <v>207</v>
      </c>
      <c r="K20" s="1">
        <f t="shared" si="0"/>
        <v>202.40002570159055</v>
      </c>
      <c r="L20" s="1">
        <f t="shared" si="1"/>
        <v>209.24447101517092</v>
      </c>
      <c r="O20" s="1">
        <f t="shared" si="2"/>
        <v>201.97947782497087</v>
      </c>
      <c r="P20" s="1">
        <f t="shared" si="8"/>
        <v>209.24447101517092</v>
      </c>
      <c r="Q20" s="1"/>
      <c r="R20" s="1"/>
      <c r="S20" s="1">
        <f>$U$1+202.32</f>
        <v>201.98999999999998</v>
      </c>
      <c r="T20" s="1">
        <f>$U$1+209.58</f>
        <v>209.25</v>
      </c>
      <c r="U20" s="1"/>
      <c r="V20" s="1"/>
      <c r="W20" s="4">
        <f>W16</f>
        <v>37</v>
      </c>
      <c r="X20" s="4">
        <f>X17+W$8</f>
        <v>210</v>
      </c>
      <c r="Y20" s="1" t="s">
        <v>5</v>
      </c>
      <c r="AB20" s="4">
        <f>AB17+AA$8</f>
        <v>209.5</v>
      </c>
      <c r="AC20" s="1"/>
      <c r="AE20" s="4">
        <f>AE16</f>
        <v>37</v>
      </c>
      <c r="AF20" s="4">
        <f>AF17+AE$8</f>
        <v>209.5</v>
      </c>
      <c r="AG20" s="1" t="s">
        <v>5</v>
      </c>
    </row>
  </sheetData>
  <conditionalFormatting sqref="X5:X20">
    <cfRule type="expression" dxfId="2" priority="7">
      <formula>X5&lt;P5</formula>
    </cfRule>
  </conditionalFormatting>
  <conditionalFormatting sqref="AB5:AB19">
    <cfRule type="expression" dxfId="1" priority="1">
      <formula>AB5&lt;E5</formula>
    </cfRule>
  </conditionalFormatting>
  <conditionalFormatting sqref="AF5:AF19">
    <cfRule type="expression" dxfId="0" priority="6">
      <formula>AF5&lt;L5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Hansel</dc:creator>
  <cp:lastModifiedBy>David Hansel</cp:lastModifiedBy>
  <dcterms:created xsi:type="dcterms:W3CDTF">2025-08-20T13:25:15Z</dcterms:created>
  <dcterms:modified xsi:type="dcterms:W3CDTF">2025-08-22T23:58:41Z</dcterms:modified>
</cp:coreProperties>
</file>