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нейное" sheetId="1" state="visible" r:id="rId1"/>
    <sheet name="Гипербола" sheetId="2" state="visible" r:id="rId2"/>
    <sheet name="Степенная" sheetId="3" state="visible" r:id="rId3"/>
    <sheet name="Экспоненциальная и показательна" sheetId="4" state="visible" r:id="rId4"/>
  </sheets>
  <definedNames>
    <definedName name="_xlnm._FilterDatabase" localSheetId="1" hidden="1">'Гипербола'!$O$37:$O$63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<sst xmlns="http://schemas.openxmlformats.org/spreadsheetml/2006/main" count="111" uniqueCount="111">
  <si>
    <t xml:space="preserve"> x</t>
  </si>
  <si>
    <t xml:space="preserve">y </t>
  </si>
  <si>
    <t>Год</t>
  </si>
  <si>
    <t xml:space="preserve">Уровень безработицы в Грузии (%)</t>
  </si>
  <si>
    <t xml:space="preserve">Уровень инфляции в Грузии (%)</t>
  </si>
  <si>
    <t xml:space="preserve">ВЫВОД ИТОГОВ</t>
  </si>
  <si>
    <t>F-критич</t>
  </si>
  <si>
    <t xml:space="preserve">Регрессионная статистика</t>
  </si>
  <si>
    <t>F-расч</t>
  </si>
  <si>
    <t xml:space="preserve">Множественный R</t>
  </si>
  <si>
    <t>t-критич</t>
  </si>
  <si>
    <t>R-квадрат</t>
  </si>
  <si>
    <t xml:space="preserve">слабая связь</t>
  </si>
  <si>
    <t xml:space="preserve">Нормированный R-квадрат</t>
  </si>
  <si>
    <t xml:space="preserve">Стандартная ошибка</t>
  </si>
  <si>
    <t>Наблюдения</t>
  </si>
  <si>
    <t xml:space="preserve">Дисперсионный анализ</t>
  </si>
  <si>
    <t>df</t>
  </si>
  <si>
    <t>SS</t>
  </si>
  <si>
    <t>MS</t>
  </si>
  <si>
    <t>F</t>
  </si>
  <si>
    <t xml:space="preserve"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</si>
  <si>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</si>
  <si>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</si>
  <si>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</si>
  <si>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</si>
  <si>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</si>
  <si>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</si>
  <si>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 xml:space="preserve">Нижние 95%</t>
  </si>
  <si>
    <t xml:space="preserve">Верхние 95%</t>
  </si>
  <si>
    <t xml:space="preserve">Нижние 95,0%</t>
  </si>
  <si>
    <t xml:space="preserve">Верхние 95,0%</t>
  </si>
  <si>
    <t>Y-пересечение</t>
  </si>
  <si>
    <t>Значим</t>
  </si>
  <si>
    <t xml:space="preserve">Переменная X 1</t>
  </si>
  <si>
    <t xml:space="preserve">ТЕСТ СОГЛАСИЯ ХЕЛЬВИГА</t>
  </si>
  <si>
    <t>x/1</t>
  </si>
  <si>
    <t xml:space="preserve">y пред</t>
  </si>
  <si>
    <t xml:space="preserve">(y пред - y ср)^2</t>
  </si>
  <si>
    <t xml:space="preserve">(y - y ср )^2</t>
  </si>
  <si>
    <t xml:space="preserve">ABS((y - y пред)/y)</t>
  </si>
  <si>
    <t xml:space="preserve">std остатков</t>
  </si>
  <si>
    <t>ОСТАТКИ</t>
  </si>
  <si>
    <t xml:space="preserve">(e - e ср)^2</t>
  </si>
  <si>
    <t>w_i</t>
  </si>
  <si>
    <t xml:space="preserve">w_i по возрастанию</t>
  </si>
  <si>
    <t xml:space="preserve">значение функции Ф(w_i)</t>
  </si>
  <si>
    <t>I_i</t>
  </si>
  <si>
    <t>S_e</t>
  </si>
  <si>
    <t xml:space="preserve">опр пустые цели</t>
  </si>
  <si>
    <t xml:space="preserve">y ср</t>
  </si>
  <si>
    <t xml:space="preserve">Ср знас</t>
  </si>
  <si>
    <t>Сумм</t>
  </si>
  <si>
    <t>k</t>
  </si>
  <si>
    <t xml:space="preserve">из таблицы теста согласия Хельвига при n=26 и alpha=0,05 </t>
  </si>
  <si>
    <t xml:space="preserve">к1 = 6, к2 = 12</t>
  </si>
  <si>
    <t xml:space="preserve">тк к &gt; к2 , то гипотеза H0 отклоняется и принимается H1: случайные отклонения не имеют нормального характера распределения</t>
  </si>
  <si>
    <t xml:space="preserve">ТЕСТ ШАПИРО-ВИЛЬКА</t>
  </si>
  <si>
    <t>остатки</t>
  </si>
  <si>
    <t xml:space="preserve">остатки по возрастанию</t>
  </si>
  <si>
    <t>a(n-i+1)</t>
  </si>
  <si>
    <t xml:space="preserve">(e-e ср)^2</t>
  </si>
  <si>
    <t>a(n-i+1)*(e(n-i+1)-e(i))^2</t>
  </si>
  <si>
    <t>W</t>
  </si>
  <si>
    <t xml:space="preserve">не значим</t>
  </si>
  <si>
    <t>Сумма</t>
  </si>
  <si>
    <t xml:space="preserve">ср знач</t>
  </si>
  <si>
    <t xml:space="preserve">из таблицы Шапиро-Вилька при n=26 и alpha = 0.05     W*=0,920</t>
  </si>
  <si>
    <t xml:space="preserve">тк W &lt; W* , то гипотеза H0 отклоняется и принимается H1: распределение отклонений нельзя считать нормальным</t>
  </si>
  <si>
    <t xml:space="preserve">уравнение регрессии для кривой Филлипса    y = 97,949/x + 3,3606</t>
  </si>
  <si>
    <t xml:space="preserve">ТЕСТ Jarque-Bera</t>
  </si>
  <si>
    <t xml:space="preserve">(e - ср e)^2</t>
  </si>
  <si>
    <t xml:space="preserve">(e - ср e)^3</t>
  </si>
  <si>
    <t xml:space="preserve">(e - ср e)^4</t>
  </si>
  <si>
    <t xml:space="preserve">ВЫВОД ОСТАТКА</t>
  </si>
  <si>
    <t xml:space="preserve">проверка на адекватность</t>
  </si>
  <si>
    <t>Наблюдение</t>
  </si>
  <si>
    <t xml:space="preserve">Предсказанное Y</t>
  </si>
  <si>
    <t>Остатки</t>
  </si>
  <si>
    <t xml:space="preserve">индекс детерминации</t>
  </si>
  <si>
    <t>R^2</t>
  </si>
  <si>
    <t xml:space="preserve">ср ошибка аппроксимации</t>
  </si>
  <si>
    <t>A</t>
  </si>
  <si>
    <t>&gt;5</t>
  </si>
  <si>
    <t>Cумма</t>
  </si>
  <si>
    <t xml:space="preserve"> σ3</t>
  </si>
  <si>
    <t xml:space="preserve"> σ4</t>
  </si>
  <si>
    <t>μ3</t>
  </si>
  <si>
    <t>μ4</t>
  </si>
  <si>
    <t>AS</t>
  </si>
  <si>
    <t>EX</t>
  </si>
  <si>
    <t>JB</t>
  </si>
  <si>
    <t xml:space="preserve">критерий пирсона при n=2; a=0.05</t>
  </si>
  <si>
    <t xml:space="preserve">JB &lt; 5,99, то то гипотеза H0 принимается: остатки рассматриваемого ряда имеют нормальное распределение</t>
  </si>
  <si>
    <t>ln(y)</t>
  </si>
  <si>
    <t>ln(x)</t>
  </si>
  <si>
    <t>Степенная</t>
  </si>
  <si>
    <t xml:space="preserve">y =b0*x**b1</t>
  </si>
  <si>
    <t xml:space="preserve">lny = ln(b0*x**b1)</t>
  </si>
  <si>
    <t xml:space="preserve">lny = lnb0 + b1*lnx</t>
  </si>
  <si>
    <t xml:space="preserve">регрессия по lny и lnx </t>
  </si>
  <si>
    <t xml:space="preserve">низкий R^2   слабая связь</t>
  </si>
  <si>
    <t>значим</t>
  </si>
  <si>
    <t>Экспоненциальная</t>
  </si>
  <si>
    <t>Показательная</t>
  </si>
  <si>
    <t xml:space="preserve">y = e**(b0 + b1x)</t>
  </si>
  <si>
    <t xml:space="preserve">y = b0*b1**x</t>
  </si>
  <si>
    <t xml:space="preserve">ln y = b0+b1x</t>
  </si>
  <si>
    <t xml:space="preserve">lny = lnb0 + x*lnb1</t>
  </si>
  <si>
    <t xml:space="preserve">Регрессия по   lny и x</t>
  </si>
  <si>
    <t xml:space="preserve">слабая cвязь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</si>
</sst>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theme="1"/>
      <name val="Calibri"/>
      <scheme val="minor"/>
    </font>
    <font>
      <i/>
      <sz val="12.000000"/>
      <color theme="1"/>
      <name val="Calibri"/>
      <scheme val="minor"/>
    </font>
    <font>
      <b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theme="7" tint="0.59999389629810485"/>
      </patternFill>
    </fill>
  </fills>
  <borders count="12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0" numFmtId="0" xfId="0"/>
    <xf fontId="0" fillId="2" borderId="0" numFmtId="0" xfId="0" applyFill="1"/>
    <xf fontId="0" fillId="2" borderId="7" numFmtId="0" xfId="0" applyFill="1" applyBorder="1"/>
    <xf fontId="0" fillId="0" borderId="7" numFmtId="0" xfId="0" applyBorder="1"/>
    <xf fontId="1" fillId="0" borderId="8" numFmtId="0" xfId="0" applyFont="1" applyBorder="1" applyAlignment="1">
      <alignment horizontal="centerContinuous"/>
    </xf>
    <xf fontId="1" fillId="0" borderId="9" numFmtId="0" xfId="0" applyFont="1" applyBorder="1" applyAlignment="1">
      <alignment horizontal="centerContinuous"/>
    </xf>
    <xf fontId="0" fillId="0" borderId="0" numFmtId="0" xfId="0"/>
    <xf fontId="1" fillId="0" borderId="8" numFmtId="0" xfId="0" applyFont="1" applyBorder="1" applyAlignment="1">
      <alignment horizontal="center"/>
    </xf>
    <xf fontId="1" fillId="0" borderId="9" numFmtId="0" xfId="0" applyFont="1" applyBorder="1" applyAlignment="1">
      <alignment horizontal="center"/>
    </xf>
    <xf fontId="0" fillId="2" borderId="5" numFmtId="0" xfId="0" applyFill="1" applyBorder="1"/>
    <xf fontId="0" fillId="0" borderId="10" numFmtId="0" xfId="0" applyBorder="1"/>
    <xf fontId="2" fillId="0" borderId="2" numFmtId="0" xfId="0" applyFont="1" applyBorder="1"/>
    <xf fontId="0" fillId="0" borderId="0" numFmtId="0" xfId="0" applyAlignment="1">
      <alignment horizontal="center"/>
    </xf>
    <xf fontId="0" fillId="3" borderId="0" numFmtId="0" xfId="0" applyFill="1" applyAlignment="1">
      <alignment horizontal="center"/>
    </xf>
    <xf fontId="0" fillId="3" borderId="0" numFmtId="0" xfId="0" applyFill="1"/>
    <xf fontId="0" fillId="2" borderId="0" numFmtId="0" xfId="0" applyFill="1" applyAlignment="1">
      <alignment horizontal="center"/>
    </xf>
    <xf fontId="0" fillId="0" borderId="7" numFmtId="0" xfId="0" applyBorder="1" applyAlignment="1">
      <alignment horizontal="center"/>
    </xf>
    <xf fontId="1" fillId="2" borderId="9" numFmtId="0" xfId="0" applyFont="1" applyFill="1" applyBorder="1" applyAlignment="1">
      <alignment horizontal="center"/>
    </xf>
    <xf fontId="1" fillId="0" borderId="11" numFmtId="0" xfId="0" applyFont="1" applyBorder="1" applyAlignment="1">
      <alignment horizontal="center"/>
    </xf>
    <xf fontId="0" fillId="2" borderId="3" numFmtId="0" xfId="0" applyFill="1" applyBorder="1"/>
    <xf fontId="0" fillId="2" borderId="4" numFmtId="0" xfId="0" applyFill="1" applyBorder="1"/>
    <xf fontId="0" fillId="2" borderId="10" numFmtId="0" xfId="0" applyFill="1" applyBorder="1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6" numFmtId="9" xfId="0" applyNumberFormat="1" applyBorder="1"/>
    <xf fontId="0" fillId="0" borderId="5" numFmtId="0" xfId="0" applyBorder="1" applyAlignment="1">
      <alignment horizontal="center"/>
    </xf>
    <xf fontId="1" fillId="0" borderId="0" numFmtId="0" xfId="0" applyFont="1" applyAlignment="1">
      <alignment horizontal="centerContinuous"/>
    </xf>
    <xf fontId="1" fillId="0" borderId="0" numFmt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5" activeCellId="0" sqref="B35"/>
    </sheetView>
  </sheetViews>
  <sheetFormatPr baseColWidth="10" defaultRowHeight="16"/>
  <cols>
    <col customWidth="1" min="1" max="1" width="24.6640625"/>
    <col customWidth="1" min="2" max="2" width="27"/>
    <col customWidth="1" min="3" max="3" width="27.5"/>
    <col customWidth="1" min="4" max="4" width="14.5"/>
    <col customWidth="1" min="5" max="5" width="21.33203125"/>
    <col customWidth="1" min="6" max="6" width="14.1640625"/>
    <col customWidth="1" min="7" max="7" width="16"/>
    <col customWidth="1" min="8" max="8" width="19.83203125"/>
    <col customWidth="1" min="9" max="9" width="17.6640625"/>
  </cols>
  <sheetData>
    <row r="1" ht="17">
      <c r="B1" t="s">
        <v>0</v>
      </c>
      <c r="C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3">
        <v>1997</v>
      </c>
      <c r="B3">
        <v>7.5999999999999996</v>
      </c>
      <c r="C3">
        <v>19.199999999999999</v>
      </c>
    </row>
    <row r="4">
      <c r="A4" s="3">
        <v>1998</v>
      </c>
      <c r="B4">
        <v>12.4</v>
      </c>
      <c r="C4">
        <v>3.6000000000000001</v>
      </c>
    </row>
    <row r="5">
      <c r="A5" s="3">
        <v>1999</v>
      </c>
      <c r="B5">
        <v>12.6</v>
      </c>
      <c r="C5">
        <v>9.0999999999999996</v>
      </c>
    </row>
    <row r="6">
      <c r="A6" s="3">
        <v>2000</v>
      </c>
      <c r="B6">
        <v>10.300000000000001</v>
      </c>
      <c r="C6">
        <v>4</v>
      </c>
    </row>
    <row r="7">
      <c r="A7" s="3">
        <v>2001</v>
      </c>
      <c r="B7">
        <v>11.1</v>
      </c>
      <c r="C7">
        <v>4.7000000000000002</v>
      </c>
    </row>
    <row r="8">
      <c r="A8" s="3">
        <v>2002</v>
      </c>
      <c r="B8">
        <v>13.5</v>
      </c>
      <c r="C8">
        <v>5.5999999999999996</v>
      </c>
    </row>
    <row r="9">
      <c r="A9" s="3">
        <v>2003</v>
      </c>
      <c r="B9">
        <v>12.699999999999999</v>
      </c>
      <c r="C9">
        <v>4.7999999999999998</v>
      </c>
    </row>
    <row r="10">
      <c r="A10" s="3">
        <v>2004</v>
      </c>
      <c r="B10">
        <v>13.9</v>
      </c>
      <c r="C10">
        <v>5.7000000000000002</v>
      </c>
    </row>
    <row r="11">
      <c r="A11" s="3">
        <v>2005</v>
      </c>
      <c r="B11">
        <v>15.1</v>
      </c>
      <c r="C11">
        <v>8.1999999999999993</v>
      </c>
    </row>
    <row r="12">
      <c r="A12" s="3">
        <v>2006</v>
      </c>
      <c r="B12">
        <v>15.4</v>
      </c>
      <c r="C12">
        <v>9.1999999999999993</v>
      </c>
    </row>
    <row r="13">
      <c r="A13" s="3">
        <v>2007</v>
      </c>
      <c r="B13">
        <v>17.399999999999999</v>
      </c>
      <c r="C13">
        <v>9.1999999999999993</v>
      </c>
    </row>
    <row r="14">
      <c r="A14" s="3">
        <v>2008</v>
      </c>
      <c r="B14">
        <v>17.899999999999999</v>
      </c>
      <c r="C14">
        <v>10</v>
      </c>
    </row>
    <row r="15">
      <c r="A15" s="3">
        <v>2009</v>
      </c>
      <c r="B15">
        <v>18.300000000000001</v>
      </c>
      <c r="C15">
        <v>5.7000000000000002</v>
      </c>
    </row>
    <row r="16">
      <c r="A16" s="3">
        <v>2010</v>
      </c>
      <c r="B16">
        <v>27.199999999999999</v>
      </c>
      <c r="C16">
        <v>4.0999999999999996</v>
      </c>
    </row>
    <row r="17">
      <c r="A17" s="3">
        <v>2011</v>
      </c>
      <c r="B17">
        <v>27.199999999999999</v>
      </c>
      <c r="C17">
        <v>3.5</v>
      </c>
    </row>
    <row r="18">
      <c r="A18" s="3">
        <v>2012</v>
      </c>
      <c r="B18">
        <v>26.699999999999999</v>
      </c>
      <c r="C18">
        <v>-0.90000000000000002</v>
      </c>
    </row>
    <row r="19">
      <c r="A19" s="3">
        <v>2013</v>
      </c>
      <c r="B19">
        <v>26.399999999999999</v>
      </c>
      <c r="C19">
        <v>-0.5</v>
      </c>
    </row>
    <row r="20">
      <c r="A20" s="3">
        <v>2014</v>
      </c>
      <c r="B20">
        <v>23</v>
      </c>
      <c r="C20">
        <v>3.1000000000000001</v>
      </c>
    </row>
    <row r="21">
      <c r="A21" s="3">
        <v>2015</v>
      </c>
      <c r="B21">
        <v>21.899999999999999</v>
      </c>
      <c r="C21">
        <v>4</v>
      </c>
    </row>
    <row r="22">
      <c r="A22" s="3">
        <v>2016</v>
      </c>
      <c r="B22">
        <v>21.699999999999999</v>
      </c>
      <c r="C22">
        <v>2.1000000000000001</v>
      </c>
    </row>
    <row r="23">
      <c r="A23" s="3">
        <v>2017</v>
      </c>
      <c r="B23">
        <v>21.600000000000001</v>
      </c>
      <c r="C23">
        <v>6</v>
      </c>
    </row>
    <row r="24">
      <c r="A24" s="3">
        <v>2018</v>
      </c>
      <c r="B24">
        <v>19.199999999999999</v>
      </c>
      <c r="C24">
        <v>2.6000000000000001</v>
      </c>
    </row>
    <row r="25">
      <c r="A25" s="3">
        <v>2019</v>
      </c>
      <c r="B25">
        <v>17.600000000000001</v>
      </c>
      <c r="C25">
        <v>4.9000000000000004</v>
      </c>
    </row>
    <row r="26">
      <c r="A26" s="3">
        <v>2020</v>
      </c>
      <c r="B26">
        <v>18.5</v>
      </c>
      <c r="C26">
        <v>5.2000000000000002</v>
      </c>
    </row>
    <row r="27">
      <c r="A27" s="3">
        <v>2021</v>
      </c>
      <c r="B27">
        <v>20.600000000000001</v>
      </c>
      <c r="C27">
        <v>9.5999999999999996</v>
      </c>
    </row>
    <row r="28" ht="17">
      <c r="A28" s="4">
        <v>2022</v>
      </c>
      <c r="B28" s="5">
        <v>17.300000000000001</v>
      </c>
      <c r="C28" s="5">
        <v>11.9</v>
      </c>
    </row>
    <row r="30" ht="17"/>
    <row r="31">
      <c r="A31" s="1" t="s">
        <v>5</v>
      </c>
      <c r="B31" s="2"/>
      <c r="C31" s="2"/>
      <c r="D31" s="2"/>
      <c r="E31" s="2"/>
      <c r="F31" s="2"/>
      <c r="G31" s="2"/>
      <c r="H31" s="2"/>
      <c r="I31" s="2"/>
      <c r="J31" s="6"/>
    </row>
    <row r="32" ht="17">
      <c r="A32" s="3"/>
      <c r="B32" s="7"/>
      <c r="C32" s="7"/>
      <c r="D32" s="7"/>
      <c r="E32" s="7"/>
      <c r="F32" s="7"/>
      <c r="G32" s="7"/>
      <c r="H32" s="8" t="s">
        <v>6</v>
      </c>
      <c r="I32" s="9">
        <f>FDIST(0.05,B42,B44)</f>
        <v>0.8248804430919614</v>
      </c>
      <c r="J32" s="10"/>
    </row>
    <row r="33">
      <c r="A33" s="11" t="s">
        <v>7</v>
      </c>
      <c r="B33" s="12"/>
      <c r="C33" s="7"/>
      <c r="D33" s="7"/>
      <c r="E33" s="7"/>
      <c r="F33" s="7"/>
      <c r="G33" s="7"/>
      <c r="H33" s="8" t="s">
        <v>8</v>
      </c>
      <c r="I33" s="9">
        <f>E42</f>
        <v>10.788659799180294</v>
      </c>
      <c r="J33" s="10"/>
    </row>
    <row r="34">
      <c r="A34" s="3" t="s">
        <v>9</v>
      </c>
      <c r="B34" s="7">
        <v>0.55688420509727177</v>
      </c>
      <c r="C34" s="7"/>
      <c r="D34" s="7"/>
      <c r="E34" s="7"/>
      <c r="F34" s="7"/>
      <c r="G34" s="7"/>
      <c r="H34" s="8" t="s">
        <v>10</v>
      </c>
      <c r="I34" s="9">
        <f>TINV(0.05,B43)</f>
        <v>2.0638985616280263</v>
      </c>
      <c r="J34" s="10"/>
    </row>
    <row r="35">
      <c r="A35" s="3" t="s">
        <v>11</v>
      </c>
      <c r="B35" s="8">
        <v>0.31012001788681998</v>
      </c>
      <c r="C35" s="13" t="s">
        <v>12</v>
      </c>
      <c r="D35" s="7"/>
      <c r="E35" s="7"/>
      <c r="F35" s="7"/>
      <c r="G35" s="7"/>
      <c r="H35" s="7"/>
      <c r="I35" s="7"/>
      <c r="J35" s="10"/>
    </row>
    <row r="36">
      <c r="A36" s="3" t="s">
        <v>13</v>
      </c>
      <c r="B36" s="7">
        <v>0.2813750186321044</v>
      </c>
      <c r="C36" s="7"/>
      <c r="D36" s="7"/>
      <c r="E36" s="7"/>
      <c r="F36" s="7"/>
      <c r="G36" s="7"/>
      <c r="H36" s="7"/>
      <c r="I36" s="7"/>
      <c r="J36" s="10"/>
    </row>
    <row r="37">
      <c r="A37" s="3" t="s">
        <v>14</v>
      </c>
      <c r="B37" s="7">
        <v>3.5028057541220052</v>
      </c>
      <c r="C37" s="7"/>
      <c r="D37" s="7"/>
      <c r="E37" s="7"/>
      <c r="F37" s="7"/>
      <c r="G37" s="7"/>
      <c r="H37" s="7"/>
      <c r="I37" s="7"/>
      <c r="J37" s="10"/>
    </row>
    <row r="38" ht="17">
      <c r="A38" s="4" t="s">
        <v>15</v>
      </c>
      <c r="B38" s="5">
        <v>26</v>
      </c>
      <c r="C38" s="7"/>
      <c r="D38" s="7"/>
      <c r="E38" s="7"/>
      <c r="F38" s="7"/>
      <c r="G38" s="7"/>
      <c r="H38" s="7"/>
      <c r="I38" s="7"/>
      <c r="J38" s="10"/>
    </row>
    <row r="39">
      <c r="A39" s="3"/>
      <c r="B39" s="7"/>
      <c r="C39" s="7"/>
      <c r="D39" s="7"/>
      <c r="E39" s="7"/>
      <c r="F39" s="7"/>
      <c r="G39" s="7"/>
      <c r="H39" s="7"/>
      <c r="I39" s="7"/>
      <c r="J39" s="10"/>
    </row>
    <row r="40" ht="17">
      <c r="A40" s="3" t="s">
        <v>16</v>
      </c>
      <c r="B40" s="7"/>
      <c r="C40" s="7"/>
      <c r="D40" s="7"/>
      <c r="E40" s="7"/>
      <c r="F40" s="7"/>
      <c r="G40" s="7"/>
      <c r="H40" s="7"/>
      <c r="I40" s="7"/>
      <c r="J40" s="10"/>
    </row>
    <row r="41">
      <c r="A41" s="14"/>
      <c r="B41" s="15" t="s">
        <v>17</v>
      </c>
      <c r="C41" s="15" t="s">
        <v>18</v>
      </c>
      <c r="D41" s="15" t="s">
        <v>19</v>
      </c>
      <c r="E41" s="15" t="s">
        <v>20</v>
      </c>
      <c r="F41" s="15" t="s">
        <v>21</v>
      </c>
      <c r="G41" s="7"/>
      <c r="H41" s="7"/>
      <c r="I41" s="7"/>
      <c r="J41" s="10"/>
    </row>
    <row r="42">
      <c r="A42" s="3" t="s">
        <v>22</v>
      </c>
      <c r="B42" s="7">
        <v>1</v>
      </c>
      <c r="C42" s="7">
        <v>132.37305975796977</v>
      </c>
      <c r="D42" s="7">
        <v>132.37305975796977</v>
      </c>
      <c r="E42" s="7">
        <v>10.788659799180294</v>
      </c>
      <c r="F42" s="7">
        <v>0.00312710524959272</v>
      </c>
      <c r="G42" s="7"/>
      <c r="H42" s="7"/>
      <c r="I42" s="7"/>
      <c r="J42" s="10"/>
    </row>
    <row r="43">
      <c r="A43" s="3" t="s">
        <v>23</v>
      </c>
      <c r="B43" s="7">
        <v>24</v>
      </c>
      <c r="C43" s="7">
        <v>294.47155562664551</v>
      </c>
      <c r="D43" s="7">
        <v>12.26964815111023</v>
      </c>
      <c r="E43" s="7"/>
      <c r="F43" s="7"/>
      <c r="G43" s="7"/>
      <c r="H43" s="7"/>
      <c r="I43" s="7"/>
      <c r="J43" s="10"/>
    </row>
    <row r="44" ht="17">
      <c r="A44" s="4" t="s">
        <v>24</v>
      </c>
      <c r="B44" s="5">
        <v>25</v>
      </c>
      <c r="C44" s="5">
        <v>426.84461538461528</v>
      </c>
      <c r="D44" s="5"/>
      <c r="E44" s="5"/>
      <c r="F44" s="5"/>
      <c r="G44" s="7"/>
      <c r="H44" s="7"/>
      <c r="I44" s="7"/>
      <c r="J44" s="10"/>
    </row>
    <row r="45" ht="17">
      <c r="A45" s="3"/>
      <c r="B45" s="7"/>
      <c r="C45" s="7"/>
      <c r="D45" s="7"/>
      <c r="E45" s="7"/>
      <c r="F45" s="7"/>
      <c r="G45" s="7"/>
      <c r="H45" s="7"/>
      <c r="I45" s="7"/>
      <c r="J45" s="10"/>
    </row>
    <row r="46">
      <c r="A46" s="14"/>
      <c r="B46" s="15" t="s">
        <v>25</v>
      </c>
      <c r="C46" s="15" t="s">
        <v>14</v>
      </c>
      <c r="D46" s="15" t="s">
        <v>26</v>
      </c>
      <c r="E46" s="15" t="s">
        <v>27</v>
      </c>
      <c r="F46" s="15" t="s">
        <v>28</v>
      </c>
      <c r="G46" s="15" t="s">
        <v>29</v>
      </c>
      <c r="H46" s="15" t="s">
        <v>30</v>
      </c>
      <c r="I46" s="15" t="s">
        <v>31</v>
      </c>
      <c r="J46" s="10"/>
    </row>
    <row r="47">
      <c r="A47" s="3" t="s">
        <v>32</v>
      </c>
      <c r="B47" s="7">
        <v>13.504697404605906</v>
      </c>
      <c r="C47" s="7">
        <v>2.4015476507111018</v>
      </c>
      <c r="D47" s="8">
        <v>5.6233310218130157</v>
      </c>
      <c r="E47" s="7">
        <v>8.6618258513676289e-06</v>
      </c>
      <c r="F47" s="7">
        <v>8.5481466626220985</v>
      </c>
      <c r="G47" s="7">
        <v>18.461248146589714</v>
      </c>
      <c r="H47" s="7">
        <v>8.5481466626220985</v>
      </c>
      <c r="I47" s="7">
        <v>18.461248146589714</v>
      </c>
      <c r="J47" s="10" t="s">
        <v>33</v>
      </c>
    </row>
    <row r="48" ht="17">
      <c r="A48" s="4" t="s">
        <v>34</v>
      </c>
      <c r="B48" s="5">
        <v>-0.42072817923304123</v>
      </c>
      <c r="C48" s="5">
        <v>0.12809077447879347</v>
      </c>
      <c r="D48" s="16">
        <v>-3.2846095352690399</v>
      </c>
      <c r="E48" s="5">
        <v>0.00312710524959272</v>
      </c>
      <c r="F48" s="5">
        <v>-0.68509454443764284</v>
      </c>
      <c r="G48" s="5">
        <v>-0.15636181402843963</v>
      </c>
      <c r="H48" s="5">
        <v>-0.68509454443764284</v>
      </c>
      <c r="I48" s="5">
        <v>-0.15636181402843963</v>
      </c>
      <c r="J48" s="17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92" workbookViewId="0">
      <selection activeCell="B57" activeCellId="0" sqref="B57"/>
    </sheetView>
  </sheetViews>
  <sheetFormatPr baseColWidth="10" defaultRowHeight="16"/>
  <cols>
    <col customWidth="1" min="1" max="1" width="13.83203125"/>
    <col customWidth="1" min="2" max="2" width="32.6640625"/>
    <col customWidth="1" min="3" max="3" width="28.83203125"/>
    <col customWidth="1" min="4" max="4" width="17.1640625"/>
    <col customWidth="1" min="5" max="5" width="23.6640625"/>
    <col customWidth="1" min="6" max="6" width="17.5"/>
    <col customWidth="1" min="8" max="8" width="15.6640625"/>
    <col customWidth="1" min="11" max="11" width="10.83203125"/>
    <col customWidth="1" min="16" max="16" width="24.33203125"/>
    <col customWidth="1" min="17" max="17" width="18.33203125"/>
    <col customWidth="1" min="18" max="18" width="18"/>
    <col customWidth="1" min="19" max="19" width="29.33203125"/>
    <col customWidth="1" min="21" max="21" width="13.83203125"/>
  </cols>
  <sheetData>
    <row r="1" ht="17">
      <c r="B1" t="s">
        <v>0</v>
      </c>
      <c r="C1" t="s">
        <v>1</v>
      </c>
      <c r="L1" s="1"/>
      <c r="M1" s="2"/>
      <c r="N1" s="2"/>
      <c r="O1" s="2"/>
      <c r="P1" s="2"/>
      <c r="Q1" s="18" t="s">
        <v>35</v>
      </c>
      <c r="R1" s="2"/>
      <c r="S1" s="2"/>
      <c r="T1" s="2"/>
      <c r="U1" s="2"/>
      <c r="V1" s="6"/>
    </row>
    <row r="2">
      <c r="A2" s="1" t="s">
        <v>2</v>
      </c>
      <c r="B2" s="2" t="s">
        <v>3</v>
      </c>
      <c r="C2" s="2" t="s">
        <v>4</v>
      </c>
      <c r="D2" s="6" t="s">
        <v>36</v>
      </c>
      <c r="E2" t="s">
        <v>37</v>
      </c>
      <c r="F2" t="s">
        <v>38</v>
      </c>
      <c r="G2" t="s">
        <v>39</v>
      </c>
      <c r="H2" t="s">
        <v>40</v>
      </c>
      <c r="L2" s="3" t="s">
        <v>41</v>
      </c>
      <c r="O2" t="s">
        <v>42</v>
      </c>
      <c r="P2" t="s">
        <v>43</v>
      </c>
      <c r="Q2" s="19" t="s">
        <v>44</v>
      </c>
      <c r="R2" t="s">
        <v>45</v>
      </c>
      <c r="S2" t="s">
        <v>46</v>
      </c>
      <c r="T2" t="s">
        <v>47</v>
      </c>
      <c r="V2" s="10"/>
    </row>
    <row r="3">
      <c r="A3" s="3">
        <v>1997</v>
      </c>
      <c r="B3">
        <v>7.5999999999999996</v>
      </c>
      <c r="C3">
        <v>19.199999999999999</v>
      </c>
      <c r="D3" s="10">
        <f t="shared" ref="D3:D28" si="0">1/B3</f>
        <v>0.13157894736842105</v>
      </c>
      <c r="E3">
        <v>12.888133167566231</v>
      </c>
      <c r="F3">
        <f t="shared" ref="F3:F28" si="1">(E3-$C$29)^2</f>
        <v>48.191076898917153</v>
      </c>
      <c r="G3">
        <f t="shared" ref="G3:G28" si="2">(C3-$C$29)^2</f>
        <v>175.66443786982245</v>
      </c>
      <c r="H3">
        <f t="shared" ref="H3:H28" si="3">ABS((C3-E3)/C3)</f>
        <v>0.3287430641892588</v>
      </c>
      <c r="L3" s="3" t="s">
        <v>48</v>
      </c>
      <c r="M3">
        <f>SQRT(1/26*P29)</f>
        <v>3.2941709292731334</v>
      </c>
      <c r="O3">
        <v>6.3118668324337683</v>
      </c>
      <c r="P3">
        <f t="shared" ref="P3:P28" si="4">(O3-$O$29)^2</f>
        <v>40.988730284370568</v>
      </c>
      <c r="Q3">
        <f t="shared" ref="Q3:Q28" si="5">O3/$M$3</f>
        <v>1.9160714388996496</v>
      </c>
      <c r="R3">
        <v>-1.6725575602686982</v>
      </c>
      <c r="S3">
        <f t="shared" ref="S3:S28" si="6">_xlfn.NORM.S.DIST(R3,0)</f>
        <v>0.098503526500379426</v>
      </c>
      <c r="T3">
        <v>0</v>
      </c>
      <c r="U3" t="s">
        <v>49</v>
      </c>
      <c r="V3" s="10"/>
    </row>
    <row r="4">
      <c r="A4" s="3">
        <v>1998</v>
      </c>
      <c r="B4">
        <v>12.4</v>
      </c>
      <c r="C4">
        <v>3.6000000000000001</v>
      </c>
      <c r="D4" s="10">
        <f t="shared" si="0"/>
        <v>0.080645161290322578</v>
      </c>
      <c r="E4">
        <v>7.8991783930244646</v>
      </c>
      <c r="F4">
        <f t="shared" si="1"/>
        <v>3.8143048806791837</v>
      </c>
      <c r="G4">
        <f t="shared" si="2"/>
        <v>5.5044378698224854</v>
      </c>
      <c r="H4">
        <f t="shared" si="3"/>
        <v>1.1942162202845734</v>
      </c>
      <c r="L4" s="3"/>
      <c r="O4">
        <v>-4.2991783930244596</v>
      </c>
      <c r="P4">
        <f t="shared" si="4"/>
        <v>17.714006408525755</v>
      </c>
      <c r="Q4">
        <f t="shared" si="5"/>
        <v>-1.3050866167327522</v>
      </c>
      <c r="R4">
        <v>-1.3868534406638056</v>
      </c>
      <c r="S4">
        <f t="shared" si="6"/>
        <v>0.15249556487488991</v>
      </c>
      <c r="T4">
        <f t="shared" ref="T4:T28" si="7">T3+1/26</f>
        <v>0.038461538461538464</v>
      </c>
      <c r="U4">
        <f t="shared" ref="U4:U28" si="8">IF(AND((S4&gt;T4), (S4&lt;T5)), 0, 1)</f>
        <v>1</v>
      </c>
      <c r="V4" s="10"/>
    </row>
    <row r="5">
      <c r="A5" s="3">
        <v>1999</v>
      </c>
      <c r="B5">
        <v>12.6</v>
      </c>
      <c r="C5">
        <v>9.0999999999999996</v>
      </c>
      <c r="D5" s="10">
        <f t="shared" si="0"/>
        <v>0.079365079365079361</v>
      </c>
      <c r="E5">
        <v>7.7737946090082035</v>
      </c>
      <c r="F5">
        <f t="shared" si="1"/>
        <v>3.3402707580468567</v>
      </c>
      <c r="G5">
        <f t="shared" si="2"/>
        <v>9.9467455621301735</v>
      </c>
      <c r="H5">
        <f t="shared" si="3"/>
        <v>0.14573685615294463</v>
      </c>
      <c r="L5" s="3"/>
      <c r="O5">
        <v>1.3262053909917961</v>
      </c>
      <c r="P5">
        <f t="shared" si="4"/>
        <v>2.0067065985430212</v>
      </c>
      <c r="Q5">
        <f t="shared" si="5"/>
        <v>0.40259155322107903</v>
      </c>
      <c r="R5">
        <v>-1.3050866167327535</v>
      </c>
      <c r="S5">
        <f t="shared" si="6"/>
        <v>0.17023693588406544</v>
      </c>
      <c r="T5">
        <f t="shared" si="7"/>
        <v>0.076923076923076927</v>
      </c>
      <c r="U5">
        <f t="shared" si="8"/>
        <v>1</v>
      </c>
      <c r="V5" s="10"/>
    </row>
    <row r="6">
      <c r="A6" s="3">
        <v>2000</v>
      </c>
      <c r="B6">
        <v>10.300000000000001</v>
      </c>
      <c r="C6">
        <v>4</v>
      </c>
      <c r="D6" s="10">
        <f t="shared" si="0"/>
        <v>0.097087378640776698</v>
      </c>
      <c r="E6">
        <v>9.5096904925731423</v>
      </c>
      <c r="F6">
        <f t="shared" si="1"/>
        <v>12.698793430373282</v>
      </c>
      <c r="G6">
        <f t="shared" si="2"/>
        <v>3.7875147928994091</v>
      </c>
      <c r="H6">
        <f t="shared" si="3"/>
        <v>1.3774226231432856</v>
      </c>
      <c r="L6" s="3"/>
      <c r="O6">
        <v>-5.5096904925731423</v>
      </c>
      <c r="P6">
        <f t="shared" si="4"/>
        <v>29.368955180318636</v>
      </c>
      <c r="Q6">
        <f t="shared" si="5"/>
        <v>-1.6725575602686982</v>
      </c>
      <c r="R6">
        <v>-1.278081873920357</v>
      </c>
      <c r="S6">
        <f t="shared" si="6"/>
        <v>0.17627937730641818</v>
      </c>
      <c r="T6">
        <f t="shared" si="7"/>
        <v>0.11538461538461539</v>
      </c>
      <c r="U6">
        <f t="shared" si="8"/>
        <v>1</v>
      </c>
      <c r="V6" s="10"/>
    </row>
    <row r="7">
      <c r="A7" s="3">
        <v>2001</v>
      </c>
      <c r="B7">
        <v>11.1</v>
      </c>
      <c r="C7">
        <v>4.7000000000000002</v>
      </c>
      <c r="D7" s="10">
        <f t="shared" si="0"/>
        <v>0.0900900900900901</v>
      </c>
      <c r="E7">
        <v>8.8243073940093133</v>
      </c>
      <c r="F7">
        <f t="shared" si="1"/>
        <v>8.2837678450330117</v>
      </c>
      <c r="G7">
        <f t="shared" si="2"/>
        <v>1.5528994082840237</v>
      </c>
      <c r="H7">
        <f t="shared" si="3"/>
        <v>0.87751221149134317</v>
      </c>
      <c r="L7" s="3"/>
      <c r="O7">
        <v>-4.1243073940093131</v>
      </c>
      <c r="P7">
        <f t="shared" si="4"/>
        <v>16.272591780880102</v>
      </c>
      <c r="Q7">
        <f t="shared" si="5"/>
        <v>-1.2520016363933342</v>
      </c>
      <c r="R7">
        <v>-1.2520016363933342</v>
      </c>
      <c r="S7">
        <f t="shared" si="6"/>
        <v>0.18219229532316328</v>
      </c>
      <c r="T7">
        <f t="shared" si="7"/>
        <v>0.15384615384615385</v>
      </c>
      <c r="U7">
        <f t="shared" si="8"/>
        <v>0</v>
      </c>
      <c r="V7" s="10"/>
    </row>
    <row r="8">
      <c r="A8" s="3">
        <v>2002</v>
      </c>
      <c r="B8">
        <v>13.5</v>
      </c>
      <c r="C8">
        <v>5.5999999999999996</v>
      </c>
      <c r="D8" s="10">
        <f t="shared" si="0"/>
        <v>0.07407407407407407</v>
      </c>
      <c r="E8">
        <v>7.2555416350743229</v>
      </c>
      <c r="F8">
        <f t="shared" si="1"/>
        <v>1.7144963817740546</v>
      </c>
      <c r="G8">
        <f t="shared" si="2"/>
        <v>0.11982248520710097</v>
      </c>
      <c r="H8">
        <f t="shared" si="3"/>
        <v>0.29563243483470059</v>
      </c>
      <c r="L8" s="3"/>
      <c r="O8">
        <v>-1.6555416350743233</v>
      </c>
      <c r="P8">
        <f t="shared" si="4"/>
        <v>2.4497393094688125</v>
      </c>
      <c r="Q8">
        <f t="shared" si="5"/>
        <v>-0.50256701021875094</v>
      </c>
      <c r="R8">
        <v>-0.88416287143836203</v>
      </c>
      <c r="S8">
        <f t="shared" si="6"/>
        <v>0.26987118543219857</v>
      </c>
      <c r="T8">
        <f t="shared" si="7"/>
        <v>0.19230769230769232</v>
      </c>
      <c r="U8">
        <f t="shared" si="8"/>
        <v>1</v>
      </c>
      <c r="V8" s="10"/>
    </row>
    <row r="9">
      <c r="A9" s="3">
        <v>2003</v>
      </c>
      <c r="B9">
        <v>12.699999999999999</v>
      </c>
      <c r="C9">
        <v>4.7999999999999998</v>
      </c>
      <c r="D9" s="10">
        <f t="shared" si="0"/>
        <v>0.07874015748031496</v>
      </c>
      <c r="E9">
        <v>7.7125836278349107</v>
      </c>
      <c r="F9">
        <f t="shared" si="1"/>
        <v>3.1202741736098125</v>
      </c>
      <c r="G9">
        <f t="shared" si="2"/>
        <v>1.3136686390532553</v>
      </c>
      <c r="H9">
        <f t="shared" si="3"/>
        <v>0.6067882557989398</v>
      </c>
      <c r="L9" s="3"/>
      <c r="O9">
        <v>-2.9125836278349109</v>
      </c>
      <c r="P9">
        <f t="shared" si="4"/>
        <v>7.9648484012248888</v>
      </c>
      <c r="Q9">
        <f t="shared" si="5"/>
        <v>-0.88416287143836203</v>
      </c>
      <c r="R9">
        <v>-0.75938764741440024</v>
      </c>
      <c r="S9">
        <f t="shared" si="6"/>
        <v>0.29901147370647085</v>
      </c>
      <c r="T9">
        <f t="shared" si="7"/>
        <v>0.23076923076923078</v>
      </c>
      <c r="U9">
        <f t="shared" si="8"/>
        <v>1</v>
      </c>
      <c r="V9" s="10"/>
    </row>
    <row r="10">
      <c r="A10" s="3">
        <v>2004</v>
      </c>
      <c r="B10">
        <v>13.9</v>
      </c>
      <c r="C10">
        <v>5.7000000000000002</v>
      </c>
      <c r="D10" s="10">
        <f t="shared" si="0"/>
        <v>0.071942446043165464</v>
      </c>
      <c r="E10">
        <v>7.0467490700362134</v>
      </c>
      <c r="F10">
        <f t="shared" si="1"/>
        <v>1.2113098468326777</v>
      </c>
      <c r="G10">
        <f t="shared" si="2"/>
        <v>0.060591715976331367</v>
      </c>
      <c r="H10">
        <f t="shared" si="3"/>
        <v>0.23627176667301986</v>
      </c>
      <c r="L10" s="3"/>
      <c r="O10">
        <v>-1.3467490700362132</v>
      </c>
      <c r="P10">
        <f t="shared" si="4"/>
        <v>1.5784699552542034</v>
      </c>
      <c r="Q10">
        <f t="shared" si="5"/>
        <v>-0.40882792634363285</v>
      </c>
      <c r="R10">
        <v>-0.73275378734461216</v>
      </c>
      <c r="S10">
        <f t="shared" si="6"/>
        <v>0.30501247863978137</v>
      </c>
      <c r="T10">
        <f t="shared" si="7"/>
        <v>0.26923076923076927</v>
      </c>
      <c r="U10">
        <f t="shared" si="8"/>
        <v>0</v>
      </c>
      <c r="V10" s="10"/>
    </row>
    <row r="11">
      <c r="A11" s="3">
        <v>2005</v>
      </c>
      <c r="B11">
        <v>15.1</v>
      </c>
      <c r="C11">
        <v>8.1999999999999993</v>
      </c>
      <c r="D11" s="10">
        <f t="shared" si="0"/>
        <v>0.066225165562913912</v>
      </c>
      <c r="E11">
        <v>6.4867425214240644</v>
      </c>
      <c r="F11">
        <f t="shared" si="1"/>
        <v>0.29223611583040926</v>
      </c>
      <c r="G11">
        <f t="shared" si="2"/>
        <v>5.0798224852070968</v>
      </c>
      <c r="H11">
        <f t="shared" si="3"/>
        <v>0.20893383885072378</v>
      </c>
      <c r="L11" s="3"/>
      <c r="O11">
        <v>1.7132574785759349</v>
      </c>
      <c r="P11">
        <f t="shared" si="4"/>
        <v>3.2530985139603001</v>
      </c>
      <c r="Q11">
        <f t="shared" si="5"/>
        <v>0.5200876078868103</v>
      </c>
      <c r="R11">
        <v>-0.50256701021875094</v>
      </c>
      <c r="S11">
        <f t="shared" si="6"/>
        <v>0.35161258050341992</v>
      </c>
      <c r="T11">
        <f t="shared" si="7"/>
        <v>0.30769230769230771</v>
      </c>
      <c r="U11">
        <f t="shared" si="8"/>
        <v>1</v>
      </c>
      <c r="V11" s="10"/>
    </row>
    <row r="12">
      <c r="A12" s="3">
        <v>2006</v>
      </c>
      <c r="B12">
        <v>15.4</v>
      </c>
      <c r="C12">
        <v>9.1999999999999993</v>
      </c>
      <c r="D12" s="10">
        <f t="shared" si="0"/>
        <v>0.064935064935064929</v>
      </c>
      <c r="E12">
        <v>6.3603774073703478</v>
      </c>
      <c r="F12">
        <f t="shared" si="1"/>
        <v>0.17158115866688076</v>
      </c>
      <c r="G12">
        <f t="shared" si="2"/>
        <v>10.587514792899402</v>
      </c>
      <c r="H12">
        <f t="shared" si="3"/>
        <v>0.30865462963365781</v>
      </c>
      <c r="L12" s="3"/>
      <c r="O12">
        <v>2.8396225926296514</v>
      </c>
      <c r="P12">
        <f t="shared" si="4"/>
        <v>8.584899532401181</v>
      </c>
      <c r="Q12">
        <f t="shared" si="5"/>
        <v>0.86201434400255028</v>
      </c>
      <c r="R12">
        <v>-0.40882792634363285</v>
      </c>
      <c r="S12">
        <f t="shared" si="6"/>
        <v>0.36695770973981889</v>
      </c>
      <c r="T12">
        <f t="shared" si="7"/>
        <v>0.34615384615384615</v>
      </c>
      <c r="U12">
        <f t="shared" si="8"/>
        <v>0</v>
      </c>
      <c r="V12" s="10"/>
    </row>
    <row r="13">
      <c r="A13" s="3">
        <v>2007</v>
      </c>
      <c r="B13">
        <v>17.399999999999999</v>
      </c>
      <c r="C13">
        <v>9.1999999999999993</v>
      </c>
      <c r="D13" s="10">
        <f t="shared" si="0"/>
        <v>0.057471264367816098</v>
      </c>
      <c r="E13">
        <v>5.6292995444542173</v>
      </c>
      <c r="F13">
        <f t="shared" si="1"/>
        <v>0.10039664850555953</v>
      </c>
      <c r="G13">
        <f t="shared" si="2"/>
        <v>10.587514792899402</v>
      </c>
      <c r="H13">
        <f t="shared" si="3"/>
        <v>0.38811961473323719</v>
      </c>
      <c r="L13" s="3"/>
      <c r="O13">
        <v>3.570700455545782</v>
      </c>
      <c r="P13">
        <f t="shared" si="4"/>
        <v>13.403490534062973</v>
      </c>
      <c r="Q13">
        <f t="shared" si="5"/>
        <v>1.0839451055242193</v>
      </c>
      <c r="R13">
        <v>-0.35173872465456291</v>
      </c>
      <c r="S13">
        <f t="shared" si="6"/>
        <v>0.37501149564978797</v>
      </c>
      <c r="T13">
        <f t="shared" si="7"/>
        <v>0.38461538461538458</v>
      </c>
      <c r="U13">
        <f t="shared" si="8"/>
        <v>1</v>
      </c>
      <c r="V13" s="10"/>
    </row>
    <row r="14">
      <c r="A14" s="3">
        <v>2008</v>
      </c>
      <c r="B14">
        <v>17.899999999999999</v>
      </c>
      <c r="C14">
        <v>10</v>
      </c>
      <c r="D14" s="10">
        <f t="shared" si="0"/>
        <v>0.055865921787709501</v>
      </c>
      <c r="E14">
        <v>5.4720565404191825</v>
      </c>
      <c r="F14">
        <f t="shared" si="1"/>
        <v>0.22476825530486727</v>
      </c>
      <c r="G14">
        <f t="shared" si="2"/>
        <v>16.433668639053252</v>
      </c>
      <c r="H14">
        <f t="shared" si="3"/>
        <v>0.45279434595808177</v>
      </c>
      <c r="L14" s="3"/>
      <c r="O14">
        <v>4.5279434595808175</v>
      </c>
      <c r="P14">
        <f t="shared" si="4"/>
        <v>21.32888689307855</v>
      </c>
      <c r="Q14">
        <f t="shared" si="5"/>
        <v>1.374532031517842</v>
      </c>
      <c r="R14">
        <v>-0.20197198194444066</v>
      </c>
      <c r="S14">
        <f t="shared" si="6"/>
        <v>0.39088773853229464</v>
      </c>
      <c r="T14">
        <f t="shared" si="7"/>
        <v>0.42307692307692302</v>
      </c>
      <c r="U14">
        <f t="shared" si="8"/>
        <v>1</v>
      </c>
      <c r="V14" s="10"/>
    </row>
    <row r="15">
      <c r="A15" s="3">
        <v>2009</v>
      </c>
      <c r="B15">
        <v>18.300000000000001</v>
      </c>
      <c r="C15">
        <v>5.7000000000000002</v>
      </c>
      <c r="D15" s="10">
        <f>1/B15</f>
        <v>0.054644808743169397</v>
      </c>
      <c r="E15">
        <v>5.3524487471859761</v>
      </c>
      <c r="F15">
        <f t="shared" si="1"/>
        <v>0.35248574454044862</v>
      </c>
      <c r="G15">
        <f t="shared" si="2"/>
        <v>0.060591715976331367</v>
      </c>
      <c r="H15">
        <f t="shared" si="3"/>
        <v>0.060973904002460368</v>
      </c>
      <c r="L15" s="3"/>
      <c r="O15">
        <v>0.3475512528140241</v>
      </c>
      <c r="P15">
        <f t="shared" si="4"/>
        <v>0.19178144152183235</v>
      </c>
      <c r="Q15">
        <f t="shared" si="5"/>
        <v>0.105504923780841</v>
      </c>
      <c r="R15">
        <v>-0.1434637633426446</v>
      </c>
      <c r="S15">
        <f t="shared" si="6"/>
        <v>0.39485784738123364</v>
      </c>
      <c r="T15">
        <f t="shared" si="7"/>
        <v>0.46153846153846145</v>
      </c>
      <c r="U15">
        <f t="shared" si="8"/>
        <v>1</v>
      </c>
      <c r="V15" s="10"/>
    </row>
    <row r="16">
      <c r="A16" s="3">
        <v>2010</v>
      </c>
      <c r="B16">
        <v>27.199999999999999</v>
      </c>
      <c r="C16">
        <v>4.0999999999999996</v>
      </c>
      <c r="D16" s="10">
        <f t="shared" si="0"/>
        <v>0.036764705882352942</v>
      </c>
      <c r="E16">
        <v>3.6010960321140946</v>
      </c>
      <c r="F16">
        <f t="shared" si="1"/>
        <v>5.4992961511888989</v>
      </c>
      <c r="G16">
        <f t="shared" si="2"/>
        <v>3.4082840236686409</v>
      </c>
      <c r="H16">
        <f t="shared" si="3"/>
        <v>0.12168389460631832</v>
      </c>
      <c r="L16" s="3"/>
      <c r="O16">
        <v>0.49890396788590508</v>
      </c>
      <c r="P16">
        <f t="shared" si="4"/>
        <v>0.34725244518046794</v>
      </c>
      <c r="Q16">
        <f t="shared" si="5"/>
        <v>0.15145054054495874</v>
      </c>
      <c r="R16">
        <v>-0.030689370492502539</v>
      </c>
      <c r="S16">
        <f t="shared" si="6"/>
        <v>0.39875445523782305</v>
      </c>
      <c r="T16">
        <f t="shared" si="7"/>
        <v>0.49999999999999989</v>
      </c>
      <c r="U16">
        <f t="shared" si="8"/>
        <v>1</v>
      </c>
      <c r="V16" s="10"/>
    </row>
    <row r="17">
      <c r="A17" s="3">
        <v>2011</v>
      </c>
      <c r="B17">
        <v>27.199999999999999</v>
      </c>
      <c r="C17">
        <v>3.5</v>
      </c>
      <c r="D17" s="10">
        <f t="shared" si="0"/>
        <v>0.036764705882352942</v>
      </c>
      <c r="E17">
        <v>3.6010960321140946</v>
      </c>
      <c r="F17">
        <f t="shared" si="1"/>
        <v>5.4992961511888989</v>
      </c>
      <c r="G17">
        <f t="shared" si="2"/>
        <v>5.9836686390532554</v>
      </c>
      <c r="H17">
        <f t="shared" si="3"/>
        <v>0.028884580604027019</v>
      </c>
      <c r="L17" s="3"/>
      <c r="O17">
        <v>-0.10109603211409457</v>
      </c>
      <c r="P17">
        <f t="shared" si="4"/>
        <v>0.00011489062698939675</v>
      </c>
      <c r="Q17">
        <f t="shared" si="5"/>
        <v>-0.030689370492502539</v>
      </c>
      <c r="R17">
        <v>-0.028712668054070203</v>
      </c>
      <c r="S17">
        <f t="shared" si="6"/>
        <v>0.39877786682992394</v>
      </c>
      <c r="T17">
        <f t="shared" si="7"/>
        <v>0.53846153846153832</v>
      </c>
      <c r="U17">
        <f t="shared" si="8"/>
        <v>1</v>
      </c>
      <c r="V17" s="10"/>
    </row>
    <row r="18">
      <c r="A18" s="3">
        <v>2012</v>
      </c>
      <c r="B18">
        <v>26.699999999999999</v>
      </c>
      <c r="C18">
        <v>-0.90000000000000002</v>
      </c>
      <c r="D18" s="10">
        <f t="shared" si="0"/>
        <v>0.037453183520599252</v>
      </c>
      <c r="E18">
        <v>3.66853228739713</v>
      </c>
      <c r="F18">
        <f t="shared" si="1"/>
        <v>5.1875599649133743</v>
      </c>
      <c r="G18">
        <f t="shared" si="2"/>
        <v>46.869822485207109</v>
      </c>
      <c r="H18">
        <f t="shared" si="3"/>
        <v>5.0761469859968118</v>
      </c>
      <c r="L18" s="3"/>
      <c r="O18">
        <v>-4.5685322873971304</v>
      </c>
      <c r="P18">
        <f t="shared" si="4"/>
        <v>20.053871844176616</v>
      </c>
      <c r="Q18">
        <f t="shared" si="5"/>
        <v>-1.3868534406638056</v>
      </c>
      <c r="R18">
        <v>0.105504923780841</v>
      </c>
      <c r="S18">
        <f t="shared" si="6"/>
        <v>0.39672807695452184</v>
      </c>
      <c r="T18">
        <f t="shared" si="7"/>
        <v>0.57692307692307676</v>
      </c>
      <c r="U18">
        <f t="shared" si="8"/>
        <v>1</v>
      </c>
      <c r="V18" s="10"/>
    </row>
    <row r="19">
      <c r="A19" s="3">
        <v>2013</v>
      </c>
      <c r="B19">
        <v>26.399999999999999</v>
      </c>
      <c r="C19">
        <v>-0.5</v>
      </c>
      <c r="D19" s="10">
        <f t="shared" si="0"/>
        <v>0.03787878787878788</v>
      </c>
      <c r="E19">
        <v>3.7102201542993702</v>
      </c>
      <c r="F19">
        <f t="shared" si="1"/>
        <v>4.9993994743699872</v>
      </c>
      <c r="G19">
        <f t="shared" si="2"/>
        <v>41.552899408284027</v>
      </c>
      <c r="H19">
        <f t="shared" si="3"/>
        <v>8.4204403085987405</v>
      </c>
      <c r="L19" s="3"/>
      <c r="O19">
        <v>-4.2102201542993702</v>
      </c>
      <c r="P19">
        <f t="shared" si="4"/>
        <v>16.973104916909556</v>
      </c>
      <c r="Q19">
        <f t="shared" si="5"/>
        <v>-1.278081873920357</v>
      </c>
      <c r="R19">
        <v>0.15145054054495874</v>
      </c>
      <c r="S19">
        <f t="shared" si="6"/>
        <v>0.39439309409015672</v>
      </c>
      <c r="T19">
        <f t="shared" si="7"/>
        <v>0.6153846153846152</v>
      </c>
      <c r="U19">
        <f t="shared" si="8"/>
        <v>1</v>
      </c>
      <c r="V19" s="10"/>
    </row>
    <row r="20">
      <c r="A20" s="3">
        <v>2014</v>
      </c>
      <c r="B20">
        <v>23</v>
      </c>
      <c r="C20">
        <v>3.1000000000000001</v>
      </c>
      <c r="D20" s="10">
        <f t="shared" si="0"/>
        <v>0.043478260869565216</v>
      </c>
      <c r="E20">
        <v>4.2586874814566684</v>
      </c>
      <c r="F20">
        <f t="shared" si="1"/>
        <v>2.847542731984309</v>
      </c>
      <c r="G20">
        <f t="shared" si="2"/>
        <v>8.1005917159763321</v>
      </c>
      <c r="H20">
        <f t="shared" si="3"/>
        <v>0.37377015530860269</v>
      </c>
      <c r="L20" s="3"/>
      <c r="O20">
        <v>-1.1586874814566683</v>
      </c>
      <c r="P20">
        <f t="shared" si="4"/>
        <v>1.1412865848859752</v>
      </c>
      <c r="Q20">
        <f t="shared" si="5"/>
        <v>-0.35173872465456291</v>
      </c>
      <c r="R20">
        <v>0.40259155322107903</v>
      </c>
      <c r="S20">
        <f t="shared" si="6"/>
        <v>0.36788734604115764</v>
      </c>
      <c r="T20">
        <f t="shared" si="7"/>
        <v>0.65384615384615363</v>
      </c>
      <c r="U20">
        <f t="shared" si="8"/>
        <v>1</v>
      </c>
      <c r="V20" s="10"/>
    </row>
    <row r="21">
      <c r="A21" s="3">
        <v>2015</v>
      </c>
      <c r="B21">
        <v>21.899999999999999</v>
      </c>
      <c r="C21">
        <v>4</v>
      </c>
      <c r="D21" s="10">
        <f t="shared" si="0"/>
        <v>0.045662100456621009</v>
      </c>
      <c r="E21">
        <v>4.4725941586074605</v>
      </c>
      <c r="F21">
        <f t="shared" si="1"/>
        <v>2.1713781527618026</v>
      </c>
      <c r="G21">
        <f t="shared" si="2"/>
        <v>3.7875147928994091</v>
      </c>
      <c r="H21">
        <f t="shared" si="3"/>
        <v>0.11814853965186511</v>
      </c>
      <c r="L21" s="3"/>
      <c r="O21">
        <v>-0.47259415860746046</v>
      </c>
      <c r="P21">
        <f t="shared" si="4"/>
        <v>0.14608970592424644</v>
      </c>
      <c r="Q21">
        <f t="shared" si="5"/>
        <v>-0.1434637633426446</v>
      </c>
      <c r="R21">
        <v>0.44481191460270314</v>
      </c>
      <c r="S21">
        <f t="shared" si="6"/>
        <v>0.36136478253904836</v>
      </c>
      <c r="T21">
        <f t="shared" si="7"/>
        <v>0.69230769230769207</v>
      </c>
      <c r="U21">
        <f t="shared" si="8"/>
        <v>1</v>
      </c>
      <c r="V21" s="10"/>
    </row>
    <row r="22">
      <c r="A22" s="3">
        <v>2016</v>
      </c>
      <c r="B22">
        <v>21.699999999999999</v>
      </c>
      <c r="C22">
        <v>2.1000000000000001</v>
      </c>
      <c r="D22" s="10">
        <f t="shared" si="0"/>
        <v>0.046082949308755762</v>
      </c>
      <c r="E22">
        <v>4.5138162245854092</v>
      </c>
      <c r="F22">
        <f t="shared" si="1"/>
        <v>2.0515910621603273</v>
      </c>
      <c r="G22">
        <f t="shared" si="2"/>
        <v>14.792899408284024</v>
      </c>
      <c r="H22">
        <f t="shared" si="3"/>
        <v>1.1494362974216232</v>
      </c>
      <c r="L22" s="3"/>
      <c r="O22">
        <v>-2.4138162245854091</v>
      </c>
      <c r="P22">
        <f t="shared" si="4"/>
        <v>5.3983683081394265</v>
      </c>
      <c r="Q22">
        <f t="shared" si="5"/>
        <v>-0.73275378734461216</v>
      </c>
      <c r="R22">
        <v>0.5200876078868103</v>
      </c>
      <c r="S22">
        <f t="shared" si="6"/>
        <v>0.34847663582313038</v>
      </c>
      <c r="T22">
        <f t="shared" si="7"/>
        <v>0.7307692307692305</v>
      </c>
      <c r="U22">
        <f t="shared" si="8"/>
        <v>1</v>
      </c>
      <c r="V22" s="10"/>
    </row>
    <row r="23">
      <c r="A23" s="3">
        <v>2017</v>
      </c>
      <c r="B23">
        <v>21.600000000000001</v>
      </c>
      <c r="C23">
        <v>6</v>
      </c>
      <c r="D23" s="10">
        <f t="shared" si="0"/>
        <v>0.046296296296296294</v>
      </c>
      <c r="E23">
        <v>4.5347135219214518</v>
      </c>
      <c r="F23">
        <f t="shared" si="1"/>
        <v>1.9921637888692469</v>
      </c>
      <c r="G23">
        <f t="shared" si="2"/>
        <v>0.0028994082840236479</v>
      </c>
      <c r="H23">
        <f t="shared" si="3"/>
        <v>0.24421441301309135</v>
      </c>
      <c r="L23" s="3"/>
      <c r="O23">
        <v>1.4652864780785482</v>
      </c>
      <c r="P23">
        <f t="shared" si="4"/>
        <v>2.420089876221498</v>
      </c>
      <c r="Q23">
        <f t="shared" si="5"/>
        <v>0.44481191460270314</v>
      </c>
      <c r="R23">
        <v>0.86201434400255028</v>
      </c>
      <c r="S23">
        <f t="shared" si="6"/>
        <v>0.2751406389065113</v>
      </c>
      <c r="T23">
        <f t="shared" si="7"/>
        <v>0.76923076923076894</v>
      </c>
      <c r="U23">
        <f t="shared" si="8"/>
        <v>1</v>
      </c>
      <c r="V23" s="10"/>
    </row>
    <row r="24">
      <c r="A24" s="3">
        <v>2018</v>
      </c>
      <c r="B24">
        <v>19.199999999999999</v>
      </c>
      <c r="C24">
        <v>2.6000000000000001</v>
      </c>
      <c r="D24" s="10">
        <f t="shared" si="0"/>
        <v>0.052083333333333336</v>
      </c>
      <c r="E24">
        <v>5.1015527121616335</v>
      </c>
      <c r="F24">
        <f t="shared" si="1"/>
        <v>0.7133510755409318</v>
      </c>
      <c r="G24">
        <f t="shared" si="2"/>
        <v>11.196745562130179</v>
      </c>
      <c r="H24">
        <f t="shared" si="3"/>
        <v>0.96213565852370508</v>
      </c>
      <c r="L24" s="3"/>
      <c r="O24">
        <v>-2.5015527121616334</v>
      </c>
      <c r="P24">
        <f t="shared" si="4"/>
        <v>5.8137667352349229</v>
      </c>
      <c r="Q24">
        <f t="shared" si="5"/>
        <v>-0.75938764741440024</v>
      </c>
      <c r="R24">
        <v>1.0839451055242193</v>
      </c>
      <c r="S24">
        <f t="shared" si="6"/>
        <v>0.22170512870311748</v>
      </c>
      <c r="T24">
        <f t="shared" si="7"/>
        <v>0.80769230769230738</v>
      </c>
      <c r="U24">
        <f t="shared" si="8"/>
        <v>1</v>
      </c>
      <c r="V24" s="10"/>
    </row>
    <row r="25">
      <c r="A25" s="3">
        <v>2019</v>
      </c>
      <c r="B25">
        <v>17.600000000000001</v>
      </c>
      <c r="C25">
        <v>4.9000000000000004</v>
      </c>
      <c r="D25" s="10">
        <f t="shared" si="0"/>
        <v>0.056818181818181816</v>
      </c>
      <c r="E25">
        <v>5.5653302314490549</v>
      </c>
      <c r="F25">
        <f t="shared" si="1"/>
        <v>0.14502662551682344</v>
      </c>
      <c r="G25">
        <f t="shared" si="2"/>
        <v>1.0944378698224848</v>
      </c>
      <c r="H25">
        <f t="shared" si="3"/>
        <v>0.13578167988756215</v>
      </c>
      <c r="J25">
        <f>COUNT(B3:B28)</f>
        <v>26</v>
      </c>
      <c r="L25" s="3"/>
      <c r="O25">
        <v>-0.66533023144905457</v>
      </c>
      <c r="P25">
        <f t="shared" si="4"/>
        <v>0.33057084167283179</v>
      </c>
      <c r="Q25">
        <f t="shared" si="5"/>
        <v>-0.20197198194444066</v>
      </c>
      <c r="R25">
        <v>1.374532031517842</v>
      </c>
      <c r="S25">
        <f t="shared" si="6"/>
        <v>0.15511202424625312</v>
      </c>
      <c r="T25">
        <f t="shared" si="7"/>
        <v>0.84615384615384581</v>
      </c>
      <c r="U25">
        <f t="shared" si="8"/>
        <v>1</v>
      </c>
      <c r="V25" s="10"/>
    </row>
    <row r="26">
      <c r="A26" s="3">
        <v>2020</v>
      </c>
      <c r="B26">
        <v>18.5</v>
      </c>
      <c r="C26">
        <v>5.2000000000000002</v>
      </c>
      <c r="D26" s="10">
        <f t="shared" si="0"/>
        <v>0.054054054054054057</v>
      </c>
      <c r="E26">
        <v>5.2945844364055876</v>
      </c>
      <c r="F26">
        <f t="shared" si="1"/>
        <v>0.42454269571969427</v>
      </c>
      <c r="G26">
        <f t="shared" si="2"/>
        <v>0.55674556213017756</v>
      </c>
      <c r="H26">
        <f t="shared" si="3"/>
        <v>0.0181893146933822</v>
      </c>
      <c r="L26" s="3"/>
      <c r="O26">
        <v>-0.094584436405587446</v>
      </c>
      <c r="P26">
        <f t="shared" si="4"/>
        <v>1.7699764709655524e-05</v>
      </c>
      <c r="Q26">
        <f t="shared" si="5"/>
        <v>-0.028712668054070203</v>
      </c>
      <c r="R26">
        <v>1.470826759673495</v>
      </c>
      <c r="S26">
        <f t="shared" si="6"/>
        <v>0.13525353677491631</v>
      </c>
      <c r="T26">
        <f t="shared" si="7"/>
        <v>0.88461538461538425</v>
      </c>
      <c r="U26">
        <f t="shared" si="8"/>
        <v>1</v>
      </c>
      <c r="V26" s="10"/>
    </row>
    <row r="27">
      <c r="A27" s="3">
        <v>2021</v>
      </c>
      <c r="B27">
        <v>20.600000000000001</v>
      </c>
      <c r="C27">
        <v>9.5999999999999996</v>
      </c>
      <c r="D27" s="10">
        <f t="shared" si="0"/>
        <v>0.048543689320388349</v>
      </c>
      <c r="E27">
        <v>4.7548452462865711</v>
      </c>
      <c r="F27">
        <f t="shared" si="1"/>
        <v>1.4192161801177277</v>
      </c>
      <c r="G27">
        <f t="shared" si="2"/>
        <v>13.350591715976327</v>
      </c>
      <c r="H27">
        <f t="shared" si="3"/>
        <v>0.50470362017848214</v>
      </c>
      <c r="L27" s="3"/>
      <c r="O27">
        <v>4.8451547537134285</v>
      </c>
      <c r="P27">
        <f t="shared" si="4"/>
        <v>24.359476925430513</v>
      </c>
      <c r="Q27">
        <f t="shared" si="5"/>
        <v>1.470826759673495</v>
      </c>
      <c r="R27">
        <v>1.8936968620499242</v>
      </c>
      <c r="S27">
        <f t="shared" si="6"/>
        <v>0.066405032422673205</v>
      </c>
      <c r="T27">
        <f t="shared" si="7"/>
        <v>0.92307692307692268</v>
      </c>
      <c r="U27">
        <f t="shared" si="8"/>
        <v>1</v>
      </c>
      <c r="V27" s="10"/>
    </row>
    <row r="28" ht="17">
      <c r="A28" s="4">
        <v>2022</v>
      </c>
      <c r="B28" s="5">
        <v>17.300000000000001</v>
      </c>
      <c r="C28" s="5">
        <v>11.9</v>
      </c>
      <c r="D28" s="17">
        <f t="shared" si="0"/>
        <v>0.057803468208092484</v>
      </c>
      <c r="E28" s="5">
        <v>5.6618388481793849</v>
      </c>
      <c r="F28">
        <f t="shared" si="1"/>
        <v>0.080835018073218023</v>
      </c>
      <c r="G28">
        <f t="shared" si="2"/>
        <v>35.448284023668641</v>
      </c>
      <c r="H28">
        <f t="shared" si="3"/>
        <v>0.52421522284206856</v>
      </c>
      <c r="L28" s="3"/>
      <c r="O28" s="5">
        <v>6.2381611518206155</v>
      </c>
      <c r="P28">
        <f t="shared" si="4"/>
        <v>40.050399285195105</v>
      </c>
      <c r="Q28">
        <f t="shared" si="5"/>
        <v>1.8936968620499242</v>
      </c>
      <c r="R28">
        <v>1.9160714388996496</v>
      </c>
      <c r="S28">
        <f t="shared" si="6"/>
        <v>0.063634251201813277</v>
      </c>
      <c r="T28">
        <f t="shared" si="7"/>
        <v>0.96153846153846112</v>
      </c>
      <c r="U28">
        <f t="shared" si="8"/>
        <v>1</v>
      </c>
      <c r="V28" s="10"/>
    </row>
    <row r="29">
      <c r="C29" s="20">
        <f>AVERAGE(C3:C28)</f>
        <v>5.9461538461538463</v>
      </c>
      <c r="L29" s="3"/>
      <c r="O29" s="21">
        <f>AVERAGE(O3:O28)</f>
        <v>-0.090377327575326988</v>
      </c>
      <c r="P29" s="21">
        <f>SUM(P3:P28)</f>
        <v>282.1406148929737</v>
      </c>
      <c r="T29">
        <f>T28+1/26</f>
        <v>0.99999999999999956</v>
      </c>
      <c r="U29" s="8">
        <f>SUM(U4:U28)</f>
        <v>22</v>
      </c>
      <c r="V29" s="10"/>
    </row>
    <row r="30" ht="17">
      <c r="C30" s="20" t="s">
        <v>50</v>
      </c>
      <c r="L30" s="3"/>
      <c r="O30" s="21" t="s">
        <v>51</v>
      </c>
      <c r="P30" s="21" t="s">
        <v>52</v>
      </c>
      <c r="U30" s="22" t="s">
        <v>53</v>
      </c>
      <c r="V30" s="10"/>
    </row>
    <row r="31">
      <c r="A31" s="1" t="s">
        <v>5</v>
      </c>
      <c r="B31" s="2"/>
      <c r="C31" s="2"/>
      <c r="D31" s="2"/>
      <c r="E31" s="2"/>
      <c r="F31" s="2"/>
      <c r="G31" s="2"/>
      <c r="H31" s="2"/>
      <c r="I31" s="6"/>
      <c r="L31" s="3"/>
      <c r="V31" s="10"/>
    </row>
    <row r="32" ht="17">
      <c r="A32" s="3"/>
      <c r="H32" s="8" t="s">
        <v>6</v>
      </c>
      <c r="I32" s="9">
        <f>FDIST(0.05,B42,B44)</f>
        <v>0.82488044309196362</v>
      </c>
      <c r="L32" s="3"/>
      <c r="O32" s="8" t="s">
        <v>54</v>
      </c>
      <c r="P32" s="8"/>
      <c r="Q32" s="8"/>
      <c r="R32" s="8"/>
      <c r="S32" s="8" t="s">
        <v>55</v>
      </c>
      <c r="T32" s="8"/>
      <c r="U32" s="8"/>
      <c r="V32" s="10"/>
    </row>
    <row r="33" ht="17">
      <c r="A33" s="11" t="s">
        <v>7</v>
      </c>
      <c r="B33" s="12"/>
      <c r="H33" s="8" t="s">
        <v>8</v>
      </c>
      <c r="I33" s="9">
        <f>E42</f>
        <v>12.533046825725101</v>
      </c>
      <c r="L33" s="4"/>
      <c r="M33" s="5"/>
      <c r="N33" s="5"/>
      <c r="O33" s="16" t="s">
        <v>56</v>
      </c>
      <c r="P33" s="16"/>
      <c r="Q33" s="16"/>
      <c r="R33" s="16"/>
      <c r="S33" s="16"/>
      <c r="T33" s="16"/>
      <c r="U33" s="16"/>
      <c r="V33" s="17"/>
    </row>
    <row r="34">
      <c r="A34" s="3" t="s">
        <v>9</v>
      </c>
      <c r="B34">
        <v>0.58571370265165712</v>
      </c>
      <c r="H34" s="8" t="s">
        <v>10</v>
      </c>
      <c r="I34" s="9">
        <f>TINV(0.05,B43)</f>
        <v>2.0638985616280254</v>
      </c>
    </row>
    <row r="35" ht="17">
      <c r="A35" s="3" t="s">
        <v>11</v>
      </c>
      <c r="B35">
        <v>0.34306054147391402</v>
      </c>
      <c r="I35" s="10"/>
    </row>
    <row r="36">
      <c r="A36" s="3" t="s">
        <v>13</v>
      </c>
      <c r="B36">
        <v>0.31568806403532695</v>
      </c>
      <c r="I36" s="10"/>
      <c r="N36" s="1"/>
      <c r="O36" s="2"/>
      <c r="P36" s="2"/>
      <c r="Q36" s="18" t="s">
        <v>57</v>
      </c>
      <c r="R36" s="2"/>
      <c r="S36" s="2"/>
      <c r="T36" s="6"/>
    </row>
    <row r="37">
      <c r="A37" s="3" t="s">
        <v>14</v>
      </c>
      <c r="B37">
        <v>3.4181566091093156</v>
      </c>
      <c r="I37" s="10"/>
      <c r="N37" s="3"/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s="23" t="s">
        <v>63</v>
      </c>
    </row>
    <row r="38" ht="17">
      <c r="A38" s="4" t="s">
        <v>15</v>
      </c>
      <c r="B38" s="5">
        <v>26</v>
      </c>
      <c r="I38" s="10"/>
      <c r="N38" s="3">
        <v>1</v>
      </c>
      <c r="O38">
        <v>6.3118668324337683</v>
      </c>
      <c r="P38">
        <v>-5.5096904925731423</v>
      </c>
      <c r="Q38">
        <v>0.44069999999999998</v>
      </c>
      <c r="R38">
        <f t="shared" ref="R38:R63" si="9">(O38-$O$65)^2</f>
        <v>40.988730284370568</v>
      </c>
      <c r="S38">
        <f>Q38*(P63-P38)^2</f>
        <v>47.25309680685136</v>
      </c>
      <c r="T38" s="9">
        <f>S64/R64</f>
        <v>0.59945248188588451</v>
      </c>
    </row>
    <row r="39">
      <c r="A39" s="3"/>
      <c r="I39" s="10"/>
      <c r="N39" s="3">
        <v>2</v>
      </c>
      <c r="O39">
        <v>-4.299178393024464</v>
      </c>
      <c r="P39">
        <v>-4.5685322873971304</v>
      </c>
      <c r="Q39">
        <v>0.30430000000000001</v>
      </c>
      <c r="R39">
        <f t="shared" si="9"/>
        <v>17.71400640852579</v>
      </c>
      <c r="S39">
        <f>Q39*(P62-P39)^2</f>
        <v>25.179568549973446</v>
      </c>
      <c r="T39" s="10"/>
    </row>
    <row r="40" ht="17">
      <c r="A40" s="3" t="s">
        <v>16</v>
      </c>
      <c r="I40" s="10"/>
      <c r="N40" s="3">
        <v>3</v>
      </c>
      <c r="O40">
        <v>1.3262053909917961</v>
      </c>
      <c r="P40">
        <v>-4.299178393024464</v>
      </c>
      <c r="Q40">
        <v>0.25330000000000003</v>
      </c>
      <c r="R40">
        <f t="shared" si="9"/>
        <v>2.0067065985430212</v>
      </c>
      <c r="S40">
        <f>Q40*(P61-P40)^2</f>
        <v>15.688133749994208</v>
      </c>
      <c r="T40" s="10"/>
    </row>
    <row r="41">
      <c r="A41" s="14"/>
      <c r="B41" s="15" t="s">
        <v>17</v>
      </c>
      <c r="C41" s="15" t="s">
        <v>18</v>
      </c>
      <c r="D41" s="15" t="s">
        <v>19</v>
      </c>
      <c r="E41" s="15" t="s">
        <v>20</v>
      </c>
      <c r="F41" s="15" t="s">
        <v>21</v>
      </c>
      <c r="I41" s="10"/>
      <c r="N41" s="3">
        <v>4</v>
      </c>
      <c r="O41">
        <v>-5.5096904925731423</v>
      </c>
      <c r="P41">
        <v>-4.2102201542993702</v>
      </c>
      <c r="Q41">
        <v>0.21510000000000001</v>
      </c>
      <c r="R41">
        <f t="shared" si="9"/>
        <v>29.368955180318636</v>
      </c>
      <c r="S41">
        <f>Q41*(P60-P41)^2</f>
        <v>10.690530820907606</v>
      </c>
      <c r="T41" s="10"/>
    </row>
    <row r="42">
      <c r="A42" s="3" t="s">
        <v>22</v>
      </c>
      <c r="B42">
        <v>1</v>
      </c>
      <c r="C42">
        <v>146.43354487907061</v>
      </c>
      <c r="D42">
        <v>146.43354487907061</v>
      </c>
      <c r="E42">
        <v>12.533046825725101</v>
      </c>
      <c r="F42">
        <v>0.0016677608481840461</v>
      </c>
      <c r="I42" s="10"/>
      <c r="N42" s="3">
        <v>5</v>
      </c>
      <c r="O42">
        <v>-4.1243073940093131</v>
      </c>
      <c r="P42">
        <v>-4.1243073940093131</v>
      </c>
      <c r="Q42">
        <v>0.18360000000000001</v>
      </c>
      <c r="R42">
        <f t="shared" si="9"/>
        <v>16.272591780880102</v>
      </c>
      <c r="S42">
        <f>Q42*(P59-P42)^2</f>
        <v>6.2565672446053284</v>
      </c>
      <c r="T42" s="10"/>
    </row>
    <row r="43">
      <c r="A43" s="3" t="s">
        <v>23</v>
      </c>
      <c r="B43">
        <v>24</v>
      </c>
      <c r="C43">
        <v>280.41107050554467</v>
      </c>
      <c r="D43">
        <v>11.683794604397695</v>
      </c>
      <c r="I43" s="10"/>
      <c r="N43" s="3">
        <v>6</v>
      </c>
      <c r="O43">
        <v>-1.6555416350743233</v>
      </c>
      <c r="P43">
        <v>-2.9125836278349109</v>
      </c>
      <c r="Q43">
        <v>0.15629999999999999</v>
      </c>
      <c r="R43">
        <f t="shared" si="9"/>
        <v>2.4497393094688125</v>
      </c>
      <c r="S43">
        <f>Q43*(P58-P43)^2</f>
        <v>2.9956062036223878</v>
      </c>
      <c r="T43" s="10"/>
    </row>
    <row r="44" ht="17">
      <c r="A44" s="4" t="s">
        <v>24</v>
      </c>
      <c r="B44" s="5">
        <v>25</v>
      </c>
      <c r="C44" s="5">
        <v>426.84461538461528</v>
      </c>
      <c r="D44" s="5"/>
      <c r="E44" s="5"/>
      <c r="F44" s="5"/>
      <c r="I44" s="10"/>
      <c r="N44" s="3">
        <v>7</v>
      </c>
      <c r="O44">
        <v>-2.9125836278349109</v>
      </c>
      <c r="P44">
        <v>-2.5015527121616334</v>
      </c>
      <c r="Q44">
        <v>0.13159999999999999</v>
      </c>
      <c r="R44">
        <f t="shared" si="9"/>
        <v>7.9648484012248888</v>
      </c>
      <c r="S44">
        <f>Q44*(P57-P44)^2</f>
        <v>1.9281679438673869</v>
      </c>
      <c r="T44" s="10"/>
    </row>
    <row r="45" ht="17">
      <c r="A45" s="3"/>
      <c r="I45" s="10"/>
      <c r="N45" s="3">
        <v>8</v>
      </c>
      <c r="O45">
        <v>-1.3467490700362132</v>
      </c>
      <c r="P45">
        <v>-2.4138162245854091</v>
      </c>
      <c r="Q45">
        <v>0.1089</v>
      </c>
      <c r="R45">
        <f t="shared" si="9"/>
        <v>1.5784699552542034</v>
      </c>
      <c r="S45">
        <f>Q45*(P56-P45)^2</f>
        <v>0.92390094834772118</v>
      </c>
      <c r="T45" s="10"/>
    </row>
    <row r="46">
      <c r="A46" s="14"/>
      <c r="B46" s="15" t="s">
        <v>25</v>
      </c>
      <c r="C46" s="15" t="s">
        <v>14</v>
      </c>
      <c r="D46" s="24" t="s">
        <v>26</v>
      </c>
      <c r="E46" s="15" t="s">
        <v>27</v>
      </c>
      <c r="F46" s="15" t="s">
        <v>28</v>
      </c>
      <c r="G46" s="15" t="s">
        <v>29</v>
      </c>
      <c r="H46" s="15" t="s">
        <v>30</v>
      </c>
      <c r="I46" s="25" t="s">
        <v>31</v>
      </c>
      <c r="N46" s="3">
        <v>9</v>
      </c>
      <c r="O46">
        <v>1.7132574785759349</v>
      </c>
      <c r="P46">
        <v>-25.388221474513927</v>
      </c>
      <c r="Q46">
        <v>0.087599999999999997</v>
      </c>
      <c r="R46">
        <f t="shared" si="9"/>
        <v>3.2530985139603001</v>
      </c>
      <c r="S46">
        <f>Q46*(P55-P46)^2</f>
        <v>58.020107813646518</v>
      </c>
      <c r="T46" s="10"/>
    </row>
    <row r="47">
      <c r="A47" s="3" t="s">
        <v>32</v>
      </c>
      <c r="B47">
        <v>-0.82641301000457457</v>
      </c>
      <c r="C47">
        <v>2.0270950260357541</v>
      </c>
      <c r="D47" s="8">
        <v>-0.40768340871554098</v>
      </c>
      <c r="E47">
        <v>0.68711999504627108</v>
      </c>
      <c r="F47">
        <v>-5.0101315185230924</v>
      </c>
      <c r="G47">
        <v>3.3573054985139432</v>
      </c>
      <c r="H47">
        <v>-5.0101315185230924</v>
      </c>
      <c r="I47" s="10">
        <v>3.3573054985139432</v>
      </c>
      <c r="J47" t="s">
        <v>64</v>
      </c>
      <c r="N47" s="3">
        <v>10</v>
      </c>
      <c r="O47">
        <v>2.8396225926296514</v>
      </c>
      <c r="P47">
        <v>-1.6555416350743233</v>
      </c>
      <c r="Q47">
        <v>0.067199999999999996</v>
      </c>
      <c r="R47">
        <f t="shared" si="9"/>
        <v>8.584899532401181</v>
      </c>
      <c r="S47">
        <f>Q47*(P54-P47)^2</f>
        <v>0.08746436779308539</v>
      </c>
      <c r="T47" s="10"/>
    </row>
    <row r="48" ht="17">
      <c r="A48" s="4" t="s">
        <v>34</v>
      </c>
      <c r="B48" s="5">
        <v>109.89285596717048</v>
      </c>
      <c r="C48" s="5">
        <v>31.041387774323397</v>
      </c>
      <c r="D48" s="16">
        <v>3.5402043480179355</v>
      </c>
      <c r="E48" s="5">
        <v>0.0016677608481840505</v>
      </c>
      <c r="F48" s="5">
        <v>45.826580388806647</v>
      </c>
      <c r="G48" s="5">
        <v>173.95913154553432</v>
      </c>
      <c r="H48" s="5">
        <v>45.826580388806647</v>
      </c>
      <c r="I48" s="17">
        <v>173.95913154553432</v>
      </c>
      <c r="N48" s="3">
        <v>11</v>
      </c>
      <c r="O48">
        <v>3.570700455545782</v>
      </c>
      <c r="P48">
        <v>-1.3467490700362132</v>
      </c>
      <c r="Q48">
        <v>0.047600000000000003</v>
      </c>
      <c r="R48">
        <f t="shared" si="9"/>
        <v>13.403490534062973</v>
      </c>
      <c r="S48">
        <f>Q48*(P53-P48)^2</f>
        <v>0.074632814438449199</v>
      </c>
      <c r="T48" s="10"/>
    </row>
    <row r="49">
      <c r="N49" s="3">
        <v>12</v>
      </c>
      <c r="O49">
        <v>4.5279434595808175</v>
      </c>
      <c r="P49">
        <v>-1.1586874814566683</v>
      </c>
      <c r="Q49">
        <v>0.028400000000000002</v>
      </c>
      <c r="R49">
        <f t="shared" si="9"/>
        <v>21.32888689307855</v>
      </c>
      <c r="S49">
        <f>Q49*(P52-P49)^2</f>
        <v>0.031765390733719728</v>
      </c>
      <c r="T49" s="10"/>
    </row>
    <row r="50">
      <c r="N50" s="3">
        <v>13</v>
      </c>
      <c r="O50">
        <v>0.3475512528140241</v>
      </c>
      <c r="P50">
        <v>-0.66533023144905457</v>
      </c>
      <c r="Q50">
        <v>0.0094000000000000004</v>
      </c>
      <c r="R50">
        <f t="shared" si="9"/>
        <v>0.19178144152183246</v>
      </c>
      <c r="S50">
        <f>Q50*(P51-P50)^2</f>
        <v>0.00034918362147936253</v>
      </c>
      <c r="T50" s="10"/>
    </row>
    <row r="51">
      <c r="N51" s="3">
        <v>14</v>
      </c>
      <c r="O51">
        <v>0.49890396788590508</v>
      </c>
      <c r="P51">
        <v>-0.47259415860746046</v>
      </c>
      <c r="R51">
        <f t="shared" si="9"/>
        <v>0.34725244518046805</v>
      </c>
      <c r="T51" s="10"/>
    </row>
    <row r="52" ht="17">
      <c r="N52" s="3">
        <v>15</v>
      </c>
      <c r="O52">
        <v>-0.10109603211409457</v>
      </c>
      <c r="P52">
        <v>-0.10109603211409457</v>
      </c>
      <c r="R52">
        <f t="shared" si="9"/>
        <v>0.00011489062698939407</v>
      </c>
      <c r="T52" s="10"/>
    </row>
    <row r="53">
      <c r="A53" s="1" t="s">
        <v>5</v>
      </c>
      <c r="B53" s="2"/>
      <c r="C53" s="2"/>
      <c r="D53" s="2"/>
      <c r="E53" s="2"/>
      <c r="F53" s="2"/>
      <c r="G53" s="2"/>
      <c r="H53" s="2"/>
      <c r="I53" s="6"/>
      <c r="N53" s="3">
        <v>16</v>
      </c>
      <c r="O53">
        <v>-4.5685322873971304</v>
      </c>
      <c r="P53">
        <v>-0.094584436405587446</v>
      </c>
      <c r="R53">
        <f t="shared" si="9"/>
        <v>20.053871844176616</v>
      </c>
      <c r="T53" s="10"/>
    </row>
    <row r="54" ht="17">
      <c r="A54" s="3"/>
      <c r="H54" s="8" t="s">
        <v>6</v>
      </c>
      <c r="I54" s="9">
        <f>FDIST(0.05,B64,B66)</f>
        <v>0.82481093357936808</v>
      </c>
      <c r="N54" s="3">
        <v>17</v>
      </c>
      <c r="O54">
        <v>-4.2102201542993702</v>
      </c>
      <c r="P54">
        <v>-2.7963979328432442</v>
      </c>
      <c r="R54">
        <f t="shared" si="9"/>
        <v>16.973104916909556</v>
      </c>
      <c r="T54" s="10"/>
    </row>
    <row r="55">
      <c r="A55" s="11" t="s">
        <v>7</v>
      </c>
      <c r="B55" s="12"/>
      <c r="H55" s="8" t="s">
        <v>8</v>
      </c>
      <c r="I55" s="9">
        <f>E64</f>
        <v>94.18769005062002</v>
      </c>
      <c r="N55" s="3">
        <v>18</v>
      </c>
      <c r="O55">
        <v>-1.1586874814566683</v>
      </c>
      <c r="P55">
        <v>0.3475512528140241</v>
      </c>
      <c r="R55">
        <f t="shared" si="9"/>
        <v>1.1412865848859752</v>
      </c>
      <c r="T55" s="10"/>
    </row>
    <row r="56">
      <c r="A56" s="3" t="s">
        <v>9</v>
      </c>
      <c r="B56">
        <v>0.88895826385231957</v>
      </c>
      <c r="H56" s="8" t="s">
        <v>10</v>
      </c>
      <c r="I56" s="9">
        <f>TINV(0.05,B65)</f>
        <v>2.0595385527532977</v>
      </c>
      <c r="N56" s="3">
        <v>19</v>
      </c>
      <c r="O56">
        <v>-0.47259415860746046</v>
      </c>
      <c r="P56">
        <v>0.49890396788590508</v>
      </c>
      <c r="R56">
        <f t="shared" si="9"/>
        <v>0.14608970592424636</v>
      </c>
      <c r="T56" s="10"/>
    </row>
    <row r="57">
      <c r="A57" s="3" t="s">
        <v>11</v>
      </c>
      <c r="B57">
        <v>0.79024679487132998</v>
      </c>
      <c r="I57" s="10"/>
      <c r="N57" s="3">
        <v>20</v>
      </c>
      <c r="O57">
        <v>-2.4138162245854091</v>
      </c>
      <c r="P57">
        <v>1.3262053909917961</v>
      </c>
      <c r="R57">
        <f t="shared" si="9"/>
        <v>5.3983683081394265</v>
      </c>
      <c r="T57" s="10"/>
    </row>
    <row r="58">
      <c r="A58" s="3" t="s">
        <v>13</v>
      </c>
      <c r="B58">
        <v>0.75024679487133028</v>
      </c>
      <c r="I58" s="10"/>
      <c r="N58" s="3">
        <v>21</v>
      </c>
      <c r="O58">
        <v>1.4652864780785482</v>
      </c>
      <c r="P58">
        <v>1.4652864780785482</v>
      </c>
      <c r="R58">
        <f t="shared" si="9"/>
        <v>2.420089876221498</v>
      </c>
      <c r="T58" s="10"/>
    </row>
    <row r="59">
      <c r="A59" s="3" t="s">
        <v>14</v>
      </c>
      <c r="B59">
        <v>3.3606724594212078</v>
      </c>
      <c r="I59" s="10"/>
      <c r="N59" s="3">
        <v>22</v>
      </c>
      <c r="O59">
        <v>-2.5015527121616334</v>
      </c>
      <c r="P59">
        <v>1.7132574785759349</v>
      </c>
      <c r="R59">
        <f t="shared" si="9"/>
        <v>5.8137667352349229</v>
      </c>
      <c r="T59" s="10"/>
    </row>
    <row r="60" ht="17">
      <c r="A60" s="4" t="s">
        <v>15</v>
      </c>
      <c r="B60" s="5">
        <v>26</v>
      </c>
      <c r="I60" s="10"/>
      <c r="N60" s="3">
        <v>23</v>
      </c>
      <c r="O60">
        <v>-0.66533023144905457</v>
      </c>
      <c r="P60">
        <v>2.8396225926296514</v>
      </c>
      <c r="R60">
        <f t="shared" si="9"/>
        <v>0.33057084167283168</v>
      </c>
      <c r="T60" s="10"/>
    </row>
    <row r="61">
      <c r="A61" s="3"/>
      <c r="I61" s="10"/>
      <c r="N61" s="3">
        <v>24</v>
      </c>
      <c r="O61">
        <v>-0.094584436405587446</v>
      </c>
      <c r="P61">
        <v>3.570700455545782</v>
      </c>
      <c r="R61">
        <f t="shared" si="9"/>
        <v>1.7699764709654474e-05</v>
      </c>
      <c r="T61" s="10"/>
    </row>
    <row r="62" ht="17">
      <c r="A62" s="3" t="s">
        <v>16</v>
      </c>
      <c r="I62" s="10"/>
      <c r="N62" s="3">
        <v>25</v>
      </c>
      <c r="O62">
        <v>4.8451547537134285</v>
      </c>
      <c r="P62">
        <v>4.5279434595808175</v>
      </c>
      <c r="R62">
        <f t="shared" si="9"/>
        <v>24.359476925430513</v>
      </c>
      <c r="T62" s="10"/>
    </row>
    <row r="63" ht="17">
      <c r="A63" s="14"/>
      <c r="B63" s="15" t="s">
        <v>17</v>
      </c>
      <c r="C63" s="15" t="s">
        <v>18</v>
      </c>
      <c r="D63" s="15" t="s">
        <v>19</v>
      </c>
      <c r="E63" s="15" t="s">
        <v>20</v>
      </c>
      <c r="F63" s="15" t="s">
        <v>21</v>
      </c>
      <c r="I63" s="10"/>
      <c r="N63" s="3">
        <v>26</v>
      </c>
      <c r="O63" s="5">
        <v>6.2381611518206155</v>
      </c>
      <c r="P63">
        <v>4.8451547537134285</v>
      </c>
      <c r="R63">
        <f t="shared" si="9"/>
        <v>40.050399285195105</v>
      </c>
      <c r="T63" s="10"/>
    </row>
    <row r="64">
      <c r="A64" s="3" t="s">
        <v>22</v>
      </c>
      <c r="B64">
        <v>1</v>
      </c>
      <c r="C64">
        <v>1063.767015512195</v>
      </c>
      <c r="D64">
        <v>1063.767015512195</v>
      </c>
      <c r="E64">
        <v>94.18769005062002</v>
      </c>
      <c r="F64">
        <v>8.7923348823320312e-10</v>
      </c>
      <c r="I64" s="10"/>
      <c r="N64" s="3" t="s">
        <v>65</v>
      </c>
      <c r="O64">
        <v>6.2381611518206155</v>
      </c>
      <c r="R64">
        <f>SUM(R38:R63)</f>
        <v>282.14061489297376</v>
      </c>
      <c r="S64">
        <f>SUM(S38:S50)</f>
        <v>169.12989183840267</v>
      </c>
      <c r="T64" s="10"/>
    </row>
    <row r="65">
      <c r="A65" s="3" t="s">
        <v>23</v>
      </c>
      <c r="B65">
        <v>25</v>
      </c>
      <c r="C65">
        <v>282.35298448780475</v>
      </c>
      <c r="D65">
        <v>11.294119379512189</v>
      </c>
      <c r="I65" s="10"/>
      <c r="N65" s="3" t="s">
        <v>66</v>
      </c>
      <c r="O65">
        <f>AVERAGE(O38:O63)</f>
        <v>-0.090377327575327113</v>
      </c>
      <c r="T65" s="10"/>
    </row>
    <row r="66" ht="17">
      <c r="A66" s="4" t="s">
        <v>24</v>
      </c>
      <c r="B66" s="5">
        <v>26</v>
      </c>
      <c r="C66" s="5">
        <v>1346.1199999999999</v>
      </c>
      <c r="D66" s="5"/>
      <c r="E66" s="5"/>
      <c r="F66" s="5"/>
      <c r="I66" s="10"/>
      <c r="N66" s="3"/>
      <c r="T66" s="10"/>
    </row>
    <row r="67" ht="17">
      <c r="A67" s="3"/>
      <c r="I67" s="10"/>
      <c r="N67" s="3"/>
      <c r="T67" s="10"/>
    </row>
    <row r="68">
      <c r="A68" s="14"/>
      <c r="B68" s="15" t="s">
        <v>25</v>
      </c>
      <c r="C68" s="15" t="s">
        <v>14</v>
      </c>
      <c r="D68" s="15" t="s">
        <v>26</v>
      </c>
      <c r="E68" s="15" t="s">
        <v>27</v>
      </c>
      <c r="F68" s="15" t="s">
        <v>28</v>
      </c>
      <c r="G68" s="15" t="s">
        <v>29</v>
      </c>
      <c r="H68" s="15" t="s">
        <v>30</v>
      </c>
      <c r="I68" s="25" t="s">
        <v>31</v>
      </c>
      <c r="N68" s="26"/>
      <c r="O68" s="8" t="s">
        <v>67</v>
      </c>
      <c r="P68" s="8"/>
      <c r="Q68" s="8"/>
      <c r="R68" s="8"/>
      <c r="S68" s="8"/>
      <c r="T68" s="9"/>
    </row>
    <row r="69" ht="17">
      <c r="A69" s="3" t="s">
        <v>32</v>
      </c>
      <c r="B69">
        <v>0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s="10" t="e">
        <v>#N/A</v>
      </c>
      <c r="N69" s="27"/>
      <c r="O69" s="16" t="s">
        <v>68</v>
      </c>
      <c r="P69" s="16"/>
      <c r="Q69" s="16"/>
      <c r="R69" s="16"/>
      <c r="S69" s="16"/>
      <c r="T69" s="28"/>
    </row>
    <row r="70" ht="17">
      <c r="A70" s="4" t="s">
        <v>34</v>
      </c>
      <c r="B70" s="5">
        <v>97.949812073503367</v>
      </c>
      <c r="C70" s="5">
        <v>10.092680707427517</v>
      </c>
      <c r="D70" s="5">
        <v>9.7050342632378186</v>
      </c>
      <c r="E70" s="5">
        <v>5.8469250413174487e-10</v>
      </c>
      <c r="F70" s="5">
        <v>77.163547055926969</v>
      </c>
      <c r="G70" s="5">
        <v>118.73607709107976</v>
      </c>
      <c r="H70" s="5">
        <v>77.163547055926969</v>
      </c>
      <c r="I70" s="17">
        <v>118.73607709107976</v>
      </c>
    </row>
    <row r="71" ht="17">
      <c r="A71" s="26" t="s">
        <v>69</v>
      </c>
      <c r="B71" s="8"/>
      <c r="C71" s="8"/>
    </row>
    <row r="72">
      <c r="O72" s="1"/>
      <c r="P72" s="2"/>
      <c r="Q72" s="18" t="s">
        <v>70</v>
      </c>
      <c r="R72" s="2"/>
      <c r="S72" s="6"/>
    </row>
    <row r="73">
      <c r="O73" s="3" t="s">
        <v>58</v>
      </c>
      <c r="P73" t="s">
        <v>71</v>
      </c>
      <c r="Q73" t="s">
        <v>72</v>
      </c>
      <c r="R73" t="s">
        <v>73</v>
      </c>
      <c r="S73" s="10"/>
    </row>
    <row r="74">
      <c r="A74" t="s">
        <v>74</v>
      </c>
      <c r="O74" s="3">
        <v>6.3118668324337683</v>
      </c>
      <c r="P74">
        <f t="shared" ref="P74:P99" si="10">(O74-$O$65)^2</f>
        <v>40.988730284370568</v>
      </c>
      <c r="Q74">
        <f t="shared" ref="Q74:Q99" si="11">(O74-$O$65)^3</f>
        <v>262.41985908929939</v>
      </c>
      <c r="R74">
        <f t="shared" ref="R74:R99" si="12">(O74-$O$65)^4</f>
        <v>1680.076010324877</v>
      </c>
      <c r="S74" s="10"/>
    </row>
    <row r="75" ht="17">
      <c r="E75" t="s">
        <v>75</v>
      </c>
      <c r="O75" s="3">
        <v>-4.299178393024464</v>
      </c>
      <c r="P75">
        <f t="shared" si="10"/>
        <v>17.71400640852579</v>
      </c>
      <c r="Q75">
        <f t="shared" si="11"/>
        <v>-74.554729045576181</v>
      </c>
      <c r="R75">
        <f t="shared" si="12"/>
        <v>313.78602304129276</v>
      </c>
      <c r="S75" s="10"/>
    </row>
    <row r="76">
      <c r="A76" s="15" t="s">
        <v>76</v>
      </c>
      <c r="B76" s="15" t="s">
        <v>77</v>
      </c>
      <c r="C76" s="15" t="s">
        <v>78</v>
      </c>
      <c r="E76" s="29" t="s">
        <v>79</v>
      </c>
      <c r="F76" s="30" t="s">
        <v>80</v>
      </c>
      <c r="G76" s="2">
        <f>SUM(F3:F28)/SUM(G3:G28)</f>
        <v>0.27304306300198472</v>
      </c>
      <c r="H76" s="31">
        <v>0.27000000000000002</v>
      </c>
      <c r="O76" s="3">
        <v>1.3262053909917961</v>
      </c>
      <c r="P76">
        <f t="shared" si="10"/>
        <v>2.0067065985430212</v>
      </c>
      <c r="Q76">
        <f t="shared" si="11"/>
        <v>2.8426658887306577</v>
      </c>
      <c r="R76">
        <f t="shared" si="12"/>
        <v>4.0268713726361023</v>
      </c>
      <c r="S76" s="10"/>
    </row>
    <row r="77" ht="17">
      <c r="A77">
        <v>1</v>
      </c>
      <c r="B77">
        <v>12.888133167566231</v>
      </c>
      <c r="C77">
        <v>6.3118668324337683</v>
      </c>
      <c r="E77" s="4" t="s">
        <v>81</v>
      </c>
      <c r="F77" s="32" t="s">
        <v>82</v>
      </c>
      <c r="G77" s="5">
        <f>AVERAGE(H3:H28)*100</f>
        <v>92.921347834894263</v>
      </c>
      <c r="H77" s="17" t="s">
        <v>83</v>
      </c>
      <c r="O77" s="3">
        <v>-5.5096904925731423</v>
      </c>
      <c r="P77">
        <f t="shared" si="10"/>
        <v>29.368955180318636</v>
      </c>
      <c r="Q77">
        <f t="shared" si="11"/>
        <v>-159.15956545093158</v>
      </c>
      <c r="R77">
        <f t="shared" si="12"/>
        <v>862.53552838356484</v>
      </c>
      <c r="S77" s="10"/>
    </row>
    <row r="78">
      <c r="A78">
        <v>2</v>
      </c>
      <c r="B78">
        <v>7.8991783930244646</v>
      </c>
      <c r="C78">
        <v>-4.299178393024464</v>
      </c>
      <c r="O78" s="3">
        <v>-4.1243073940093131</v>
      </c>
      <c r="P78">
        <f t="shared" si="10"/>
        <v>16.272591780880102</v>
      </c>
      <c r="Q78">
        <f t="shared" si="11"/>
        <v>-65.642497243698813</v>
      </c>
      <c r="R78">
        <f t="shared" si="12"/>
        <v>264.79724326716666</v>
      </c>
      <c r="S78" s="10"/>
    </row>
    <row r="79">
      <c r="A79">
        <v>3</v>
      </c>
      <c r="B79">
        <v>7.7737946090082035</v>
      </c>
      <c r="C79">
        <v>1.3262053909917961</v>
      </c>
      <c r="O79" s="3">
        <v>-1.6555416350743233</v>
      </c>
      <c r="P79">
        <f t="shared" si="10"/>
        <v>2.4497393094688125</v>
      </c>
      <c r="Q79">
        <f t="shared" si="11"/>
        <v>-3.8342445298578234</v>
      </c>
      <c r="R79">
        <f t="shared" si="12"/>
        <v>6.0012226843567342</v>
      </c>
      <c r="S79" s="10"/>
    </row>
    <row r="80">
      <c r="A80">
        <v>4</v>
      </c>
      <c r="B80">
        <v>9.5096904925731423</v>
      </c>
      <c r="C80">
        <v>-5.5096904925731423</v>
      </c>
      <c r="O80" s="3">
        <v>-2.9125836278349109</v>
      </c>
      <c r="P80">
        <f t="shared" si="10"/>
        <v>7.9648484012248888</v>
      </c>
      <c r="Q80">
        <f t="shared" si="11"/>
        <v>-22.478445338549356</v>
      </c>
      <c r="R80">
        <f t="shared" si="12"/>
        <v>63.438810054494667</v>
      </c>
      <c r="S80" s="10"/>
    </row>
    <row r="81">
      <c r="A81">
        <v>5</v>
      </c>
      <c r="B81">
        <v>8.8243073940093133</v>
      </c>
      <c r="C81">
        <v>-4.1243073940093131</v>
      </c>
      <c r="O81" s="3">
        <v>-1.3467490700362132</v>
      </c>
      <c r="P81">
        <f t="shared" si="10"/>
        <v>1.5784699552542034</v>
      </c>
      <c r="Q81">
        <f t="shared" si="11"/>
        <v>-1.9831450481048807</v>
      </c>
      <c r="R81">
        <f t="shared" si="12"/>
        <v>2.491567399640207</v>
      </c>
      <c r="S81" s="10"/>
    </row>
    <row r="82">
      <c r="A82">
        <v>6</v>
      </c>
      <c r="B82">
        <v>7.2555416350743229</v>
      </c>
      <c r="C82">
        <v>-1.6555416350743233</v>
      </c>
      <c r="O82" s="3">
        <v>1.7132574785759349</v>
      </c>
      <c r="P82">
        <f t="shared" si="10"/>
        <v>3.2530985139603001</v>
      </c>
      <c r="Q82">
        <f t="shared" si="11"/>
        <v>5.867401707617744</v>
      </c>
      <c r="R82">
        <f t="shared" si="12"/>
        <v>10.582649941530713</v>
      </c>
      <c r="S82" s="10"/>
    </row>
    <row r="83">
      <c r="A83">
        <v>7</v>
      </c>
      <c r="B83">
        <v>7.7125836278349107</v>
      </c>
      <c r="C83">
        <v>-2.9125836278349109</v>
      </c>
      <c r="O83" s="3">
        <v>2.8396225926296514</v>
      </c>
      <c r="P83">
        <f t="shared" si="10"/>
        <v>8.584899532401181</v>
      </c>
      <c r="Q83">
        <f t="shared" si="11"/>
        <v>25.153754944903216</v>
      </c>
      <c r="R83">
        <f t="shared" si="12"/>
        <v>73.700499981422013</v>
      </c>
      <c r="S83" s="10"/>
    </row>
    <row r="84">
      <c r="A84">
        <v>8</v>
      </c>
      <c r="B84">
        <v>7.0467490700362134</v>
      </c>
      <c r="C84">
        <v>-1.3467490700362132</v>
      </c>
      <c r="O84" s="3">
        <v>3.570700455545782</v>
      </c>
      <c r="P84">
        <f t="shared" si="10"/>
        <v>13.403490534062973</v>
      </c>
      <c r="Q84">
        <f t="shared" si="11"/>
        <v>49.07122141053204</v>
      </c>
      <c r="R84">
        <f t="shared" si="12"/>
        <v>179.65355849671573</v>
      </c>
      <c r="S84" s="10"/>
    </row>
    <row r="85">
      <c r="A85">
        <v>9</v>
      </c>
      <c r="B85">
        <v>6.4867425214240644</v>
      </c>
      <c r="C85">
        <v>1.7132574785759349</v>
      </c>
      <c r="O85" s="3">
        <v>4.5279434595808175</v>
      </c>
      <c r="P85">
        <f t="shared" si="10"/>
        <v>21.32888689307855</v>
      </c>
      <c r="Q85">
        <f t="shared" si="11"/>
        <v>98.503641705206903</v>
      </c>
      <c r="R85">
        <f t="shared" si="12"/>
        <v>454.92141609773796</v>
      </c>
      <c r="S85" s="10"/>
    </row>
    <row r="86">
      <c r="A86">
        <v>10</v>
      </c>
      <c r="B86">
        <v>6.3603774073703478</v>
      </c>
      <c r="C86">
        <v>2.8396225926296514</v>
      </c>
      <c r="O86" s="3">
        <v>0.3475512528140241</v>
      </c>
      <c r="P86">
        <f t="shared" si="10"/>
        <v>0.19178144152183246</v>
      </c>
      <c r="Q86">
        <f t="shared" si="11"/>
        <v>0.083986574430679473</v>
      </c>
      <c r="R86">
        <f t="shared" si="12"/>
        <v>0.036780121312192042</v>
      </c>
      <c r="S86" s="10"/>
    </row>
    <row r="87">
      <c r="A87">
        <v>11</v>
      </c>
      <c r="B87">
        <v>5.6292995444542173</v>
      </c>
      <c r="C87">
        <v>3.570700455545782</v>
      </c>
      <c r="O87" s="3">
        <v>0.49890396788590508</v>
      </c>
      <c r="P87">
        <f t="shared" si="10"/>
        <v>0.34725244518046805</v>
      </c>
      <c r="Q87">
        <f t="shared" si="11"/>
        <v>0.20462937074802673</v>
      </c>
      <c r="R87">
        <f t="shared" si="12"/>
        <v>0.12058426068381396</v>
      </c>
      <c r="S87" s="10"/>
    </row>
    <row r="88">
      <c r="A88">
        <v>12</v>
      </c>
      <c r="B88">
        <v>5.4720565404191825</v>
      </c>
      <c r="C88">
        <v>4.5279434595808175</v>
      </c>
      <c r="O88" s="3">
        <v>-0.10109603211409457</v>
      </c>
      <c r="P88">
        <f t="shared" si="10"/>
        <v>0.00011489062698939407</v>
      </c>
      <c r="Q88">
        <f t="shared" si="11"/>
        <v>-1.231478684973057e-06</v>
      </c>
      <c r="R88">
        <f t="shared" si="12"/>
        <v>1.3199856170016085e-08</v>
      </c>
      <c r="S88" s="10"/>
    </row>
    <row r="89">
      <c r="A89">
        <v>13</v>
      </c>
      <c r="B89">
        <v>5.3524487471859761</v>
      </c>
      <c r="C89">
        <v>0.3475512528140241</v>
      </c>
      <c r="O89" s="3">
        <v>-4.5685322873971304</v>
      </c>
      <c r="P89">
        <f t="shared" si="10"/>
        <v>20.053871844176616</v>
      </c>
      <c r="Q89">
        <f t="shared" si="11"/>
        <v>-89.804345662630325</v>
      </c>
      <c r="R89">
        <f t="shared" si="12"/>
        <v>402.15777594265961</v>
      </c>
      <c r="S89" s="10"/>
    </row>
    <row r="90">
      <c r="A90">
        <v>14</v>
      </c>
      <c r="B90">
        <v>3.6010960321140946</v>
      </c>
      <c r="C90">
        <v>0.49890396788590508</v>
      </c>
      <c r="O90" s="3">
        <v>-4.2102201542993702</v>
      </c>
      <c r="P90">
        <f t="shared" si="10"/>
        <v>16.973104916909556</v>
      </c>
      <c r="Q90">
        <f t="shared" si="11"/>
        <v>-69.926524539164419</v>
      </c>
      <c r="R90">
        <f t="shared" si="12"/>
        <v>288.08629052041931</v>
      </c>
      <c r="S90" s="10"/>
    </row>
    <row r="91">
      <c r="A91">
        <v>15</v>
      </c>
      <c r="B91">
        <v>3.6010960321140946</v>
      </c>
      <c r="C91">
        <v>-0.10109603211409457</v>
      </c>
      <c r="O91" s="3">
        <v>-1.1586874814566683</v>
      </c>
      <c r="P91">
        <f t="shared" si="10"/>
        <v>1.1412865848859752</v>
      </c>
      <c r="Q91">
        <f t="shared" si="11"/>
        <v>-1.2192480471222467</v>
      </c>
      <c r="R91">
        <f t="shared" si="12"/>
        <v>1.3025350688406923</v>
      </c>
      <c r="S91" s="10"/>
    </row>
    <row r="92">
      <c r="A92">
        <v>16</v>
      </c>
      <c r="B92">
        <v>3.66853228739713</v>
      </c>
      <c r="C92">
        <v>-4.5685322873971304</v>
      </c>
      <c r="O92" s="3">
        <v>-0.47259415860746046</v>
      </c>
      <c r="P92">
        <f t="shared" si="10"/>
        <v>0.14608970592424636</v>
      </c>
      <c r="Q92">
        <f t="shared" si="11"/>
        <v>-0.055837944444781719</v>
      </c>
      <c r="R92">
        <f t="shared" si="12"/>
        <v>0.021342202177032782</v>
      </c>
      <c r="S92" s="10"/>
    </row>
    <row r="93">
      <c r="A93">
        <v>17</v>
      </c>
      <c r="B93">
        <v>3.7102201542993702</v>
      </c>
      <c r="C93">
        <v>-4.2102201542993702</v>
      </c>
      <c r="O93" s="3">
        <v>-2.4138162245854091</v>
      </c>
      <c r="P93">
        <f t="shared" si="10"/>
        <v>5.3983683081394265</v>
      </c>
      <c r="Q93">
        <f t="shared" si="11"/>
        <v>-12.542778907517652</v>
      </c>
      <c r="R93">
        <f t="shared" si="12"/>
        <v>29.142380390324135</v>
      </c>
      <c r="S93" s="10"/>
    </row>
    <row r="94">
      <c r="A94">
        <v>18</v>
      </c>
      <c r="B94">
        <v>4.2586874814566684</v>
      </c>
      <c r="C94">
        <v>-1.1586874814566683</v>
      </c>
      <c r="O94" s="3">
        <v>1.4652864780785482</v>
      </c>
      <c r="P94">
        <f t="shared" si="10"/>
        <v>2.420089876221498</v>
      </c>
      <c r="Q94">
        <f t="shared" si="11"/>
        <v>3.7648462268671512</v>
      </c>
      <c r="R94">
        <f t="shared" si="12"/>
        <v>5.8568350089897852</v>
      </c>
      <c r="S94" s="10"/>
    </row>
    <row r="95">
      <c r="A95">
        <v>19</v>
      </c>
      <c r="B95">
        <v>4.4725941586074605</v>
      </c>
      <c r="C95">
        <v>-0.47259415860746046</v>
      </c>
      <c r="O95" s="3">
        <v>-2.5015527121616334</v>
      </c>
      <c r="P95">
        <f t="shared" si="10"/>
        <v>5.8137667352349229</v>
      </c>
      <c r="Q95">
        <f t="shared" si="11"/>
        <v>-14.018011243725141</v>
      </c>
      <c r="R95">
        <f t="shared" si="12"/>
        <v>33.799883651724137</v>
      </c>
      <c r="S95" s="10"/>
    </row>
    <row r="96">
      <c r="A96">
        <v>20</v>
      </c>
      <c r="B96">
        <v>4.5138162245854092</v>
      </c>
      <c r="C96">
        <v>-2.4138162245854091</v>
      </c>
      <c r="O96" s="3">
        <v>-0.66533023144905457</v>
      </c>
      <c r="P96">
        <f t="shared" si="10"/>
        <v>0.33057084167283168</v>
      </c>
      <c r="Q96">
        <f t="shared" si="11"/>
        <v>-0.19006266535577676</v>
      </c>
      <c r="R96">
        <f t="shared" si="12"/>
        <v>0.10927708136428435</v>
      </c>
      <c r="S96" s="10"/>
    </row>
    <row r="97">
      <c r="A97">
        <v>21</v>
      </c>
      <c r="B97">
        <v>4.5347135219214518</v>
      </c>
      <c r="C97">
        <v>1.4652864780785482</v>
      </c>
      <c r="O97" s="3">
        <v>-0.094584436405587446</v>
      </c>
      <c r="P97">
        <f t="shared" si="10"/>
        <v>1.7699764709654474e-05</v>
      </c>
      <c r="Q97">
        <f t="shared" si="11"/>
        <v>-7.4464836403517575e-08</v>
      </c>
      <c r="R97">
        <f t="shared" si="12"/>
        <v>3.132816707771299e-10</v>
      </c>
      <c r="S97" s="10"/>
    </row>
    <row r="98">
      <c r="A98">
        <v>22</v>
      </c>
      <c r="B98">
        <v>5.1015527121616335</v>
      </c>
      <c r="C98">
        <v>-2.5015527121616334</v>
      </c>
      <c r="O98" s="3">
        <v>4.8451547537134285</v>
      </c>
      <c r="P98">
        <f t="shared" si="10"/>
        <v>24.359476925430513</v>
      </c>
      <c r="Q98">
        <f t="shared" si="11"/>
        <v>120.22697984887547</v>
      </c>
      <c r="R98">
        <f t="shared" si="12"/>
        <v>593.38411608058163</v>
      </c>
      <c r="S98" s="10">
        <v>3</v>
      </c>
    </row>
    <row r="99" ht="17">
      <c r="A99">
        <v>23</v>
      </c>
      <c r="B99">
        <v>5.5653302314490549</v>
      </c>
      <c r="C99">
        <v>-0.66533023144905457</v>
      </c>
      <c r="O99" s="4">
        <v>6.2381611518206155</v>
      </c>
      <c r="P99">
        <f t="shared" si="10"/>
        <v>40.050399285195105</v>
      </c>
      <c r="Q99">
        <f t="shared" si="11"/>
        <v>253.46049299152898</v>
      </c>
      <c r="R99">
        <f t="shared" si="12"/>
        <v>1604.0344829035566</v>
      </c>
      <c r="S99" s="10"/>
    </row>
    <row r="100">
      <c r="A100">
        <v>24</v>
      </c>
      <c r="B100">
        <v>5.2945844364055876</v>
      </c>
      <c r="C100">
        <v>-0.094584436405587446</v>
      </c>
      <c r="O100" s="3" t="s">
        <v>84</v>
      </c>
      <c r="P100">
        <f>SUM(P74:P99)</f>
        <v>282.14061489297376</v>
      </c>
      <c r="Q100">
        <f>SUM(Q74:Q99)</f>
        <v>306.19004278611777</v>
      </c>
      <c r="R100">
        <f>SUM(R74:R99)</f>
        <v>6874.0636842915828</v>
      </c>
      <c r="S100" s="10"/>
    </row>
    <row r="101" ht="17">
      <c r="A101">
        <v>25</v>
      </c>
      <c r="B101">
        <v>4.7548452462865711</v>
      </c>
      <c r="C101">
        <v>4.8451547537134285</v>
      </c>
      <c r="O101" s="3"/>
      <c r="S101" s="10"/>
    </row>
    <row r="102" ht="17">
      <c r="A102" s="5">
        <v>26</v>
      </c>
      <c r="B102" s="5">
        <v>5.6618388481793849</v>
      </c>
      <c r="C102" s="5">
        <v>6.2381611518206155</v>
      </c>
      <c r="O102" s="1" t="s">
        <v>85</v>
      </c>
      <c r="P102" s="2" t="s">
        <v>86</v>
      </c>
      <c r="Q102" s="2" t="s">
        <v>87</v>
      </c>
      <c r="R102" s="6" t="s">
        <v>88</v>
      </c>
      <c r="S102" s="10"/>
    </row>
    <row r="103" ht="17">
      <c r="O103" s="4">
        <f>(1/26*P100)^(3/2)</f>
        <v>35.746900444141573</v>
      </c>
      <c r="P103" s="5">
        <f>(1/26*P100)^2</f>
        <v>117.75640025471205</v>
      </c>
      <c r="Q103" s="5">
        <f>1/26*Q100</f>
        <v>11.776540107158377</v>
      </c>
      <c r="R103" s="17">
        <f>1/26*R100</f>
        <v>264.38706478044548</v>
      </c>
      <c r="S103" s="10"/>
    </row>
    <row r="104" ht="17">
      <c r="O104" s="3"/>
      <c r="S104" s="10"/>
    </row>
    <row r="105">
      <c r="O105" s="1" t="s">
        <v>89</v>
      </c>
      <c r="P105" s="2" t="s">
        <v>90</v>
      </c>
      <c r="Q105" s="6" t="s">
        <v>91</v>
      </c>
      <c r="S105" s="10"/>
    </row>
    <row r="106" ht="17">
      <c r="O106" s="4">
        <f>Q103/O103</f>
        <v>0.32944227222051053</v>
      </c>
      <c r="P106" s="5">
        <f>R103/P103-3</f>
        <v>-0.75479664622419573</v>
      </c>
      <c r="Q106" s="28">
        <f>(26-1)/6*(O106^2+1/4*(P106)^2)</f>
        <v>1.0456737708901518</v>
      </c>
      <c r="S106" s="10"/>
    </row>
    <row r="107">
      <c r="O107" s="3"/>
      <c r="S107" s="10"/>
    </row>
    <row r="108">
      <c r="A108" s="33"/>
      <c r="B108" s="33"/>
      <c r="O108" s="3"/>
      <c r="S108" s="10"/>
    </row>
    <row r="109">
      <c r="O109" s="3" t="s">
        <v>92</v>
      </c>
      <c r="Q109">
        <f>CHIINV(0.05,2)</f>
        <v>5.9914645471079817</v>
      </c>
      <c r="S109" s="10"/>
    </row>
    <row r="110" ht="17">
      <c r="O110" s="4" t="s">
        <v>93</v>
      </c>
      <c r="P110" s="5"/>
      <c r="Q110" s="5"/>
      <c r="R110" s="5"/>
      <c r="S110" s="17"/>
    </row>
    <row r="116">
      <c r="A116" s="34"/>
      <c r="B116" s="34"/>
      <c r="C116" s="34"/>
      <c r="D116" s="34"/>
      <c r="E116" s="34"/>
      <c r="F116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</row>
    <row r="129">
      <c r="A129" s="34"/>
      <c r="B129" s="34"/>
      <c r="C129" s="34"/>
    </row>
    <row r="155" ht="17">
      <c r="A155" s="5"/>
      <c r="B155" s="5"/>
      <c r="C155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B35" activeCellId="0" sqref="B35"/>
    </sheetView>
  </sheetViews>
  <sheetFormatPr baseColWidth="10" defaultRowHeight="16"/>
  <cols>
    <col customWidth="1" min="1" max="1" width="22"/>
    <col customWidth="1" min="2" max="2" width="21.33203125"/>
    <col customWidth="1" min="3" max="3" width="30.5"/>
    <col customWidth="1" min="4" max="4" width="17.5"/>
    <col customWidth="1" min="9" max="9" width="21.1640625"/>
    <col customWidth="1" min="11" max="11" width="13.33203125"/>
  </cols>
  <sheetData>
    <row r="1" ht="17">
      <c r="B1" t="s">
        <v>0</v>
      </c>
      <c r="C1" t="s">
        <v>1</v>
      </c>
    </row>
    <row r="2">
      <c r="A2" s="1" t="s">
        <v>2</v>
      </c>
      <c r="B2" s="2" t="s">
        <v>3</v>
      </c>
      <c r="C2" s="2" t="s">
        <v>4</v>
      </c>
      <c r="D2" t="s">
        <v>94</v>
      </c>
      <c r="E2" t="s">
        <v>95</v>
      </c>
      <c r="I2" t="s">
        <v>96</v>
      </c>
    </row>
    <row r="3">
      <c r="A3" s="3">
        <v>1997</v>
      </c>
      <c r="B3">
        <v>7.5999999999999996</v>
      </c>
      <c r="C3">
        <v>19.199999999999999</v>
      </c>
      <c r="D3">
        <f t="shared" ref="D3:D28" si="13">LN(C3)</f>
        <v>2.954910279033736</v>
      </c>
      <c r="E3">
        <f t="array" ref="E3:E28">LN(B3:B28)</f>
        <v>2.0281482472922852</v>
      </c>
    </row>
    <row r="4">
      <c r="A4" s="3">
        <v>1998</v>
      </c>
      <c r="B4">
        <v>12.4</v>
      </c>
      <c r="C4">
        <v>3.6000000000000001</v>
      </c>
      <c r="D4">
        <f t="shared" si="13"/>
        <v>1.2809338454620642</v>
      </c>
      <c r="E4">
        <f/>
        <v>2.5176964726109912</v>
      </c>
      <c r="I4" t="s">
        <v>97</v>
      </c>
    </row>
    <row r="5">
      <c r="A5" s="3">
        <v>1999</v>
      </c>
      <c r="B5">
        <v>12.6</v>
      </c>
      <c r="C5">
        <v>9.0999999999999996</v>
      </c>
      <c r="D5">
        <f t="shared" si="13"/>
        <v>2.2082744135228043</v>
      </c>
      <c r="E5">
        <f/>
        <v>2.5336968139574321</v>
      </c>
      <c r="I5" s="3" t="s">
        <v>98</v>
      </c>
    </row>
    <row r="6">
      <c r="A6" s="3">
        <v>2000</v>
      </c>
      <c r="B6">
        <v>10.300000000000001</v>
      </c>
      <c r="C6">
        <v>4</v>
      </c>
      <c r="D6">
        <f t="shared" si="13"/>
        <v>1.3862943611198906</v>
      </c>
      <c r="E6">
        <f/>
        <v>2.33214389523559</v>
      </c>
      <c r="I6" s="3" t="s">
        <v>99</v>
      </c>
    </row>
    <row r="7">
      <c r="A7" s="3">
        <v>2001</v>
      </c>
      <c r="B7">
        <v>11.1</v>
      </c>
      <c r="C7">
        <v>4.7000000000000002</v>
      </c>
      <c r="D7">
        <f t="shared" si="13"/>
        <v>1.547562508716013</v>
      </c>
      <c r="E7">
        <f/>
        <v>2.4069451083182885</v>
      </c>
    </row>
    <row r="8">
      <c r="A8" s="3">
        <v>2002</v>
      </c>
      <c r="B8">
        <v>13.5</v>
      </c>
      <c r="C8">
        <v>5.5999999999999996</v>
      </c>
      <c r="D8">
        <f t="shared" si="13"/>
        <v>1.7227665977411035</v>
      </c>
      <c r="E8">
        <f/>
        <v>2.6026896854443837</v>
      </c>
      <c r="I8" t="s">
        <v>100</v>
      </c>
    </row>
    <row r="9">
      <c r="A9" s="3">
        <v>2003</v>
      </c>
      <c r="B9">
        <v>12.699999999999999</v>
      </c>
      <c r="C9">
        <v>4.7999999999999998</v>
      </c>
      <c r="D9">
        <f t="shared" si="13"/>
        <v>1.5686159179138452</v>
      </c>
      <c r="E9">
        <f/>
        <v>2.5416019934645457</v>
      </c>
    </row>
    <row r="10">
      <c r="A10" s="3">
        <v>2004</v>
      </c>
      <c r="B10">
        <v>13.9</v>
      </c>
      <c r="C10">
        <v>5.7000000000000002</v>
      </c>
      <c r="D10">
        <f t="shared" si="13"/>
        <v>1.7404661748405046</v>
      </c>
      <c r="E10">
        <f/>
        <v>2.631888840136646</v>
      </c>
    </row>
    <row r="11">
      <c r="A11" s="3">
        <v>2005</v>
      </c>
      <c r="B11">
        <v>15.1</v>
      </c>
      <c r="C11">
        <v>8.1999999999999993</v>
      </c>
      <c r="D11">
        <f t="shared" si="13"/>
        <v>2.1041341542702074</v>
      </c>
      <c r="E11">
        <f/>
        <v>2.7146947438208788</v>
      </c>
    </row>
    <row r="12">
      <c r="A12" s="3">
        <v>2006</v>
      </c>
      <c r="B12">
        <v>15.4</v>
      </c>
      <c r="C12">
        <v>9.1999999999999993</v>
      </c>
      <c r="D12">
        <f t="shared" si="13"/>
        <v>2.2192034840549946</v>
      </c>
      <c r="E12">
        <f/>
        <v>2.7343675094195836</v>
      </c>
    </row>
    <row r="13">
      <c r="A13" s="3">
        <v>2007</v>
      </c>
      <c r="B13">
        <v>17.399999999999999</v>
      </c>
      <c r="C13">
        <v>9.1999999999999993</v>
      </c>
      <c r="D13">
        <f t="shared" si="13"/>
        <v>2.2192034840549946</v>
      </c>
      <c r="E13">
        <f/>
        <v>2.8564702062204832</v>
      </c>
    </row>
    <row r="14">
      <c r="A14" s="3">
        <v>2008</v>
      </c>
      <c r="B14">
        <v>17.899999999999999</v>
      </c>
      <c r="C14">
        <v>10</v>
      </c>
      <c r="D14">
        <f t="shared" si="13"/>
        <v>2.3025850929940459</v>
      </c>
      <c r="E14">
        <f/>
        <v>2.884800712846709</v>
      </c>
    </row>
    <row r="15">
      <c r="A15" s="3">
        <v>2009</v>
      </c>
      <c r="B15">
        <v>18.300000000000001</v>
      </c>
      <c r="C15">
        <v>5.7000000000000002</v>
      </c>
      <c r="D15">
        <f t="shared" si="13"/>
        <v>1.7404661748405046</v>
      </c>
      <c r="E15">
        <f/>
        <v>2.9069010598473755</v>
      </c>
    </row>
    <row r="16">
      <c r="A16" s="3">
        <v>2010</v>
      </c>
      <c r="B16">
        <v>27.199999999999999</v>
      </c>
      <c r="C16">
        <v>4.0999999999999996</v>
      </c>
      <c r="D16">
        <f t="shared" si="13"/>
        <v>1.410986973710262</v>
      </c>
      <c r="E16">
        <f/>
        <v>3.3032169733019514</v>
      </c>
    </row>
    <row r="17">
      <c r="A17" s="3">
        <v>2011</v>
      </c>
      <c r="B17">
        <v>27.199999999999999</v>
      </c>
      <c r="C17">
        <v>3.5</v>
      </c>
      <c r="D17">
        <f t="shared" si="13"/>
        <v>1.2527629684953681</v>
      </c>
      <c r="E17">
        <f/>
        <v>3.3032169733019514</v>
      </c>
    </row>
    <row r="18">
      <c r="A18" s="3">
        <v>2012</v>
      </c>
      <c r="B18">
        <v>26.699999999999999</v>
      </c>
      <c r="C18">
        <v>-0.90000000000000002</v>
      </c>
      <c r="D18">
        <f t="shared" ref="D18:D19" si="14">LN(ABS(C18))</f>
        <v>-0.10536051565782628</v>
      </c>
      <c r="E18">
        <f/>
        <v>3.2846635654062037</v>
      </c>
    </row>
    <row r="19">
      <c r="A19" s="3">
        <v>2013</v>
      </c>
      <c r="B19">
        <v>26.399999999999999</v>
      </c>
      <c r="C19">
        <v>-0.5</v>
      </c>
      <c r="D19">
        <f t="shared" si="14"/>
        <v>-0.69314718055994529</v>
      </c>
      <c r="E19">
        <f/>
        <v>3.2733640101522705</v>
      </c>
    </row>
    <row r="20">
      <c r="A20" s="3">
        <v>2014</v>
      </c>
      <c r="B20">
        <v>23</v>
      </c>
      <c r="C20">
        <v>3.1000000000000001</v>
      </c>
      <c r="D20">
        <f t="shared" si="13"/>
        <v>1.1314021114911006</v>
      </c>
      <c r="E20">
        <f/>
        <v>3.1354942159291497</v>
      </c>
    </row>
    <row r="21">
      <c r="A21" s="3">
        <v>2015</v>
      </c>
      <c r="B21">
        <v>21.899999999999999</v>
      </c>
      <c r="C21">
        <v>4</v>
      </c>
      <c r="D21">
        <f t="shared" si="13"/>
        <v>1.3862943611198906</v>
      </c>
      <c r="E21">
        <f/>
        <v>3.0864866368224551</v>
      </c>
    </row>
    <row r="22">
      <c r="A22" s="3">
        <v>2016</v>
      </c>
      <c r="B22">
        <v>21.699999999999999</v>
      </c>
      <c r="C22">
        <v>2.1000000000000001</v>
      </c>
      <c r="D22">
        <f t="shared" si="13"/>
        <v>0.74193734472937733</v>
      </c>
      <c r="E22">
        <f/>
        <v>3.0773122605464138</v>
      </c>
    </row>
    <row r="23">
      <c r="A23" s="3">
        <v>2017</v>
      </c>
      <c r="B23">
        <v>21.600000000000001</v>
      </c>
      <c r="C23">
        <v>6</v>
      </c>
      <c r="D23">
        <f t="shared" si="13"/>
        <v>1.791759469228055</v>
      </c>
      <c r="E23">
        <f/>
        <v>3.0726933146901194</v>
      </c>
    </row>
    <row r="24">
      <c r="A24" s="3">
        <v>2018</v>
      </c>
      <c r="B24">
        <v>19.199999999999999</v>
      </c>
      <c r="C24">
        <v>2.6000000000000001</v>
      </c>
      <c r="D24">
        <f t="shared" si="13"/>
        <v>0.95551144502743635</v>
      </c>
      <c r="E24">
        <f/>
        <v>2.954910279033736</v>
      </c>
    </row>
    <row r="25">
      <c r="A25" s="3">
        <v>2019</v>
      </c>
      <c r="B25">
        <v>17.600000000000001</v>
      </c>
      <c r="C25">
        <v>4.9000000000000004</v>
      </c>
      <c r="D25">
        <f t="shared" si="13"/>
        <v>1.589235205116581</v>
      </c>
      <c r="E25">
        <f/>
        <v>2.8678989020441064</v>
      </c>
    </row>
    <row r="26">
      <c r="A26" s="3">
        <v>2020</v>
      </c>
      <c r="B26">
        <v>18.5</v>
      </c>
      <c r="C26">
        <v>5.2000000000000002</v>
      </c>
      <c r="D26">
        <f t="shared" si="13"/>
        <v>1.6486586255873816</v>
      </c>
      <c r="E26">
        <f/>
        <v>2.917770732084279</v>
      </c>
    </row>
    <row r="27">
      <c r="A27" s="3">
        <v>2021</v>
      </c>
      <c r="B27">
        <v>20.600000000000001</v>
      </c>
      <c r="C27">
        <v>9.5999999999999996</v>
      </c>
      <c r="D27">
        <f t="shared" si="13"/>
        <v>2.2617630984737906</v>
      </c>
      <c r="E27">
        <f/>
        <v>3.0252910757955354</v>
      </c>
    </row>
    <row r="28" ht="17">
      <c r="A28" s="4">
        <v>2022</v>
      </c>
      <c r="B28" s="5">
        <v>17.300000000000001</v>
      </c>
      <c r="C28" s="5">
        <v>11.9</v>
      </c>
      <c r="D28">
        <f t="shared" si="13"/>
        <v>2.4765384001174837</v>
      </c>
      <c r="E28">
        <f/>
        <v>2.8507065015037334</v>
      </c>
    </row>
    <row r="30" ht="17"/>
    <row r="31">
      <c r="A31" s="1" t="s">
        <v>5</v>
      </c>
      <c r="B31" s="2"/>
      <c r="C31" s="2"/>
      <c r="D31" s="2"/>
      <c r="E31" s="2"/>
      <c r="F31" s="2"/>
      <c r="G31" s="2"/>
      <c r="H31" s="2"/>
      <c r="I31" s="2"/>
      <c r="J31" s="6"/>
    </row>
    <row r="32" ht="17">
      <c r="A32" s="3"/>
      <c r="B32" s="7"/>
      <c r="C32" s="7"/>
      <c r="D32" s="7"/>
      <c r="E32" s="7"/>
      <c r="F32" s="7"/>
      <c r="G32" s="7"/>
      <c r="H32" s="8" t="s">
        <v>6</v>
      </c>
      <c r="I32" s="9">
        <f>FDIST(0.05,B42,B44)</f>
        <v>0.82488044309196362</v>
      </c>
      <c r="J32" s="10"/>
    </row>
    <row r="33">
      <c r="A33" s="11" t="s">
        <v>7</v>
      </c>
      <c r="B33" s="12"/>
      <c r="C33" s="7"/>
      <c r="D33" s="7"/>
      <c r="E33" s="7"/>
      <c r="F33" s="7"/>
      <c r="G33" s="7"/>
      <c r="H33" s="8" t="s">
        <v>8</v>
      </c>
      <c r="I33" s="9">
        <f>E42</f>
        <v>10.508407595975186</v>
      </c>
      <c r="J33" s="10"/>
    </row>
    <row r="34">
      <c r="A34" s="3" t="s">
        <v>9</v>
      </c>
      <c r="B34" s="7">
        <v>0.55183087456975588</v>
      </c>
      <c r="C34" s="7"/>
      <c r="D34" s="7"/>
      <c r="E34" s="7"/>
      <c r="F34" s="7"/>
      <c r="G34" s="7"/>
      <c r="H34" s="8" t="s">
        <v>10</v>
      </c>
      <c r="I34" s="9">
        <f>TINV(0.05,B43)</f>
        <v>2.0638985616280254</v>
      </c>
      <c r="J34" s="10"/>
    </row>
    <row r="35">
      <c r="A35" s="3" t="s">
        <v>11</v>
      </c>
      <c r="B35" s="8">
        <v>0.30451731412842198</v>
      </c>
      <c r="C35" s="7" t="s">
        <v>101</v>
      </c>
      <c r="D35" s="7"/>
      <c r="E35" s="7"/>
      <c r="F35" s="7"/>
      <c r="G35" s="7"/>
      <c r="H35" s="7"/>
      <c r="I35" s="7"/>
      <c r="J35" s="10"/>
    </row>
    <row r="36">
      <c r="A36" s="3" t="s">
        <v>13</v>
      </c>
      <c r="B36" s="7">
        <v>0.27553886888377249</v>
      </c>
      <c r="C36" s="7"/>
      <c r="D36" s="7"/>
      <c r="E36" s="7"/>
      <c r="F36" s="7"/>
      <c r="G36" s="7"/>
      <c r="H36" s="7"/>
      <c r="I36" s="7"/>
      <c r="J36" s="10"/>
    </row>
    <row r="37">
      <c r="A37" s="3" t="s">
        <v>14</v>
      </c>
      <c r="B37" s="7">
        <v>0.65686947672394624</v>
      </c>
      <c r="C37" s="7"/>
      <c r="D37" s="7"/>
      <c r="E37" s="7"/>
      <c r="F37" s="7"/>
      <c r="G37" s="7"/>
      <c r="H37" s="7"/>
      <c r="I37" s="7"/>
      <c r="J37" s="10"/>
    </row>
    <row r="38" ht="17">
      <c r="A38" s="4" t="s">
        <v>15</v>
      </c>
      <c r="B38" s="5">
        <v>26</v>
      </c>
      <c r="C38" s="7"/>
      <c r="D38" s="7"/>
      <c r="E38" s="7"/>
      <c r="F38" s="7"/>
      <c r="G38" s="7"/>
      <c r="H38" s="7"/>
      <c r="I38" s="7"/>
      <c r="J38" s="10"/>
    </row>
    <row r="39">
      <c r="A39" s="3"/>
      <c r="B39" s="7"/>
      <c r="C39" s="7"/>
      <c r="D39" s="7"/>
      <c r="E39" s="7"/>
      <c r="F39" s="7"/>
      <c r="G39" s="7"/>
      <c r="H39" s="7"/>
      <c r="I39" s="7"/>
      <c r="J39" s="10"/>
    </row>
    <row r="40" ht="17">
      <c r="A40" s="3" t="s">
        <v>16</v>
      </c>
      <c r="B40" s="7"/>
      <c r="C40" s="7"/>
      <c r="D40" s="7"/>
      <c r="E40" s="7"/>
      <c r="F40" s="7"/>
      <c r="G40" s="7"/>
      <c r="H40" s="7"/>
      <c r="I40" s="7"/>
      <c r="J40" s="10"/>
    </row>
    <row r="41">
      <c r="A41" s="14"/>
      <c r="B41" s="15" t="s">
        <v>17</v>
      </c>
      <c r="C41" s="15" t="s">
        <v>18</v>
      </c>
      <c r="D41" s="15" t="s">
        <v>19</v>
      </c>
      <c r="E41" s="15" t="s">
        <v>20</v>
      </c>
      <c r="F41" s="15" t="s">
        <v>21</v>
      </c>
      <c r="G41" s="7"/>
      <c r="H41" s="7"/>
      <c r="I41" s="7"/>
      <c r="J41" s="10"/>
    </row>
    <row r="42">
      <c r="A42" s="3" t="s">
        <v>22</v>
      </c>
      <c r="B42" s="7">
        <v>1</v>
      </c>
      <c r="C42" s="7">
        <v>4.5341415378135537</v>
      </c>
      <c r="D42" s="7">
        <v>4.5341415378135537</v>
      </c>
      <c r="E42" s="7">
        <v>10.508407595975186</v>
      </c>
      <c r="F42" s="7">
        <v>0.0034715572298066257</v>
      </c>
      <c r="G42" s="7"/>
      <c r="H42" s="7"/>
      <c r="I42" s="7"/>
      <c r="J42" s="10"/>
    </row>
    <row r="43">
      <c r="A43" s="3" t="s">
        <v>23</v>
      </c>
      <c r="B43" s="7">
        <v>24</v>
      </c>
      <c r="C43" s="7">
        <v>10.355460226838183</v>
      </c>
      <c r="D43" s="7">
        <v>0.43147750945159097</v>
      </c>
      <c r="E43" s="7"/>
      <c r="F43" s="7"/>
      <c r="G43" s="7"/>
      <c r="H43" s="7"/>
      <c r="I43" s="7"/>
      <c r="J43" s="10"/>
    </row>
    <row r="44" ht="17">
      <c r="A44" s="4" t="s">
        <v>24</v>
      </c>
      <c r="B44" s="5">
        <v>25</v>
      </c>
      <c r="C44" s="5">
        <v>14.889601764651736</v>
      </c>
      <c r="D44" s="5"/>
      <c r="E44" s="5"/>
      <c r="F44" s="5"/>
      <c r="G44" s="7"/>
      <c r="H44" s="7"/>
      <c r="I44" s="7"/>
      <c r="J44" s="10"/>
    </row>
    <row r="45" ht="17">
      <c r="A45" s="3"/>
      <c r="B45" s="7"/>
      <c r="C45" s="7"/>
      <c r="D45" s="7"/>
      <c r="E45" s="7"/>
      <c r="F45" s="7"/>
      <c r="G45" s="7"/>
      <c r="H45" s="7"/>
      <c r="I45" s="7"/>
      <c r="J45" s="10"/>
    </row>
    <row r="46">
      <c r="A46" s="14"/>
      <c r="B46" s="15" t="s">
        <v>25</v>
      </c>
      <c r="C46" s="15" t="s">
        <v>14</v>
      </c>
      <c r="D46" s="15" t="s">
        <v>26</v>
      </c>
      <c r="E46" s="15" t="s">
        <v>27</v>
      </c>
      <c r="F46" s="15" t="s">
        <v>28</v>
      </c>
      <c r="G46" s="15" t="s">
        <v>29</v>
      </c>
      <c r="H46" s="15" t="s">
        <v>30</v>
      </c>
      <c r="I46" s="15" t="s">
        <v>31</v>
      </c>
      <c r="J46" s="10"/>
    </row>
    <row r="47">
      <c r="A47" s="3" t="s">
        <v>32</v>
      </c>
      <c r="B47" s="7">
        <v>5.2844753994072642</v>
      </c>
      <c r="C47" s="7">
        <v>1.1527919199824495</v>
      </c>
      <c r="D47" s="8">
        <v>4.5840670009967779</v>
      </c>
      <c r="E47" s="7">
        <v>0.00011958802638903878</v>
      </c>
      <c r="F47" s="7">
        <v>2.9052298138990769</v>
      </c>
      <c r="G47" s="7">
        <v>7.663720984915452</v>
      </c>
      <c r="H47" s="7">
        <v>2.9052298138990769</v>
      </c>
      <c r="I47" s="7">
        <v>7.663720984915452</v>
      </c>
      <c r="J47" s="10" t="s">
        <v>102</v>
      </c>
    </row>
    <row r="48" ht="17">
      <c r="A48" s="4" t="s">
        <v>34</v>
      </c>
      <c r="B48" s="5">
        <v>-1.3075023239287209</v>
      </c>
      <c r="C48" s="5">
        <v>0.40334252673872156</v>
      </c>
      <c r="D48" s="16">
        <v>-3.2416674098332772</v>
      </c>
      <c r="E48" s="5">
        <v>0.0034715572298066257</v>
      </c>
      <c r="F48" s="5">
        <v>-2.1399603847081816</v>
      </c>
      <c r="G48" s="5">
        <v>-0.47504426314926007</v>
      </c>
      <c r="H48" s="5">
        <v>-2.1399603847081816</v>
      </c>
      <c r="I48" s="5">
        <v>-0.47504426314926007</v>
      </c>
      <c r="J48" s="10" t="s">
        <v>102</v>
      </c>
    </row>
    <row r="49" ht="17">
      <c r="A49" s="4"/>
      <c r="B49" s="5"/>
      <c r="C49" s="5"/>
      <c r="D49" s="5"/>
      <c r="E49" s="5"/>
      <c r="F49" s="5"/>
      <c r="G49" s="5"/>
      <c r="H49" s="5"/>
      <c r="I49" s="5"/>
      <c r="J49" s="1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selection activeCell="B35" activeCellId="0" sqref="B35"/>
    </sheetView>
  </sheetViews>
  <sheetFormatPr baseColWidth="10" defaultRowHeight="16.5"/>
  <cols>
    <col customWidth="1" min="3" max="3" width="27.6640625"/>
  </cols>
  <sheetData>
    <row r="1" ht="17">
      <c r="B1" t="s">
        <v>0</v>
      </c>
      <c r="C1" t="s">
        <v>1</v>
      </c>
      <c r="I1" t="s">
        <v>103</v>
      </c>
      <c r="K1" t="s">
        <v>104</v>
      </c>
    </row>
    <row r="2">
      <c r="A2" s="1" t="s">
        <v>2</v>
      </c>
      <c r="B2" s="2" t="s">
        <v>3</v>
      </c>
      <c r="C2" s="2" t="s">
        <v>4</v>
      </c>
      <c r="D2" t="s">
        <v>94</v>
      </c>
    </row>
    <row r="3">
      <c r="A3" s="3">
        <v>1997</v>
      </c>
      <c r="B3">
        <v>7.5999999999999996</v>
      </c>
      <c r="C3">
        <v>19.199999999999999</v>
      </c>
      <c r="D3">
        <f t="shared" ref="D3:D28" si="15">LN(C3)</f>
        <v>2.954910279033736</v>
      </c>
      <c r="I3" s="3" t="s">
        <v>105</v>
      </c>
      <c r="K3" s="3" t="s">
        <v>106</v>
      </c>
    </row>
    <row r="4">
      <c r="A4" s="3">
        <v>1998</v>
      </c>
      <c r="B4">
        <v>12.4</v>
      </c>
      <c r="C4">
        <v>3.6000000000000001</v>
      </c>
      <c r="D4">
        <f t="shared" si="15"/>
        <v>1.2809338454620642</v>
      </c>
      <c r="I4" s="3" t="s">
        <v>107</v>
      </c>
      <c r="K4" s="3" t="s">
        <v>108</v>
      </c>
    </row>
    <row r="5">
      <c r="A5" s="3">
        <v>1999</v>
      </c>
      <c r="B5">
        <v>12.6</v>
      </c>
      <c r="C5">
        <v>9.0999999999999996</v>
      </c>
      <c r="D5">
        <f t="shared" si="15"/>
        <v>2.2082744135228043</v>
      </c>
    </row>
    <row r="6">
      <c r="A6" s="3">
        <v>2000</v>
      </c>
      <c r="B6">
        <v>10.300000000000001</v>
      </c>
      <c r="C6">
        <v>4</v>
      </c>
      <c r="D6">
        <f t="shared" si="15"/>
        <v>1.3862943611198906</v>
      </c>
      <c r="I6" t="s">
        <v>109</v>
      </c>
    </row>
    <row r="7">
      <c r="A7" s="3">
        <v>2001</v>
      </c>
      <c r="B7">
        <v>11.1</v>
      </c>
      <c r="C7">
        <v>4.7000000000000002</v>
      </c>
      <c r="D7">
        <f t="shared" si="15"/>
        <v>1.547562508716013</v>
      </c>
    </row>
    <row r="8">
      <c r="A8" s="3">
        <v>2002</v>
      </c>
      <c r="B8">
        <v>13.5</v>
      </c>
      <c r="C8">
        <v>5.5999999999999996</v>
      </c>
      <c r="D8">
        <f t="shared" si="15"/>
        <v>1.7227665977411035</v>
      </c>
    </row>
    <row r="9">
      <c r="A9" s="3">
        <v>2003</v>
      </c>
      <c r="B9">
        <v>12.699999999999999</v>
      </c>
      <c r="C9">
        <v>4.7999999999999998</v>
      </c>
      <c r="D9">
        <f t="shared" si="15"/>
        <v>1.5686159179138452</v>
      </c>
    </row>
    <row r="10">
      <c r="A10" s="3">
        <v>2004</v>
      </c>
      <c r="B10">
        <v>13.9</v>
      </c>
      <c r="C10">
        <v>5.7000000000000002</v>
      </c>
      <c r="D10">
        <f t="shared" si="15"/>
        <v>1.7404661748405046</v>
      </c>
    </row>
    <row r="11">
      <c r="A11" s="3">
        <v>2005</v>
      </c>
      <c r="B11">
        <v>15.1</v>
      </c>
      <c r="C11">
        <v>8.1999999999999993</v>
      </c>
      <c r="D11">
        <f t="shared" si="15"/>
        <v>2.1041341542702074</v>
      </c>
    </row>
    <row r="12">
      <c r="A12" s="3">
        <v>2006</v>
      </c>
      <c r="B12">
        <v>15.4</v>
      </c>
      <c r="C12">
        <v>9.1999999999999993</v>
      </c>
      <c r="D12">
        <f t="shared" si="15"/>
        <v>2.2192034840549946</v>
      </c>
    </row>
    <row r="13">
      <c r="A13" s="3">
        <v>2007</v>
      </c>
      <c r="B13">
        <v>17.399999999999999</v>
      </c>
      <c r="C13">
        <v>9.1999999999999993</v>
      </c>
      <c r="D13">
        <f t="shared" si="15"/>
        <v>2.2192034840549946</v>
      </c>
    </row>
    <row r="14">
      <c r="A14" s="3">
        <v>2008</v>
      </c>
      <c r="B14">
        <v>17.899999999999999</v>
      </c>
      <c r="C14">
        <v>10</v>
      </c>
      <c r="D14">
        <f t="shared" si="15"/>
        <v>2.3025850929940459</v>
      </c>
    </row>
    <row r="15">
      <c r="A15" s="3">
        <v>2009</v>
      </c>
      <c r="B15">
        <v>18.300000000000001</v>
      </c>
      <c r="C15">
        <v>5.7000000000000002</v>
      </c>
      <c r="D15">
        <f t="shared" si="15"/>
        <v>1.7404661748405046</v>
      </c>
    </row>
    <row r="16">
      <c r="A16" s="3">
        <v>2010</v>
      </c>
      <c r="B16">
        <v>27.199999999999999</v>
      </c>
      <c r="C16">
        <v>4.0999999999999996</v>
      </c>
      <c r="D16">
        <f t="shared" si="15"/>
        <v>1.410986973710262</v>
      </c>
    </row>
    <row r="17">
      <c r="A17" s="3">
        <v>2011</v>
      </c>
      <c r="B17">
        <v>27.199999999999999</v>
      </c>
      <c r="C17">
        <v>3.5</v>
      </c>
      <c r="D17">
        <f t="shared" si="15"/>
        <v>1.2527629684953681</v>
      </c>
    </row>
    <row r="18">
      <c r="A18" s="3">
        <v>2012</v>
      </c>
      <c r="B18">
        <v>26.699999999999999</v>
      </c>
      <c r="C18">
        <v>-0.90000000000000002</v>
      </c>
      <c r="D18">
        <f t="shared" ref="D18:D19" si="16">LN(ABS(C18))</f>
        <v>-0.10536051565782628</v>
      </c>
    </row>
    <row r="19">
      <c r="A19" s="3">
        <v>2013</v>
      </c>
      <c r="B19">
        <v>26.399999999999999</v>
      </c>
      <c r="C19">
        <v>-0.5</v>
      </c>
      <c r="D19">
        <f t="shared" si="16"/>
        <v>-0.69314718055994529</v>
      </c>
    </row>
    <row r="20">
      <c r="A20" s="3">
        <v>2014</v>
      </c>
      <c r="B20">
        <v>23</v>
      </c>
      <c r="C20">
        <v>3.1000000000000001</v>
      </c>
      <c r="D20">
        <f t="shared" si="15"/>
        <v>1.1314021114911006</v>
      </c>
    </row>
    <row r="21">
      <c r="A21" s="3">
        <v>2015</v>
      </c>
      <c r="B21">
        <v>21.899999999999999</v>
      </c>
      <c r="C21">
        <v>4</v>
      </c>
      <c r="D21">
        <f t="shared" si="15"/>
        <v>1.3862943611198906</v>
      </c>
    </row>
    <row r="22">
      <c r="A22" s="3">
        <v>2016</v>
      </c>
      <c r="B22">
        <v>21.699999999999999</v>
      </c>
      <c r="C22">
        <v>2.1000000000000001</v>
      </c>
      <c r="D22">
        <f t="shared" si="15"/>
        <v>0.74193734472937733</v>
      </c>
    </row>
    <row r="23">
      <c r="A23" s="3">
        <v>2017</v>
      </c>
      <c r="B23">
        <v>21.600000000000001</v>
      </c>
      <c r="C23">
        <v>6</v>
      </c>
      <c r="D23">
        <f t="shared" si="15"/>
        <v>1.791759469228055</v>
      </c>
    </row>
    <row r="24">
      <c r="A24" s="3">
        <v>2018</v>
      </c>
      <c r="B24">
        <v>19.199999999999999</v>
      </c>
      <c r="C24">
        <v>2.6000000000000001</v>
      </c>
      <c r="D24">
        <f t="shared" si="15"/>
        <v>0.95551144502743635</v>
      </c>
    </row>
    <row r="25">
      <c r="A25" s="3">
        <v>2019</v>
      </c>
      <c r="B25">
        <v>17.600000000000001</v>
      </c>
      <c r="C25">
        <v>4.9000000000000004</v>
      </c>
      <c r="D25">
        <f t="shared" si="15"/>
        <v>1.589235205116581</v>
      </c>
    </row>
    <row r="26">
      <c r="A26" s="3">
        <v>2020</v>
      </c>
      <c r="B26">
        <v>18.5</v>
      </c>
      <c r="C26">
        <v>5.2000000000000002</v>
      </c>
      <c r="D26">
        <f t="shared" si="15"/>
        <v>1.6486586255873816</v>
      </c>
    </row>
    <row r="27">
      <c r="A27" s="3">
        <v>2021</v>
      </c>
      <c r="B27">
        <v>20.600000000000001</v>
      </c>
      <c r="C27">
        <v>9.5999999999999996</v>
      </c>
      <c r="D27">
        <f t="shared" si="15"/>
        <v>2.2617630984737906</v>
      </c>
    </row>
    <row r="28" ht="17">
      <c r="A28" s="4">
        <v>2022</v>
      </c>
      <c r="B28" s="5">
        <v>17.300000000000001</v>
      </c>
      <c r="C28" s="5">
        <v>11.9</v>
      </c>
      <c r="D28">
        <f t="shared" si="15"/>
        <v>2.4765384001174837</v>
      </c>
    </row>
    <row r="30" ht="17"/>
    <row r="31">
      <c r="A31" s="1" t="s">
        <v>5</v>
      </c>
      <c r="B31" s="2"/>
      <c r="C31" s="2"/>
      <c r="D31" s="2"/>
      <c r="E31" s="2"/>
      <c r="F31" s="2"/>
      <c r="G31" s="2"/>
      <c r="H31" s="2"/>
      <c r="I31" s="2"/>
      <c r="J31" s="6"/>
    </row>
    <row r="32" ht="17">
      <c r="A32" s="3"/>
      <c r="B32" s="7"/>
      <c r="C32" s="7"/>
      <c r="D32" s="7"/>
      <c r="E32" s="7"/>
      <c r="F32" s="7"/>
      <c r="G32" s="7"/>
      <c r="H32" s="8" t="s">
        <v>6</v>
      </c>
      <c r="I32" s="9">
        <f>FDIST(0.05,B42,B44)</f>
        <v>0.82488044309196362</v>
      </c>
      <c r="J32" s="10"/>
    </row>
    <row r="33">
      <c r="A33" s="11" t="s">
        <v>7</v>
      </c>
      <c r="B33" s="12"/>
      <c r="C33" s="7"/>
      <c r="D33" s="7"/>
      <c r="E33" s="7"/>
      <c r="F33" s="7"/>
      <c r="G33" s="7"/>
      <c r="H33" s="8" t="s">
        <v>8</v>
      </c>
      <c r="I33" s="9">
        <f>E42</f>
        <v>12.888383460769058</v>
      </c>
      <c r="J33" s="10"/>
    </row>
    <row r="34">
      <c r="A34" s="3" t="s">
        <v>9</v>
      </c>
      <c r="B34" s="7">
        <v>0.59109108951025713</v>
      </c>
      <c r="C34" s="7"/>
      <c r="D34" s="7"/>
      <c r="E34" s="7"/>
      <c r="F34" s="7"/>
      <c r="G34" s="7"/>
      <c r="H34" s="8" t="s">
        <v>10</v>
      </c>
      <c r="I34" s="9">
        <f>TINV(0.05,B43)</f>
        <v>2.0638985616280254</v>
      </c>
      <c r="J34" s="10"/>
    </row>
    <row r="35">
      <c r="A35" s="3" t="s">
        <v>11</v>
      </c>
      <c r="B35" s="8">
        <v>0.349388676098423</v>
      </c>
      <c r="C35" s="7" t="s">
        <v>110</v>
      </c>
      <c r="D35" s="7"/>
      <c r="E35" s="7"/>
      <c r="F35" s="7"/>
      <c r="G35" s="7"/>
      <c r="H35" s="7"/>
      <c r="I35" s="7"/>
      <c r="J35" s="10"/>
    </row>
    <row r="36">
      <c r="A36" s="3" t="s">
        <v>13</v>
      </c>
      <c r="B36" s="7">
        <v>0.32227987093585714</v>
      </c>
      <c r="C36" s="7"/>
      <c r="D36" s="7"/>
      <c r="E36" s="7"/>
      <c r="F36" s="7"/>
      <c r="G36" s="7"/>
      <c r="H36" s="7"/>
      <c r="I36" s="7"/>
      <c r="J36" s="10"/>
    </row>
    <row r="37">
      <c r="A37" s="3" t="s">
        <v>14</v>
      </c>
      <c r="B37" s="7">
        <v>0.63532614709780255</v>
      </c>
      <c r="C37" s="7"/>
      <c r="D37" s="7"/>
      <c r="E37" s="7"/>
      <c r="F37" s="7"/>
      <c r="G37" s="7"/>
      <c r="H37" s="7"/>
      <c r="I37" s="7"/>
      <c r="J37" s="10"/>
    </row>
    <row r="38" ht="17">
      <c r="A38" s="4" t="s">
        <v>15</v>
      </c>
      <c r="B38" s="5">
        <v>26</v>
      </c>
      <c r="C38" s="7"/>
      <c r="D38" s="7"/>
      <c r="E38" s="7"/>
      <c r="F38" s="7"/>
      <c r="G38" s="7"/>
      <c r="H38" s="7"/>
      <c r="I38" s="7"/>
      <c r="J38" s="10"/>
    </row>
    <row r="39">
      <c r="A39" s="3"/>
      <c r="B39" s="7"/>
      <c r="C39" s="7"/>
      <c r="D39" s="7"/>
      <c r="E39" s="7"/>
      <c r="F39" s="7"/>
      <c r="G39" s="7"/>
      <c r="H39" s="7"/>
      <c r="I39" s="7"/>
      <c r="J39" s="10"/>
    </row>
    <row r="40" ht="17">
      <c r="A40" s="3" t="s">
        <v>16</v>
      </c>
      <c r="B40" s="7"/>
      <c r="C40" s="7"/>
      <c r="D40" s="7"/>
      <c r="E40" s="7"/>
      <c r="F40" s="7"/>
      <c r="G40" s="7"/>
      <c r="H40" s="7"/>
      <c r="I40" s="7"/>
      <c r="J40" s="10"/>
    </row>
    <row r="41">
      <c r="A41" s="14"/>
      <c r="B41" s="15" t="s">
        <v>17</v>
      </c>
      <c r="C41" s="15" t="s">
        <v>18</v>
      </c>
      <c r="D41" s="15" t="s">
        <v>19</v>
      </c>
      <c r="E41" s="15" t="s">
        <v>20</v>
      </c>
      <c r="F41" s="15" t="s">
        <v>21</v>
      </c>
      <c r="G41" s="7"/>
      <c r="H41" s="7"/>
      <c r="I41" s="7"/>
      <c r="J41" s="10"/>
    </row>
    <row r="42">
      <c r="A42" s="3" t="s">
        <v>22</v>
      </c>
      <c r="B42" s="7">
        <v>1</v>
      </c>
      <c r="C42" s="7">
        <v>5.2022582481844104</v>
      </c>
      <c r="D42" s="7">
        <v>5.2022582481844104</v>
      </c>
      <c r="E42" s="7">
        <v>12.888383460769058</v>
      </c>
      <c r="F42" s="7">
        <v>0.0014736587155350508</v>
      </c>
      <c r="G42" s="7"/>
      <c r="H42" s="7"/>
      <c r="I42" s="7"/>
      <c r="J42" s="10"/>
    </row>
    <row r="43">
      <c r="A43" s="3" t="s">
        <v>23</v>
      </c>
      <c r="B43" s="7">
        <v>24</v>
      </c>
      <c r="C43" s="7">
        <v>9.6873435164673261</v>
      </c>
      <c r="D43" s="7">
        <v>0.4036393131861386</v>
      </c>
      <c r="E43" s="7"/>
      <c r="F43" s="7"/>
      <c r="G43" s="7"/>
      <c r="H43" s="7"/>
      <c r="I43" s="7"/>
      <c r="J43" s="10"/>
    </row>
    <row r="44" ht="17">
      <c r="A44" s="4" t="s">
        <v>24</v>
      </c>
      <c r="B44" s="5">
        <v>25</v>
      </c>
      <c r="C44" s="5">
        <v>14.889601764651736</v>
      </c>
      <c r="D44" s="5"/>
      <c r="E44" s="5"/>
      <c r="F44" s="5"/>
      <c r="G44" s="7"/>
      <c r="H44" s="7"/>
      <c r="I44" s="7"/>
      <c r="J44" s="10"/>
    </row>
    <row r="45" ht="17">
      <c r="A45" s="3"/>
      <c r="B45" s="7"/>
      <c r="C45" s="7"/>
      <c r="D45" s="7"/>
      <c r="E45" s="7"/>
      <c r="F45" s="7"/>
      <c r="G45" s="7"/>
      <c r="H45" s="7"/>
      <c r="I45" s="7"/>
      <c r="J45" s="10"/>
    </row>
    <row r="46">
      <c r="A46" s="14"/>
      <c r="B46" s="15" t="s">
        <v>25</v>
      </c>
      <c r="C46" s="15" t="s">
        <v>14</v>
      </c>
      <c r="D46" s="15" t="s">
        <v>26</v>
      </c>
      <c r="E46" s="15" t="s">
        <v>27</v>
      </c>
      <c r="F46" s="15" t="s">
        <v>28</v>
      </c>
      <c r="G46" s="15" t="s">
        <v>29</v>
      </c>
      <c r="H46" s="15" t="s">
        <v>30</v>
      </c>
      <c r="I46" s="15" t="s">
        <v>31</v>
      </c>
      <c r="J46" s="10"/>
    </row>
    <row r="47">
      <c r="A47" s="3" t="s">
        <v>32</v>
      </c>
      <c r="B47" s="7">
        <v>3.0693362461249896</v>
      </c>
      <c r="C47" s="7">
        <v>0.43558396414148404</v>
      </c>
      <c r="D47" s="8">
        <v>7.0464858644980426</v>
      </c>
      <c r="E47" s="7">
        <v>2.7633226089456312e-07</v>
      </c>
      <c r="F47" s="7">
        <v>2.1703351290651471</v>
      </c>
      <c r="G47" s="7">
        <v>3.968337363184832</v>
      </c>
      <c r="H47" s="7">
        <v>2.1703351290651471</v>
      </c>
      <c r="I47" s="7">
        <v>3.968337363184832</v>
      </c>
      <c r="J47" s="10" t="s">
        <v>102</v>
      </c>
    </row>
    <row r="48" ht="17">
      <c r="A48" s="4" t="s">
        <v>34</v>
      </c>
      <c r="B48" s="5">
        <v>-0.083406087783785179</v>
      </c>
      <c r="C48" s="5">
        <v>0.023232638045264237</v>
      </c>
      <c r="D48" s="16">
        <v>-3.5900394789986736</v>
      </c>
      <c r="E48" s="5">
        <v>0.0014736587155350438</v>
      </c>
      <c r="F48" s="5">
        <v>-0.13135589602823058</v>
      </c>
      <c r="G48" s="5">
        <v>-0.035456279539339781</v>
      </c>
      <c r="H48" s="5">
        <v>-0.13135589602823058</v>
      </c>
      <c r="I48" s="5">
        <v>-0.035456279539339781</v>
      </c>
      <c r="J48" s="17" t="s">
        <v>102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Варвус А.И.</dc:creator>
  <cp:keywords/>
  <dc:description/>
  <cp:revision>1</cp:revision>
  <dcterms:created xsi:type="dcterms:W3CDTF">2024-10-30T09:24:30Z</dcterms:created>
  <dcterms:modified xsi:type="dcterms:W3CDTF">2024-11-03T20:07:21Z</dcterms:modified>
</cp:coreProperties>
</file>