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ISSCC" sheetId="2" state="visible" r:id="rId3"/>
    <sheet name="VLSI" sheetId="3" state="visible" r:id="rId4"/>
    <sheet name="Jitter and FOM lines" sheetId="4" state="visible" r:id="rId5"/>
    <sheet name="Energy" sheetId="5" state="visible" r:id="rId6"/>
    <sheet name="Aperture" sheetId="6" state="visible" r:id="rId7"/>
    <sheet name="Walden FOM vs. Speed" sheetId="7" state="visible" r:id="rId8"/>
    <sheet name="Schreier FOM vs. Speed"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<sst xmlns="http://schemas.openxmlformats.org/spreadsheetml/2006/main" count="5413" uniqueCount="3064">
  <si>
    <t xml:space="preserve">ADC Performance Survey 1997-2023</t>
  </si>
  <si>
    <t xml:space="preserve">Boris Murmann, Stanford University, murmann@stanford.edu</t>
  </si>
  <si>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</si>
  <si>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t xml:space="preserve">For use in publications and presentations please cite this data collection as follows:</t>
  </si>
  <si>
    <t xml:space="preserve">B. Murmann, "ADC Performance Survey 1997-2023," [Online]. Available: http://web.stanford.edu/~murmann/adcsurvey.html.</t>
  </si>
  <si>
    <t xml:space="preserve">Notes on the primary (raw data) columns:</t>
  </si>
  <si>
    <r>
      <rPr>
        <b val="true"/>
        <sz val="10"/>
        <rFont val="Arial"/>
        <family val="2"/>
        <charset val="1"/>
      </rPr>
      <t xml:space="preserve">Power (P) </t>
    </r>
    <r>
      <rPr>
        <sz val="10"/>
        <rFont val="Arial"/>
        <family val="0"/>
        <charset val="1"/>
      </rPr>
      <t xml:space="preserve">-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</si>
  <si>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val="true"/>
        <sz val="10"/>
        <rFont val="Arial"/>
        <family val="2"/>
        <charset val="1"/>
      </rPr>
      <t xml:space="preserve">fsnyq</t>
    </r>
    <r>
      <rPr>
        <sz val="10"/>
        <rFont val="Arial"/>
        <family val="0"/>
        <charset val="1"/>
      </rPr>
      <t xml:space="preserve"> - Nyquist sampling rate, equal to the sampling rate (</t>
    </r>
    <r>
      <rPr>
        <b val="true"/>
        <sz val="10"/>
        <rFont val="Arial"/>
        <family val="2"/>
        <charset val="1"/>
      </rPr>
      <t xml:space="preserve">fs</t>
    </r>
    <r>
      <rPr>
        <sz val="10"/>
        <rFont val="Arial"/>
        <family val="0"/>
        <charset val="1"/>
      </rPr>
      <t xml:space="preserve">) divided by the oversampling ratio (</t>
    </r>
    <r>
      <rPr>
        <b val="true"/>
        <sz val="10"/>
        <rFont val="Arial"/>
        <family val="2"/>
        <charset val="1"/>
      </rPr>
      <t xml:space="preserve">OSR</t>
    </r>
    <r>
      <rPr>
        <sz val="10"/>
        <rFont val="Arial"/>
        <family val="0"/>
        <charset val="1"/>
      </rPr>
      <t xml:space="preserve">). Note that for a complex delta-sigma modulator, the OSR is given by 2*fs/fsnyq.</t>
    </r>
  </si>
  <si>
    <r>
      <rPr>
        <b val="true"/>
        <sz val="10"/>
        <rFont val="Arial"/>
        <family val="2"/>
        <charset val="1"/>
      </rPr>
      <t xml:space="preserve">SNDR_hf, SNR, THD, SFDR</t>
    </r>
    <r>
      <rPr>
        <sz val="10"/>
        <rFont val="Arial"/>
        <family val="2"/>
        <charset val="1"/>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</si>
  <si>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val="true"/>
        <sz val="10"/>
        <rFont val="Arial"/>
        <family val="2"/>
        <charset val="1"/>
      </rPr>
      <t xml:space="preserve">fin_hf</t>
    </r>
    <r>
      <rPr>
        <sz val="10"/>
        <rFont val="Arial"/>
        <family val="2"/>
        <charset val="1"/>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</si>
  <si>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r>
      <rPr>
        <b val="true"/>
        <sz val="10"/>
        <rFont val="Arial"/>
        <family val="2"/>
        <charset val="1"/>
      </rPr>
      <t xml:space="preserve">SNDR_lf</t>
    </r>
    <r>
      <rPr>
        <sz val="10"/>
        <rFont val="Arial"/>
        <family val="2"/>
        <charset val="1"/>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</si>
  <si>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rPr>
        <b val="true"/>
        <sz val="10"/>
        <rFont val="Arial"/>
        <family val="2"/>
        <charset val="1"/>
      </rPr>
      <t xml:space="preserve">DR</t>
    </r>
    <r>
      <rPr>
        <sz val="10"/>
        <rFont val="Arial"/>
        <family val="0"/>
        <charset val="1"/>
      </rPr>
      <t xml:space="preserve"> is the measured "instantaneous dynamic range" of the converter, i.e. this metric does not contain any extra dBs obtained through variable gain.</t>
    </r>
  </si>
  <si>
    <r>
      <rPr>
        <b val="true"/>
        <sz val="10"/>
        <rFont val="Arial"/>
        <family val="2"/>
        <charset val="1"/>
      </rPr>
      <t xml:space="preserve">Csamp</t>
    </r>
    <r>
      <rPr>
        <sz val="10"/>
        <rFont val="Arial"/>
        <family val="2"/>
        <charset val="1"/>
      </rPr>
      <t xml:space="preserve"> - Sampling capacitance of the converter. The tabulated values corresponds to the single ended capacitance to ground of one input pin.</t>
    </r>
  </si>
  <si>
    <r>
      <rPr>
        <b val="true"/>
        <sz val="10"/>
        <rFont val="Arial"/>
        <family val="2"/>
        <charset val="1"/>
      </rPr>
      <t xml:space="preserve">VSUP1, 2, 3</t>
    </r>
    <r>
      <rPr>
        <sz val="10"/>
        <rFont val="Arial"/>
        <family val="2"/>
        <charset val="1"/>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</si>
  <si>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 xml:space="preserve">Notes on secondary columns:</t>
  </si>
  <si>
    <r>
      <rPr>
        <b val="true"/>
        <sz val="10"/>
        <rFont val="Arial"/>
        <family val="2"/>
        <charset val="1"/>
      </rPr>
      <t xml:space="preserve">SNDR_plot </t>
    </r>
    <r>
      <rPr>
        <sz val="10"/>
        <rFont val="Arial"/>
        <family val="0"/>
        <charset val="1"/>
      </rPr>
      <t xml:space="preserve">- Unfortunately, many oversampling designs specify </t>
    </r>
    <r>
      <rPr>
        <sz val="10"/>
        <rFont val="Arial"/>
        <family val="2"/>
        <charset val="1"/>
      </rPr>
      <t xml:space="preserve">only</t>
    </r>
    <r>
      <rPr>
        <sz val="10"/>
        <rFont val="Arial"/>
        <family val="0"/>
        <charset val="1"/>
      </rPr>
      <t xml:space="preserve"> DR as a measure of resolution. Therefore, this columns looks to generate a "best replacement" for SNDR_hf using the smallest value among {SNR, THD, DR, SFDR}, all measured near the band edge, as explained above.</t>
    </r>
  </si>
  <si>
    <r>
      <rPr>
        <b val="true"/>
        <sz val="10"/>
        <rFont val="Arial"/>
        <family val="2"/>
        <charset val="1"/>
      </rPr>
      <t xml:space="preserve">Power/fsnyq - </t>
    </r>
    <r>
      <rPr>
        <sz val="10"/>
        <rFont val="Arial"/>
        <family val="2"/>
        <charset val="1"/>
      </rPr>
      <t xml:space="preserve">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</si>
  <si>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 xml:space="preserve">Notes on the "energy" and "aperture" plots:</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</si>
  <si>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</si>
  <si>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 xml:space="preserve">Notes on the FOM vs. speed plots:</t>
  </si>
  <si>
    <t xml:space="preserve">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</si>
  <si>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 xml:space="preserve">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</si>
  <si>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 xml:space="preserve">Other notes:</t>
  </si>
  <si>
    <t xml:space="preserve">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</si>
  <si>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 xml:space="preserve">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</si>
  <si>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 xml:space="preserve">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</si>
  <si>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 xml:space="preserve">Thanks,</t>
  </si>
  <si>
    <t xml:space="preserve">Boris</t>
  </si>
  <si>
    <t xml:space="preserve">[1] B. Murmann, “Limits on ADC Power Dissipation,” in Analog Circuit Design, by M. Steyaert, A.H.M Roermund, J.H. van Huijsing (eds.), Springer, 2006</t>
  </si>
  <si>
    <t xml:space="preserve">[2] B. Murmann, "A/D Converter Trends: Power Dissipation, Scaling and Digitally Assisted Architectures," Proc. IEEE Custom Integrated Circuits Conference (CICC), pp. 105-112, Sep. 2008.</t>
  </si>
  <si>
    <t xml:space="preserve">[3] R. H. Walden, “Analog-to-digital converter survey and analysis”, IEEE J. Select. Areas Commun., vol. 17, pp. 539-550, April 1999.</t>
  </si>
  <si>
    <t xml:space="preserve">[4] R. Schreier and G. C. Temes, Understanding Delta-Sigma Data Converters. New York: Wiley, 2005.</t>
  </si>
  <si>
    <t xml:space="preserve">[5] A.M.A. Ali, et al., "A 16-bit 250-MS/s IF Sampling Pipelined ADC With Background Calibration," IEEE J. Solid-State Circuits, vol. 45, no. 12, pp. 2602-2612, Dec. 2010.</t>
  </si>
  <si>
    <t xml:space="preserve">[6] B. Murmann, "Energy limits in A/D converters," IEEE Faible Tension Faible Consommation (FTFC), Paris, France, June 2013.</t>
  </si>
  <si>
    <t xml:space="preserve">Revisions:</t>
  </si>
  <si>
    <t xml:space="preserve">20070907: First web release</t>
  </si>
  <si>
    <t xml:space="preserve">20070927: Minor formatting edits</t>
  </si>
  <si>
    <t xml:space="preserve">20080207: Update ISSCC 2008</t>
  </si>
  <si>
    <t xml:space="preserve">20080627: Update VLSI 2008</t>
  </si>
  <si>
    <t xml:space="preserve">20090423: Update ISSCC 2009</t>
  </si>
  <si>
    <t xml:space="preserve">20091023: Update VLSI 2009, added FOM lines in Energy plot</t>
  </si>
  <si>
    <t xml:space="preserve">20100226: Update ISSCC 2010, corrections of earlier data</t>
  </si>
  <si>
    <t xml:space="preserve">20100620: Update VLSI 2010, corrections to earlier data (especially DR), formatting change to explicitly state the OSR of the converter.</t>
  </si>
  <si>
    <t xml:space="preserve">20100620a: Corrections on a few selected data points (in red)</t>
  </si>
  <si>
    <t xml:space="preserve">20100620b: Corrections on a few selected data points (in purple)</t>
  </si>
  <si>
    <t xml:space="preserve">20110308: Update ISSCC 2011</t>
  </si>
  <si>
    <t xml:space="preserve">20110415: Added area data by Marian Verhelst</t>
  </si>
  <si>
    <t xml:space="preserve">20110620: Update VLSI 2011, some data corrections</t>
  </si>
  <si>
    <t xml:space="preserve">20110620a: Added FOM chart, added one data point</t>
  </si>
  <si>
    <t xml:space="preserve">20120308: Update ISSCC 2012</t>
  </si>
  <si>
    <t xml:space="preserve">20120812: Update VLSI 2012, included Schreier-SNDR FOM</t>
  </si>
  <si>
    <t xml:space="preserve">20120812a: Correction of VLSI 2011, 12.1</t>
  </si>
  <si>
    <t xml:space="preserve">20130306: Update ISSCC 2013</t>
  </si>
  <si>
    <t xml:space="preserve">20130406a: Corrected the missing "TI" for time interleaved designs in the 2013 ISSCC data</t>
  </si>
  <si>
    <t xml:space="preserve">20130629: Update VLSI 2013, format change, added Csamp and SNDR_lf (see notes above)</t>
  </si>
  <si>
    <t xml:space="preserve">20130629a: Added ISSCC 2006, 3.6; corrected VLSI 2013, 8.1</t>
  </si>
  <si>
    <t xml:space="preserve">20140302: Update ISSCC 2014, added explicitly computed (rather than eyeballed) envelope curves to the FOM vs. Speed plots</t>
  </si>
  <si>
    <t xml:space="preserve">20140302a,b: Minor corrections on individual data points</t>
  </si>
  <si>
    <t xml:space="preserve">20140627: Update VLSI 2014</t>
  </si>
  <si>
    <t xml:space="preserve">20150307: Update ISSCC 2015, some data corrections</t>
  </si>
  <si>
    <t xml:space="preserve">20150712: Update VLSI 2015</t>
  </si>
  <si>
    <t xml:space="preserve">20150712a: Minor corrections</t>
  </si>
  <si>
    <t xml:space="preserve">20160712: Update ISSCC 2016 and VLSI 2016</t>
  </si>
  <si>
    <t xml:space="preserve">20170801: Update ISSCC 2017 and VLSI 2017</t>
  </si>
  <si>
    <t xml:space="preserve">20180519: Update ISSCC 2018, some data corrections</t>
  </si>
  <si>
    <t xml:space="preserve">20180716: Update VLSI 2018, some data corrections</t>
  </si>
  <si>
    <t xml:space="preserve">20190425: Update ISSCC 2019, some data corrections</t>
  </si>
  <si>
    <t xml:space="preserve">20190802: Update VLSI 2019</t>
  </si>
  <si>
    <t xml:space="preserve">20200401: Update ISSCC2020, some data additions/corrections</t>
  </si>
  <si>
    <t xml:space="preserve">20200802: Update VLSI2020, some data corrections</t>
  </si>
  <si>
    <t xml:space="preserve">20210517: Update ISSCC 2021</t>
  </si>
  <si>
    <t xml:space="preserve">20210628: Update VLSI 2021</t>
  </si>
  <si>
    <t xml:space="preserve">20220719: Update ISSCC 2022 and VLSI 2022, some data corrections, added a column for delta-sigma BP center frequency. Also added columns for doi, paper link and supply voltages (still incomplete, just a start)</t>
  </si>
  <si>
    <t xml:space="preserve">20230501: Update ISSCC 2023, completed doi data (supply voltage data still incomplete)</t>
  </si>
  <si>
    <t xml:space="preserve">20231003: Update VLSI 2023, some data corrections</t>
  </si>
  <si>
    <t xml:space="preserve">YEAR</t>
  </si>
  <si>
    <t xml:space="preserve">ID</t>
  </si>
  <si>
    <t xml:space="preserve">TYPE</t>
  </si>
  <si>
    <t xml:space="preserve">ARCHITECTURE</t>
  </si>
  <si>
    <t xml:space="preserve">TECHNOLOGY</t>
  </si>
  <si>
    <t xml:space="preserve">TITLE</t>
  </si>
  <si>
    <t xml:space="preserve">ABSTRACT</t>
  </si>
  <si>
    <t xml:space="preserve">AUTHORS</t>
  </si>
  <si>
    <t xml:space="preserve">DOI</t>
  </si>
  <si>
    <t xml:space="preserve">LINK</t>
  </si>
  <si>
    <t xml:space="preserve">COMMENTS</t>
  </si>
  <si>
    <t xml:space="preserve">VSUP1 [V]</t>
  </si>
  <si>
    <t xml:space="preserve">VSUP2 [V]</t>
  </si>
  <si>
    <t xml:space="preserve">VSUP3 [V]</t>
  </si>
  <si>
    <t xml:space="preserve">Csamp [pF]</t>
  </si>
  <si>
    <t xml:space="preserve">AREA [mm^2]</t>
  </si>
  <si>
    <t xml:space="preserve">SNDR_lf [dB]</t>
  </si>
  <si>
    <t xml:space="preserve">fin_hf [Hz]</t>
  </si>
  <si>
    <t xml:space="preserve">SNDR_hf [dB]</t>
  </si>
  <si>
    <t xml:space="preserve">SNR [dB]</t>
  </si>
  <si>
    <t xml:space="preserve">DR [dB]</t>
  </si>
  <si>
    <t xml:space="preserve">-THD [dB]</t>
  </si>
  <si>
    <t xml:space="preserve">SFDR [dB]</t>
  </si>
  <si>
    <t xml:space="preserve">SNDR_plot [dB]</t>
  </si>
  <si>
    <t xml:space="preserve">P [W]</t>
  </si>
  <si>
    <t xml:space="preserve">fs [Hz]</t>
  </si>
  <si>
    <t xml:space="preserve">OSR</t>
  </si>
  <si>
    <t xml:space="preserve">fsnyq [Hz]</t>
  </si>
  <si>
    <t xml:space="preserve">fcenter [Hz]</t>
  </si>
  <si>
    <t xml:space="preserve">P/fsnyq [pJ]</t>
  </si>
  <si>
    <t xml:space="preserve">FOMW_lf [fJ/conv-step]</t>
  </si>
  <si>
    <t xml:space="preserve">FOMW_hf [fJ/conv-step]</t>
  </si>
  <si>
    <t xml:space="preserve">FOMS_lf [dB]</t>
  </si>
  <si>
    <t xml:space="preserve">FOMS_hf [dB]</t>
  </si>
  <si>
    <t xml:space="preserve">FOMW_hf/fsnyq</t>
  </si>
  <si>
    <t xml:space="preserve">FOMS,hf+10log(fsnyq)</t>
  </si>
  <si>
    <t xml:space="preserve">NQ</t>
  </si>
  <si>
    <t xml:space="preserve">SAR</t>
  </si>
  <si>
    <t xml:space="preserve">A MOSFET-only, 10 b, 200 ksample/s A/D converter capable of 12 b untrimmed linearity</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</si>
  <si>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</si>
  <si>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 xml:space="preserve">C. Hammerschmied, Q. Huang</t>
  </si>
  <si>
    <t xml:space="preserve">10.1109/ISSCC.1997.585301</t>
  </si>
  <si>
    <t xml:space="preserve"> </t>
  </si>
  <si>
    <t xml:space="preserve">Folding</t>
  </si>
  <si>
    <t xml:space="preserve">1.00 BiCMOS</t>
  </si>
  <si>
    <t xml:space="preserve">A 12 b 50 M sample/s cascaded folding and interpolating ADC</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</si>
  <si>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</si>
  <si>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P. Vorenkamp, R. Roovers</t>
  </si>
  <si>
    <t xml:space="preserve">10.1109/ISSCC.1997.585303</t>
  </si>
  <si>
    <t xml:space="preserve">A 170 mW 10 b 50 Msample/s CMOS ADC in 1 mm²</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</si>
  <si>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</si>
  <si>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 xml:space="preserve">K. Bult, A. Buchwald, J. Laskowski</t>
  </si>
  <si>
    <t xml:space="preserve">Two-step</t>
  </si>
  <si>
    <t xml:space="preserve">Bipolar</t>
  </si>
  <si>
    <t xml:space="preserve">A 12 b 128 MSample/s ADC with 0.05 LSB DNL</t>
  </si>
  <si>
    <t xml:space="preserve">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</si>
  <si>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R. Jewett, K. Poulton, K.-C. Hsieh, J. Doernberg</t>
  </si>
  <si>
    <t xml:space="preserve">10.1109/ISSCC.1997.585305</t>
  </si>
  <si>
    <t xml:space="preserve">Pipe</t>
  </si>
  <si>
    <t xml:space="preserve">A 15 b 5 MSample/s low-spurious CMOS ADC</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</si>
  <si>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</si>
  <si>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 xml:space="preserve">S.-U. Kwak, B.-S. Song, K. Bacrania</t>
  </si>
  <si>
    <t xml:space="preserve">10.1109/ISSCC.1997.585309</t>
  </si>
  <si>
    <t xml:space="preserve">Power includes digital (addtl. 70mW)</t>
  </si>
  <si>
    <t xml:space="preserve">OS</t>
  </si>
  <si>
    <t xml:space="preserve">SDSC, Pipe</t>
  </si>
  <si>
    <t xml:space="preserve">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</si>
  <si>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</si>
  <si>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 xml:space="preserve">T.L Brooks, D.H. Robertson, D.F. Kelly, A. Del Muro, S.W. Harston</t>
  </si>
  <si>
    <t xml:space="preserve">10.1109/ISSCC.1997.585335</t>
  </si>
  <si>
    <t xml:space="preserve">SDSC</t>
  </si>
  <si>
    <t xml:space="preserve">Low-voltage double-sampled ΣΔ converters</t>
  </si>
  <si>
    <t xml:space="preserve">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</si>
  <si>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 xml:space="preserve">Senderowicz, D.; Nicollini, G.; Pernici, S.; Nagari, A.; Confalonieri, P.; Dallavalle, C.</t>
  </si>
  <si>
    <t xml:space="preserve">10.1109/ISSCC.1997.585336</t>
  </si>
  <si>
    <t xml:space="preserve">SDSC, TI, BP</t>
  </si>
  <si>
    <t xml:space="preserve">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</si>
  <si>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</si>
  <si>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 xml:space="preserve">Ong, A.K.; Wooley, B.A.</t>
  </si>
  <si>
    <t xml:space="preserve">10.1109/ISSCC.1997.585337</t>
  </si>
  <si>
    <t xml:space="preserve">IF=20MHz</t>
  </si>
  <si>
    <t xml:space="preserve">SDCT, BP</t>
  </si>
  <si>
    <t xml:space="preserve">HBT</t>
  </si>
  <si>
    <t xml:space="preserve">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</si>
  <si>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</si>
  <si>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 xml:space="preserve">Raghavan, G.; Jensen, J.F.; Walden, R.H.; Posey, W.P.</t>
  </si>
  <si>
    <t xml:space="preserve">10.1109/ISSCC.1997.585338</t>
  </si>
  <si>
    <t xml:space="preserve">Data taken for max. BW, IF=55MHz</t>
  </si>
  <si>
    <t xml:space="preserve">SDCT, Complex, BP</t>
  </si>
  <si>
    <t xml:space="preserve">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</si>
  <si>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</si>
  <si>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 xml:space="preserve">Jantzi, S.; Martin, K.; Sedra, A.</t>
  </si>
  <si>
    <t xml:space="preserve">10.1109/ISSCC.1997.585339</t>
  </si>
  <si>
    <t xml:space="preserve">Data taken for max. BW, IF=3.75MHz</t>
  </si>
  <si>
    <t xml:space="preserve">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</si>
  <si>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</si>
  <si>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 xml:space="preserve">Leung, K.Y.; Swanson, E.J.; Kafai Leung; Zhu, S.S.</t>
  </si>
  <si>
    <t xml:space="preserve">10.1109/ISSCC.1997.585340</t>
  </si>
  <si>
    <t xml:space="preserve">SDCT</t>
  </si>
  <si>
    <t xml:space="preserve">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</si>
  <si>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</si>
  <si>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 xml:space="preserve">van der Zwan, E.J.</t>
  </si>
  <si>
    <t xml:space="preserve">10.1109/ISSCC.1997.585345</t>
  </si>
  <si>
    <t xml:space="preserve">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</si>
  <si>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</si>
  <si>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 xml:space="preserve">Yasuda, A.; Tanimoto, H.; Lida, T.</t>
  </si>
  <si>
    <t xml:space="preserve">10.1109/ISSCC.1998.672377</t>
  </si>
  <si>
    <t xml:space="preserve">SDSC, SwOpAmp</t>
  </si>
  <si>
    <t xml:space="preserve">A 900 mV 40 μW switched opamp ΔΣ modulator with 77 dB dynamic range</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</si>
  <si>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</si>
  <si>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 xml:space="preserve">Peluso, V.; Vancorenland, P.; Marques, A.; Steyaert, M.; Sansen, W.</t>
  </si>
  <si>
    <t xml:space="preserve">10.1109/ISSCC.1998.672379</t>
  </si>
  <si>
    <t xml:space="preserve">A single-ended 12b 20Msample/s self-calibrating pipeline A/D converter</t>
  </si>
  <si>
    <t xml:space="preserve">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</si>
  <si>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 xml:space="preserve">I. Opris, L. Lewicki, and B. Wong</t>
  </si>
  <si>
    <t xml:space="preserve">10.1109/ISSCC.1998.672406</t>
  </si>
  <si>
    <t xml:space="preserve">Pipe, TI</t>
  </si>
  <si>
    <t xml:space="preserve">Digital background calibration of a 10b 40Msample/s parallel pipelined ADC</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</si>
  <si>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</si>
  <si>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 xml:space="preserve">D. Fu, K. Dyer, S. Lewis, and P. Hurst,</t>
  </si>
  <si>
    <t xml:space="preserve">10.1109/ISSCC.1998.672407</t>
  </si>
  <si>
    <t xml:space="preserve">Analog background calibration of a 10b 40Msample/s parallel pipelined ADC</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</si>
  <si>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</si>
  <si>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K. Dyer, D. Fu, S. Lewis, and P. Hurst,</t>
  </si>
  <si>
    <t xml:space="preserve">10.1109/ISSCC.1998.672408</t>
  </si>
  <si>
    <t xml:space="preserve">A continuously-calibrated 10Msample/s 12b 3.3V ADC</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</si>
  <si>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</si>
  <si>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 xml:space="preserve">Joseph Ingino Jr. and Bruce Wooley</t>
  </si>
  <si>
    <t xml:space="preserve">10.1109/ISSCC.1998.672409</t>
  </si>
  <si>
    <t xml:space="preserve">8b 75Msample/s 70mW parallel pipelined ADC incorporating double sampling</t>
  </si>
  <si>
    <t xml:space="preserve">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</si>
  <si>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W. Bright</t>
  </si>
  <si>
    <t xml:space="preserve">10.1109/ISSCC.1998.672410</t>
  </si>
  <si>
    <t xml:space="preserve">Flash</t>
  </si>
  <si>
    <t xml:space="preserve">0.35 BiCMOS</t>
  </si>
  <si>
    <t xml:space="preserve">A 5.75b 350Msample/s or 6.75b 150Msample/s reconfigurable flash ADC for a PRML read channel</t>
  </si>
  <si>
    <t xml:space="preserve">A reconfigurable flash analog-to-digital converter (ADC), is suited for use in a partial response maximum likelihood (PRML) read channel with digital servo. A 5V version is integrated in a read channel with digital servo using BiCMOS technology</t>
  </si>
  <si>
    <t xml:space="preserve">P. Setty, J. Barner, J. Plany, H. Burger, and J. Sonntag</t>
  </si>
  <si>
    <t xml:space="preserve">10.1109/ISSCC.1998.672411</t>
  </si>
  <si>
    <t xml:space="preserve">0.50 BiCMOS</t>
  </si>
  <si>
    <t xml:space="preserve">A 400Msample/s 6b CMOS folding and interpolating ADC</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</si>
  <si>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</si>
  <si>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 xml:space="preserve">M. Flynn, B. Sheahan</t>
  </si>
  <si>
    <t xml:space="preserve">10.1109/ISSCC.1998.672412</t>
  </si>
  <si>
    <t xml:space="preserve">A 1.5 V 1.0 mW audio ΔΣ modulator with 98 dB dynamic range</t>
  </si>
  <si>
    <t xml:space="preserve">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</si>
  <si>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 xml:space="preserve">A.L. Coban, P.E. Allen</t>
  </si>
  <si>
    <t xml:space="preserve">10.1109/ISSCC.1999.759091</t>
  </si>
  <si>
    <t xml:space="preserve">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</si>
  <si>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</si>
  <si>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 xml:space="preserve">Breems, L.J.; van de Zwan, E.J.; Dijkmans, E.C.; Huijsing, J.H.</t>
  </si>
  <si>
    <t xml:space="preserve">10.1109/ISSCC.1999.759363</t>
  </si>
  <si>
    <t xml:space="preserve">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</si>
  <si>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</si>
  <si>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 xml:space="preserve">Paul, S.; Hae-Seung Lee; Goodrich, J.; Alailima, T.; Santiago, D.</t>
  </si>
  <si>
    <t xml:space="preserve">10.1109/ISSCC.1999.759092</t>
  </si>
  <si>
    <t xml:space="preserve">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</si>
  <si>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</si>
  <si>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 xml:space="preserve">van Engalen, J.; van de Plassche, R.; Sokvoort, E.; Venes, A.</t>
  </si>
  <si>
    <t xml:space="preserve">10.1109/ISSCC.1999.759093</t>
  </si>
  <si>
    <t xml:space="preserve">Data for 10.7MHZ IF, BW=200kHz</t>
  </si>
  <si>
    <t xml:space="preserve">0.80 BiCMOS</t>
  </si>
  <si>
    <t xml:space="preserve">A 400 MHz 12 b 18 mW IF digitizer with mixer inside a ΣΔ modulator loop</t>
  </si>
  <si>
    <t xml:space="preserve">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</si>
  <si>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 xml:space="preserve">Namdar, A.; Laung, B.H.</t>
  </si>
  <si>
    <t xml:space="preserve">10.1109/ISSCC.1999.759096</t>
  </si>
  <si>
    <t xml:space="preserve">Algorithmic</t>
  </si>
  <si>
    <t xml:space="preserve">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</si>
  <si>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</si>
  <si>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 xml:space="preserve">Ozan E. Erdogan, Paul J. Hurst, and Stephen H. Lewis</t>
  </si>
  <si>
    <t xml:space="preserve">10.1109/ISSCC.1999.759266</t>
  </si>
  <si>
    <t xml:space="preserve">Two-Step</t>
  </si>
  <si>
    <t xml:space="preserve">A 3.3V 10b 25Msample/s two-step ADC in 0.35µm CMOS</t>
  </si>
  <si>
    <t xml:space="preserve">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</si>
  <si>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Hendrik van der Ploeg and Robert Remmers,</t>
  </si>
  <si>
    <t xml:space="preserve">10.1109/ISSCC.1999.759267</t>
  </si>
  <si>
    <t xml:space="preserve">Fig. 18.2.6.a shows 7.8 ENOB at fin=12.5 MHz</t>
  </si>
  <si>
    <t xml:space="preserve">0.60 BiCMOS</t>
  </si>
  <si>
    <t xml:space="preserve">A 65 mW 10 b 40 Msample/s BiCMOS Nyquist ADC in 0.8 mm 2</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</si>
  <si>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</si>
  <si>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Gian Hoogzaad and Raf Roovers</t>
  </si>
  <si>
    <t xml:space="preserve">10.1109/ISSCC.1999.759268</t>
  </si>
  <si>
    <t xml:space="preserve">Fig. 18.3.6.a shows 8.7 ENOB at fin=20 MHz</t>
  </si>
  <si>
    <t xml:space="preserve">A 75mW 10b 20MSample/s CMOS subranging ADC with 59dB SNDR</t>
  </si>
  <si>
    <t xml:space="preserve">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</si>
  <si>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 xml:space="preserve">Brian Brandt and Joseph Lutsky</t>
  </si>
  <si>
    <t xml:space="preserve">10.1109/ISSCC.1999.759270</t>
  </si>
  <si>
    <t xml:space="preserve">A CMOS 6b 500MSample/s ADC for a hard disk drive read channel</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</si>
  <si>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</si>
  <si>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Yuko Tamba and Kazuo Yamakido</t>
  </si>
  <si>
    <t xml:space="preserve">10.1109/ISSCC.1999.759272</t>
  </si>
  <si>
    <t xml:space="preserve">A 6b 500MSample/s CMOS flash ADC with a background interpolated auto-zeroing technique</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</si>
  <si>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</si>
  <si>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 xml:space="preserve">Kwangho Yoon, Sungkyung Park, and Wonchan Kim</t>
  </si>
  <si>
    <t xml:space="preserve">10.1109/ISSCC.1999.759274</t>
  </si>
  <si>
    <t xml:space="preserve">A 14b 100Msample/s 3-stage A/D converter</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</si>
  <si>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</si>
  <si>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 xml:space="preserve">Carl Moreland, Michael Elliott, Frank Murden, Joe Young, Mike Hensley, and Russ Stop</t>
  </si>
  <si>
    <t xml:space="preserve">10.1109/ISSCC.2000.839679</t>
  </si>
  <si>
    <t xml:space="preserve">A 13b 40Msample/s CMOS pipelined folding ADC with background offset trimming</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</si>
  <si>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</si>
  <si>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 xml:space="preserve">Myung-Jun Choe, Bang-Sup Song, and Kantilal Bacrania,</t>
  </si>
  <si>
    <t xml:space="preserve">10.1109/ISSCC.2000.839680</t>
  </si>
  <si>
    <t xml:space="preserve">A 12b 65Msample/s CMOS ADC with 82dB SFDR at 120MHz</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</si>
  <si>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</si>
  <si>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 xml:space="preserve">Larry Singer, Stacy Ho, Mike Timko, and Dan Kelly</t>
  </si>
  <si>
    <t xml:space="preserve">10.1109/ISSCC.2000.839681</t>
  </si>
  <si>
    <t xml:space="preserve">A 3.3V, 12b, 50Msample/s A/D converter in 0.6µm CMOS with over 80dB SFDR</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</si>
  <si>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</si>
  <si>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 xml:space="preserve">Hui Pan, Masahiro Segami, Michael Choi, Jing Cao, Fumitoshi Hatori, and Asad Abidi</t>
  </si>
  <si>
    <t xml:space="preserve">10.1109/ISSCC.2000.839682</t>
  </si>
  <si>
    <t xml:space="preserve">An 8b 80Msample/s pipelined ADC with background calibration</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</si>
  <si>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</si>
  <si>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 xml:space="preserve">Jun Ming and Stephen H. Lewis</t>
  </si>
  <si>
    <t xml:space="preserve">10.1109/ISSCC.2000.839683</t>
  </si>
  <si>
    <t xml:space="preserve">A 14b 20MSample/s CMOS pipelined ADC</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</si>
  <si>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</si>
  <si>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 xml:space="preserve">Hsin-Shu Chen, Kantilal Bacrania, and Bang-Sup Song</t>
  </si>
  <si>
    <t xml:space="preserve">10.1109/ISSCC.2000.839685</t>
  </si>
  <si>
    <t xml:space="preserve">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</si>
  <si>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</si>
  <si>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 xml:space="preserve">Geerts, Y.; Steyaert, M.; Sansen, W.</t>
  </si>
  <si>
    <t xml:space="preserve">10.1109/ISSCC.2000.839805</t>
  </si>
  <si>
    <t xml:space="preserve">A 90 dB SNR, 2.5 MHz output rate ADC using cascaded multibit ΔΣ modulation at 8x oversampling ratio</t>
  </si>
  <si>
    <t xml:space="preserve">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</si>
  <si>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 xml:space="preserve">Fujimori, I.; Longo, L.; Hairapetian, A.; Seiyama, K.; Kosic, S.; Cao, J.; Shu-Iap Chan</t>
  </si>
  <si>
    <t xml:space="preserve">10.1109/ISSCC.2000.839806</t>
  </si>
  <si>
    <t xml:space="preserve">A 10.7 MHz IF-to-baseband ΣΔ A/D conversion system for AM/FM radio receivers</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</si>
  <si>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</si>
  <si>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 xml:space="preserve">van der Zwan, E.; Philips, K.; Bastiaansen, C.</t>
  </si>
  <si>
    <t xml:space="preserve">10.1109/ISSCC.2000.839807</t>
  </si>
  <si>
    <t xml:space="preserve">SDSC, BP</t>
  </si>
  <si>
    <t xml:space="preserve">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</si>
  <si>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</si>
  <si>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 xml:space="preserve">Tabatabaei, A.; Kaviani, K.; Wooley, B.</t>
  </si>
  <si>
    <t xml:space="preserve">10.1109/ISSCC.2000.839808</t>
  </si>
  <si>
    <t xml:space="preserve">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</si>
  <si>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</si>
  <si>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 xml:space="preserve">Burger, T.; Qiuting Hueng</t>
  </si>
  <si>
    <t xml:space="preserve">10.1109/ISSCC.2001.912538</t>
  </si>
  <si>
    <t xml:space="preserve">Data for WCDMA</t>
  </si>
  <si>
    <t xml:space="preserve">A 5 mW ΣΔ modulator with 84 dB dynamic range for GSM/EDGE</t>
  </si>
  <si>
    <t xml:space="preserve">A ΣΔ modulator in 0.35 μm technology for GSM/EDGE applications has 13 MHz clock. Frequency is 13 MHz. The modulator achieves 84 dB dynamic range and 82 dB peak SNDR over 180 kHz bandwidth. Power dissipation is 5 mW from 1.8/2.4 V supplies. Active area is 0.4 mm 2</t>
  </si>
  <si>
    <t xml:space="preserve">Oliaei, O.; Clement, P.; Gorisse, P.</t>
  </si>
  <si>
    <t xml:space="preserve">10.1109/ISSCC.2001.912539</t>
  </si>
  <si>
    <t xml:space="preserve">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</si>
  <si>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</si>
  <si>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 xml:space="preserve">Vleugels, K.; Rabii, S.; Wooley, B.A.</t>
  </si>
  <si>
    <t xml:space="preserve">10.1109/ISSCC.2001.912541</t>
  </si>
  <si>
    <t xml:space="preserve">A 6b 1.3Gsample/s A/D converter in 0.35µm CMOS</t>
  </si>
  <si>
    <t xml:space="preserve">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</si>
  <si>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Michael Choi and Asad A. Abidi, </t>
  </si>
  <si>
    <t xml:space="preserve">10.1109/ISSCC.2001.912571</t>
  </si>
  <si>
    <t xml:space="preserve">A 6b 1.1Gsample/s CMOS A/D converter</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</si>
  <si>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</si>
  <si>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Govert Geelen</t>
  </si>
  <si>
    <t xml:space="preserve">10.1109/ISSCC.2001.912572</t>
  </si>
  <si>
    <t xml:space="preserve">A 10b 100Msample/s CMOS pipelined ADC with 1.8V power supply</t>
  </si>
  <si>
    <t xml:space="preserve">A 100 MHz ADC for low-power applications uses a 0.18 μm digital CMOS process. The design achieves 9.4 ENOB for a 50 MHz input at full sampling rate, and consumes a total of 180 mW with 2.5 mm² core in a single 1.8 V power supply </t>
  </si>
  <si>
    <t xml:space="preserve">Yong-In Park, S. Karthikeyan, Frank Tsay, and Eduardo Bartolome</t>
  </si>
  <si>
    <t xml:space="preserve">10.1109/ISSCC.2001.912573</t>
  </si>
  <si>
    <t xml:space="preserve">A 2.5V 12b 54 Msample/s 0.25 µm CMOS ADC in 1 mm²</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</si>
  <si>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</si>
  <si>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Hendrik van der Ploeg, Gian Hoogzaad, Henk A. H. Termeer, Maarten Vertregt, and Raf L. J. Roovers,</t>
  </si>
  <si>
    <t xml:space="preserve">10.1109/ISSCC.2001.912574</t>
  </si>
  <si>
    <t xml:space="preserve">SNDR estimated assuming equal contribution of distortion and thermal noise</t>
  </si>
  <si>
    <t xml:space="preserve">A 3V 340mW 14b 75MSPS CMOS ADC with 85dB SFDR at Nyquist</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</si>
  <si>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</si>
  <si>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 xml:space="preserve">Dan Kelly, Will Yang, Iuri Mehr, Mark Sayuk, and Larry Singer,</t>
  </si>
  <si>
    <t xml:space="preserve">10.1109/ISSCC.2001.912575</t>
  </si>
  <si>
    <t xml:space="preserve">A 14b 40 Msample/s pipelined ADC with DFCA</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</si>
  <si>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</si>
  <si>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 xml:space="preserve">Yu, P.C.; Shehata, S.; Joharapurkar, A.; Chugh, P.; Bugeja, A.R.; Xiaohong Du; Sung-Ung Kwak; Papantonopoulous, Y.; Kuyel, T.</t>
  </si>
  <si>
    <t xml:space="preserve">10.1109/ISSCC.2001.912576</t>
  </si>
  <si>
    <t xml:space="preserve">A 4GSample/s 8b ADC in 0.35µm CMOS</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</si>
  <si>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</si>
  <si>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Ken Poulton, Robert Neff, Art Muto, Wei Liu, Andy Burstein, and Mehrdad Heshami</t>
  </si>
  <si>
    <t xml:space="preserve">10.1109/ISSCC.2002.992988</t>
  </si>
  <si>
    <t xml:space="preserve">A 6b 1.6GSample/s flash ADC in 0.18µm CMOS Using averaging termination</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</si>
  <si>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</si>
  <si>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 xml:space="preserve">Peter Scholtens and Maarten Vertregt, </t>
  </si>
  <si>
    <t xml:space="preserve">10.1109/ISSCC.2002.992989</t>
  </si>
  <si>
    <t xml:space="preserve">A 7b 450MSample/s 50mW CMOS ADC in 0.3mm²</t>
  </si>
  <si>
    <t xml:space="preserve">A 7b 450MSample/s CMOS ADC in 0.18µm technology is used for the embedded digital read channel system in DVD SOC. A dynamic comparator and an interpolation circuit composed of gate-width-weighted transistors consumes 50mW and occupies 0.3mm² </t>
  </si>
  <si>
    <t xml:space="preserve">Koji Sushihara and Akira Matsuzawa</t>
  </si>
  <si>
    <t xml:space="preserve">10.1109/ISSCC.2002.992990</t>
  </si>
  <si>
    <t xml:space="preserve">A 10b 120MSample/s time-interleaved analog-to-digital converter with digital background calibration</t>
  </si>
  <si>
    <t xml:space="preserve">Digital calibration using adaptive signal processing corrects offset mismatch, gain mismatch, and sample-time error between time-interleaved channels in a 10b 120MSample/s pipelined ADC. With background calibration, peak SNDR is 56.8dB and power dissipati</t>
  </si>
  <si>
    <t xml:space="preserve">Shafiq M. Jamal, Daihong Fu, Paul J. Hurst, and Stephen H. Lewis,</t>
  </si>
  <si>
    <t xml:space="preserve">10.1109/ISSCC.2002.992991</t>
  </si>
  <si>
    <t xml:space="preserve">No HF data, fin=990kHz</t>
  </si>
  <si>
    <t xml:space="preserve">A 16mW 30MSample/s 10b pipelined A/D converter using a pseudo-differential architecture</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</si>
  <si>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</si>
  <si>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 xml:space="preserve">Daisuke Miyazaki, Masanori Furuta, and Shoji Kawahito</t>
  </si>
  <si>
    <t xml:space="preserve">10.1109/ISSCC.2002.992180</t>
  </si>
  <si>
    <t xml:space="preserve">A 1.2V 10b 20MSample/s non-binary successive approximation ADC in 0.13µm CMOS</t>
  </si>
  <si>
    <t xml:space="preserve">A successive-approximation ADC with non-binary code achieves 55dB SNR at sampling frequencies up to 20MHz. The converter, with on-chip driver for analog input and reference input, measures 0.08mm² in a standard 0.13µm CMOS process and consumes 12mW from a</t>
  </si>
  <si>
    <t xml:space="preserve">Franz Kuttner</t>
  </si>
  <si>
    <t xml:space="preserve">10.1109/ISSCC.2002.992993</t>
  </si>
  <si>
    <t xml:space="preserve">A 1 MHz-bandwidth second-order continuous-time quadrature bandpass sigma-delta modulator for low-IF radio receivers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</si>
  <si>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</si>
  <si>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 xml:space="preserve">Henkel, F.; Langmann, U.; Hanke, A.; Heinen, S.; Wagner, E.</t>
  </si>
  <si>
    <t xml:space="preserve">10.1109/ISSCC.2002.993012</t>
  </si>
  <si>
    <t xml:space="preserve">SDCT, SDSC, BP</t>
  </si>
  <si>
    <t xml:space="preserve">A 50mW Bandpass ΣΔ ADC with 333kHz BW and 90dB DR</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</si>
  <si>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</si>
  <si>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Schreier, R.; Lloyd, J.; Singer, L.; Paterson, D.; Timko, M.; Hensley, M.; Patterson, G.; Behel, K.; Zhou, J.; Martin, W.J.;</t>
  </si>
  <si>
    <t xml:space="preserve">10.1109/ISSCC.2002.993013</t>
  </si>
  <si>
    <t xml:space="preserve">A dual-mode 80 MHz bandpass ΔΣ modulator for a GSM/WCDMA IF-receiver</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</si>
  <si>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</si>
  <si>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Salo, T.; Hollman, T.; Lindfors, S.; Halonen, K.</t>
  </si>
  <si>
    <t xml:space="preserve">10.1109/ISSCC.2002.993014</t>
  </si>
  <si>
    <t xml:space="preserve">A 1.8 V 14 b ΔΣ A/D converter with 4MSamples/s conversion</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</si>
  <si>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</si>
  <si>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Ruoxin Jiang; Fiez, T.S.</t>
  </si>
  <si>
    <t xml:space="preserve">10.1109/ISSCC.2002.993015</t>
  </si>
  <si>
    <t xml:space="preserve">A 3.3 mW ΣΔ modulator for UMTS in 0.18 μm CMOS with 70 dB dynamic range in 2 MHz bandwidth</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</si>
  <si>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</si>
  <si>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van Veldhoven, R.; Philips, K.; Minnis, B.</t>
  </si>
  <si>
    <t xml:space="preserve">10.1109/ISSCC.2002.993016</t>
  </si>
  <si>
    <t xml:space="preserve">A 64 MHz ΣΔ ADC with 105 dB IM3 distortion using a linearized replica sampling network</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</si>
  <si>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</si>
  <si>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 xml:space="preserve">Gupta, S.K.; Brooks, T.L.; Fong, V.</t>
  </si>
  <si>
    <t xml:space="preserve">10.1109/ISSCC.2002.993017</t>
  </si>
  <si>
    <t xml:space="preserve">A 1.5 V 2.4/2.9 mW 79/50 dB DR ΣΔ modulator for GSM/WCDMA in a 0.13 μm digital process</t>
  </si>
  <si>
    <t xml:space="preserve">A 2nd order multi-level ΣΔ A/D converter for low-power multi-standard wireless receivers, in a single-poly 0.13 μm digital CMOS process, has 79/50 dB dynamic range for GSM/WCDMA. The 0.2 mm² chip consumes 2.4/2.9 mW at 1.5 V </t>
  </si>
  <si>
    <t xml:space="preserve">Gomez, G.; Haroun, B.</t>
  </si>
  <si>
    <t xml:space="preserve">10.1109/ISSCC.2002.993054</t>
  </si>
  <si>
    <t xml:space="preserve">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</si>
  <si>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</si>
  <si>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 xml:space="preserve">Lin, J.; Haroun, B.</t>
  </si>
  <si>
    <t xml:space="preserve">10.1109/ISSCC.2002.993055</t>
  </si>
  <si>
    <t xml:space="preserve">A 0.7V MOSFET-only switched-opamp ΣΔ modulator</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</si>
  <si>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</si>
  <si>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Sauerbrey, J.; Tille, T.; Schmitt-Landsiedel, D.; Thewes, R.</t>
  </si>
  <si>
    <t xml:space="preserve">10.1109/ISSCC.2002.993056</t>
  </si>
  <si>
    <t xml:space="preserve">A 30mW 12b 21MSample/s pipelined CMOS ADC</t>
  </si>
  <si>
    <t xml:space="preserve">A 0.6µm double-poly CMOS 12b ADC uses a number of different techniques to obtain low power. The ADC achieves 68dB SNR at 21 MSample/s, consuming 30mW at 2.7V. Die area is 2.56mm² </t>
  </si>
  <si>
    <t xml:space="preserve">Kulhalli, S.; Penkota, V.; Asv, R.</t>
  </si>
  <si>
    <t xml:space="preserve">10.1109/ISSCC.2002.993057</t>
  </si>
  <si>
    <t xml:space="preserve">LF data only</t>
  </si>
  <si>
    <t xml:space="preserve">A self-calibrated pipeline ADC with 200MHz IF-sampling frontend</t>
  </si>
  <si>
    <t xml:space="preserve">A 13b 50MSample/s pipeline ADC with digital self-calibration and IF-sampling frontend, using a 0.35µm BiCMOS process, achieves 76.5dB SFDR at 194MHz input. The chip occupies 6mm² and dissipates 715mW from a 2.9V supply </t>
  </si>
  <si>
    <t xml:space="preserve">Waltari, M.; Sumanen, L.; Korhonen, T.; Halonen, K.</t>
  </si>
  <si>
    <t xml:space="preserve">10.1109/ISSCC.2002.993058</t>
  </si>
  <si>
    <t xml:space="preserve">Broken chip, SNDR is an optimistic estimate</t>
  </si>
  <si>
    <t xml:space="preserve">A 33mW 14b 2.5MSample/s ΣΔ A/D converter in 0.25μm digital CMOS</t>
  </si>
  <si>
    <t xml:space="preserve">The IC consists of a 5th-order single-loop tri-level ΣΔ modulator and a multistage digital filter. Measured dynamic range is 86dB over 1 MHz bandwidth. With 79dB peak SNDR, the chip consumes 33mW and occupies 1.5mm²</t>
  </si>
  <si>
    <t xml:space="preserve">Reutemann, R.; Balmelli, P.; Qiuting Huang</t>
  </si>
  <si>
    <t xml:space="preserve">10.1109/ISSCC.2002.993059</t>
  </si>
  <si>
    <t xml:space="preserve">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</si>
  <si>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</si>
  <si>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 xml:space="preserve">Blanken, P.G.; Menten, S.E.J.</t>
  </si>
  <si>
    <t xml:space="preserve">10.1109/ISSCC.2002.993095</t>
  </si>
  <si>
    <t xml:space="preserve">A 1.5V 1mA 80dB passive ΣΔ ADC in 0.13μm digital CMOS process</t>
  </si>
  <si>
    <t xml:space="preserve">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</si>
  <si>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 xml:space="preserve">Feng Chen; Ramaswamy, S.; Bakkaloglu, B.</t>
  </si>
  <si>
    <t xml:space="preserve">10.1109/ISSCC.2003.1234204</t>
  </si>
  <si>
    <t xml:space="preserve">A 114 dB 68 mW chopper-stabilized stereo multi-bit audio A/D converter</t>
  </si>
  <si>
    <t xml:space="preserve">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</si>
  <si>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 xml:space="preserve">YuQing Yang; Chokhawala, A.; Alexander, M.; Melanson, J.; Hester, D.</t>
  </si>
  <si>
    <t xml:space="preserve">10.1109/ISSCC.2003.1234205</t>
  </si>
  <si>
    <t xml:space="preserve">A-weighted DR=114dB --&gt; 111dB linear DR</t>
  </si>
  <si>
    <t xml:space="preserve">A 1.2-V dual-mode WCDMA/GPRS ΣΔ modulator</t>
  </si>
  <si>
    <t xml:space="preserve">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</si>
  <si>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Dezzani, A.; Andre, E.</t>
  </si>
  <si>
    <t xml:space="preserve">10.1109/ISSCC.2003.1234206</t>
  </si>
  <si>
    <t xml:space="preserve">A tri-mode continuous-time ΣΔ modulator with switched-capacitor feedback DAC for a GSM-EDGE/CDMA2000/UMTS receiver</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</si>
  <si>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</si>
  <si>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 xml:space="preserve">van Veldhoven, R.</t>
  </si>
  <si>
    <t xml:space="preserve">10.1109/ISSCC.2003.1234207</t>
  </si>
  <si>
    <t xml:space="preserve">Data for CDMA</t>
  </si>
  <si>
    <t xml:space="preserve">A continuous-time ΣΔ modulator with 88dB dynamic range and 1.1MHz signal bandwidth</t>
  </si>
  <si>
    <t xml:space="preserve">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</si>
  <si>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 xml:space="preserve">Yan, S.; Sanchez-Sinencio, E.</t>
  </si>
  <si>
    <t xml:space="preserve">10.1109/ISSCC.2003.1234208</t>
  </si>
  <si>
    <t xml:space="preserve">A 4.4mW 76dB complex ΣΔ ADC for Bluetooth receivers</t>
  </si>
  <si>
    <t xml:space="preserve">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</si>
  <si>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 xml:space="preserve">Philips, K.</t>
  </si>
  <si>
    <t xml:space="preserve">10.1109/ISSCC.2003.1234209</t>
  </si>
  <si>
    <t xml:space="preserve">A dual channel ΣΔ ADC with 40MHz aggregate signal bandwidth</t>
  </si>
  <si>
    <t xml:space="preserve">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</si>
  <si>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 xml:space="preserve">Tabatabaei, A.; Onodera, K.; Zargari, M.; Samavati, H.; Su, D.K.</t>
  </si>
  <si>
    <t xml:space="preserve">10.1109/ISSCC.2003.1234210</t>
  </si>
  <si>
    <t xml:space="preserve">A 20GS/s 8b ADC with a 1MB memory in 0.18µm CMOS</t>
  </si>
  <si>
    <t xml:space="preserve">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</si>
  <si>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 xml:space="preserve">Ken Poulton, Robert Neff, Brian Setterberg, Bernd Wuppermann, Tom Kopley, Robert Jewett, Jorge Pernillo, Charles Tan, and Allen Montijo</t>
  </si>
  <si>
    <t xml:space="preserve">10.1109/ISSCC.2003.1234315</t>
  </si>
  <si>
    <t xml:space="preserve">Flash, TI</t>
  </si>
  <si>
    <t xml:space="preserve">A 2GS/s 6b ADC in 0.18µm CMOS</t>
  </si>
  <si>
    <t xml:space="preserve">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</si>
  <si>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 xml:space="preserve">Xicheng Jiang, Zhengyu Wang, and M. Frank Chang,</t>
  </si>
  <si>
    <t xml:space="preserve">10.1109/ISSCC.2003.1234317</t>
  </si>
  <si>
    <t xml:space="preserve">A 69mW 10b 80MS/s pipelined CMOS ADC</t>
  </si>
  <si>
    <t xml:space="preserve">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</si>
  <si>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Byung-Moo Min, Peter Kim, David Boisvert, and Arlo Aude</t>
  </si>
  <si>
    <t xml:space="preserve">10.1109/ISSCC.2003.1234318</t>
  </si>
  <si>
    <t xml:space="preserve">A 10b 150MS/s 123mW 0.18µm CMOS pipelined ADC</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</si>
  <si>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</si>
  <si>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 xml:space="preserve">Sang-Min Yoo, Jong-Bum Park, Hee-Suk Yang, Hyuen-Hee Bae, Kyoung-Ho Moon, Ho-Jin Park, Seung-Hoon Lee, and Jae-Hwui Kim,</t>
  </si>
  <si>
    <t xml:space="preserve">10.1109/ISSCC.2003.1234319</t>
  </si>
  <si>
    <t xml:space="preserve">A 12b 75MS/s pipelined ADC using open-loop residue amplification</t>
  </si>
  <si>
    <t xml:space="preserve">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</si>
  <si>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Boris Murmann and Bernhard E. Boser</t>
  </si>
  <si>
    <t xml:space="preserve">10.1109/ISSCC.2003.1234320</t>
  </si>
  <si>
    <t xml:space="preserve">Impact of dielectric relaxation on a 14b pipeline ADC in 3V SiGe BiCMOS</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</si>
  <si>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</si>
  <si>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Alfio Zanchi, Frank Tsay, and Ioannis Papantonopoulos</t>
  </si>
  <si>
    <t xml:space="preserve">10.1109/ISSCC.2003.1234321</t>
  </si>
  <si>
    <t xml:space="preserve">A 700/900mW/channel CMOS dual analog front-end IC for VDSL with integrated 11.5/14.5dBm line drivers</t>
  </si>
  <si>
    <t xml:space="preserve">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</si>
  <si>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 xml:space="preserve">Moyal, M.; Groepl, M.; Werker, H.; Mitteregger, G.; Schambacher, J.</t>
  </si>
  <si>
    <t xml:space="preserve">10.1109/ISSCC.2003.1234364</t>
  </si>
  <si>
    <t xml:space="preserve">A cascaded continuous-time ΣΔ modulator with 67dB dynamic range in 10MHz bandwidth</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</si>
  <si>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</si>
  <si>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Breems, L.J.</t>
  </si>
  <si>
    <t xml:space="preserve">10.1109/ISSCC.2004.1332599</t>
  </si>
  <si>
    <t xml:space="preserve">A 25 MS/s 14 b 200 mW ΣΔ modulator in 0.18 μm CMOS</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</si>
  <si>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</si>
  <si>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Balmelli, P.; Qiuting Huang</t>
  </si>
  <si>
    <t xml:space="preserve">10.1109/ISSCC.2004.1332600</t>
  </si>
  <si>
    <t xml:space="preserve">ΣΔ ADC with finite impulse response feedback DAC</t>
  </si>
  <si>
    <t xml:space="preserve">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</si>
  <si>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 xml:space="preserve">Putter, B.M.</t>
  </si>
  <si>
    <t xml:space="preserve">10.1109/ISSCC.2004.1332601</t>
  </si>
  <si>
    <t xml:space="preserve">A 0.9 V 1.5 mW continuous-time ΔΣ modulator for WCDMA</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</si>
  <si>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</si>
  <si>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Ueno, T.; Itakura, T.</t>
  </si>
  <si>
    <t xml:space="preserve">10.1109/ISSCC.2004.1332602</t>
  </si>
  <si>
    <t xml:space="preserve">A 1 V 88 dB 20 kHz ΣΔ modulator in 90 nm CMOS</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</si>
  <si>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</si>
  <si>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 xml:space="preserve">Yao, L.; Steyaert, M.; Sansen, W.</t>
  </si>
  <si>
    <t xml:space="preserve">10.1109/ISSCC.2004.1332603</t>
  </si>
  <si>
    <t xml:space="preserve">A power optimized 14-bit SC ΔΣ modulator for ADSL CO applications</t>
  </si>
  <si>
    <t xml:space="preserve">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</si>
  <si>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 xml:space="preserve">Gaggl, R.; Inversi, M.; Wiesbauer, A.</t>
  </si>
  <si>
    <t xml:space="preserve">10.1109/ISSCC.2004.1332604</t>
  </si>
  <si>
    <t xml:space="preserve">Data for BW=1.1MHz</t>
  </si>
  <si>
    <t xml:space="preserve">A mirror image free two-path bandpass ΣΔ modulator with 72 dB SNR and 86 dB SFDR</t>
  </si>
  <si>
    <t xml:space="preserve">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</si>
  <si>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 xml:space="preserve">Ying, F.; Maloberti, F.</t>
  </si>
  <si>
    <t xml:space="preserve">10.1109/ISSCC.2004.1332605</t>
  </si>
  <si>
    <t xml:space="preserve">A 2 mW 89 dB DR continuous-time ΣΔ ADC with increased immunity to wide-band interferers</t>
  </si>
  <si>
    <t xml:space="preserve">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</si>
  <si>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Philips, K.; Nuijten, P.A.C.M.; Roovers, R.; Munoz, F.; Tejero, M.; Torralba, A.</t>
  </si>
  <si>
    <t xml:space="preserve">10.1109/ISSCC.2004.1332606</t>
  </si>
  <si>
    <t xml:space="preserve">DR=89dB, DRinst=68dB</t>
  </si>
  <si>
    <t xml:space="preserve">Folding, TI</t>
  </si>
  <si>
    <t xml:space="preserve">A 1.8V 1.6GS/s 8b self-calibrating folding ADC with 7.26 ENOB at Nyquist frequency</t>
  </si>
  <si>
    <t xml:space="preserve">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</si>
  <si>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 xml:space="preserve">Robert Taft, Chris Menkus, Maria Rosaria Tursi, Ols Hidri, and Valerie Pons</t>
  </si>
  <si>
    <t xml:space="preserve">10.1109/ISSCC.2004.1332689</t>
  </si>
  <si>
    <t xml:space="preserve">An 8b 600MS/s 200mW CMOS folding A/D converter using an amplifier preset technique</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</si>
  <si>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</si>
  <si>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 xml:space="preserve">Govert Geelen and Edward Paulus</t>
  </si>
  <si>
    <t xml:space="preserve">10.1109/ISSCC.2004.1332690</t>
  </si>
  <si>
    <t xml:space="preserve">A 1.2V 220MS/s 10b pipeline ADC implemented in 0.13µm digital CMOS</t>
  </si>
  <si>
    <t xml:space="preserve">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</si>
  <si>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 xml:space="preserve">Bjørnar Hernes, Atle Briskemyr, Terje N. Andersen, Frode Telstø, Thomas E. Bonnerud, and Øystein Moldsvor,</t>
  </si>
  <si>
    <t xml:space="preserve">10.1109/ISSCC.2004.1332691</t>
  </si>
  <si>
    <t xml:space="preserve">A 150MS/s 8b 71mW time-interleaved ADC in 0.18µm CMOS</t>
  </si>
  <si>
    <t xml:space="preserve">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</si>
  <si>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 xml:space="preserve">Sotirios Limotyrakis, Scott D. Kulchycki, David Su, and Bruce A. Wooley, </t>
  </si>
  <si>
    <t xml:space="preserve">10.1109/ISSCC.2004.1332692</t>
  </si>
  <si>
    <t xml:space="preserve">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</si>
  <si>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</si>
  <si>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Jan Mulder, Christopher M. Ward, Chi-Hung Lin, Dave Kruse, Jan R. Westra, Marcel L. Lugthart, Erol Arslan, Rudy J. van de Plassche, Klaas Bult, and Frank M. L. van der Goes,</t>
  </si>
  <si>
    <t xml:space="preserve">10.1109/ISSCC.2004.1332693</t>
  </si>
  <si>
    <t xml:space="preserve">0.12 SiGe</t>
  </si>
  <si>
    <t xml:space="preserve">A 3b 40GS/s ADC-DAC in 0.12µm SiGe</t>
  </si>
  <si>
    <t xml:space="preserve">A 3b SiGe ADC-DAC produces a conversion rate of 40GS/s with &gt;200 dynamic range over 12GHz bandwidth for receiver exciter applications. The 40GHz design and test methodology, as well as a new wideband quantizer front end, are described.</t>
  </si>
  <si>
    <t xml:space="preserve">William Cheng, Wais Ali, Moon-Jung Choi, Kanon Liu, Tammy Tat, Don Devendorf, Lloyd Linder, and Ronald Stevens,</t>
  </si>
  <si>
    <t xml:space="preserve">10.1109/ISSCC.2004.1332694</t>
  </si>
  <si>
    <t xml:space="preserve">SAR, TI</t>
  </si>
  <si>
    <t xml:space="preserve">A 6b 600MHz 10mW ADC array in digital 90nm CMOS</t>
  </si>
  <si>
    <t xml:space="preserve">A 6b converter array operates at a 600MHz clock frequency with input signals up to 600MHz and only 10mW power consumption. The array consists of 8 interleaved successive approximation converters implemented in a 90nm digital CMOS technology.</t>
  </si>
  <si>
    <t xml:space="preserve">Dieter Draxelmayr</t>
  </si>
  <si>
    <t xml:space="preserve">10.1109/ISSCC.2004.1332695</t>
  </si>
  <si>
    <t xml:space="preserve">A digitally enhanced 1.8V 15b 40MS/s CMOS pipelined ADC</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</si>
  <si>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</si>
  <si>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 xml:space="preserve">E. Siragusa and I. Galton,</t>
  </si>
  <si>
    <t xml:space="preserve">10.1109/ISSCC.2004.1332789</t>
  </si>
  <si>
    <t xml:space="preserve">A 15b 20MS/s CMOS pipelined ADC with digital background calibration</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</si>
  <si>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</si>
  <si>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Hung-Chih Liu, Zwei-Mei Lee, and Jieh-Tsorng Wu</t>
  </si>
  <si>
    <t xml:space="preserve">10.1109/ISSCC.2004.1332790</t>
  </si>
  <si>
    <t xml:space="preserve">A 96dB SFDR 50MS/s digitally enhanced CMOS pipeline A/D converter</t>
  </si>
  <si>
    <t xml:space="preserve">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</si>
  <si>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 xml:space="preserve">K. Nair and R. Harjani,</t>
  </si>
  <si>
    <t xml:space="preserve">10.1109/ISSCC.2004.1332791</t>
  </si>
  <si>
    <t xml:space="preserve">A 1.8V 14b 10MS/s pipelined ADC in 0.18µm CMOS with 99dB SFDR</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</si>
  <si>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</si>
  <si>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Yun Chiu, Paul R. Gray, and Borivoje Nikolic</t>
  </si>
  <si>
    <t xml:space="preserve">10.1109/ISSCC.2004.1332792</t>
  </si>
  <si>
    <t xml:space="preserve">A 12b 80MS/s pipelined ADC with bootstrapped digital calibration</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</si>
  <si>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</si>
  <si>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 xml:space="preserve">Carl R. Grace, Paul J. Hurst, and Stephen H. Lewis,</t>
  </si>
  <si>
    <t xml:space="preserve">10.1109/ISSCC.2004.1332793</t>
  </si>
  <si>
    <t xml:space="preserve">An 80MHz 10b pipeline ADC with dynamic range doubling and dynamic reference selection</t>
  </si>
  <si>
    <t xml:space="preserve">A 10 b 80 MHz pipeline ADC consumes 22 mA at 1.5 V and occupies a die area of 0.3 mm² in a 0.13 μm CMOS technology. The ADC is based on a conventional 1.5 b pipeline architecture combined with dynamic-range-doubling and dynamic-reference-selection algorithms.</t>
  </si>
  <si>
    <t xml:space="preserve">Olaf Stroeble, Victor Dias, and Christoph Schwoerer,</t>
  </si>
  <si>
    <t xml:space="preserve">10.1109/ISSCC.2004.1332794</t>
  </si>
  <si>
    <t xml:space="preserve">A 14b-linear capacitor self-trimming pipelined ADC</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</si>
  <si>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</si>
  <si>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Seung-Tak Ryu, Sourja Ray, Bang-Sup Song, Gyu-Hyeong Cho, and Kanti Bacrania</t>
  </si>
  <si>
    <t xml:space="preserve">10.1109/ISSCC.2004.1332795</t>
  </si>
  <si>
    <t xml:space="preserve">SDSC, Switched RC</t>
  </si>
  <si>
    <t xml:space="preserve">A 0.6V 82dB ΔΣ audio ADC using switched-RC integrators</t>
  </si>
  <si>
    <t xml:space="preserve">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</si>
  <si>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 xml:space="preserve">Gil-cho Ahn; Dong-young Chang; Brown, M.; Ozaki, N.; Youra, H.; Yamamura, K.; Hamashita, K.; Takasuka, K.; Temes, G.C.; Un-Ku Moon</t>
  </si>
  <si>
    <t xml:space="preserve">10.1109/ISSCC.2005.1493921</t>
  </si>
  <si>
    <t xml:space="preserve">A low-power multi-bit ΔΣ modulator in 90nm digital CMOS without DEM</t>
  </si>
  <si>
    <t xml:space="preserve">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</si>
  <si>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 xml:space="preserve">Jiang Yu; Maloberti, F.</t>
  </si>
  <si>
    <t xml:space="preserve">10.1109/ISSCC.2005.1493922</t>
  </si>
  <si>
    <t xml:space="preserve">A 66dB DR 1.2V 1.2mW single-amplifier double-sampling 2nd-order ΔΣ ADC for WCDMA in 90nm CMOS</t>
  </si>
  <si>
    <t xml:space="preserve">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</si>
  <si>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 xml:space="preserve">Jinseok Koh; Yunyoung Choi; Gomez, G.</t>
  </si>
  <si>
    <t xml:space="preserve">10.1109/ISSCC.2005.1493923</t>
  </si>
  <si>
    <t xml:space="preserve">A 100dB SNR 2.5MS/s output data rate ΔΣ ADC</t>
  </si>
  <si>
    <t xml:space="preserve">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</si>
  <si>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 xml:space="preserve">Brewer, R.; Gorbold, J.; Hurrell, P.; Lyden, C.; Maurino, R.; Vickery, M.</t>
  </si>
  <si>
    <t xml:space="preserve">10.1109/ISSCC.2005.1493924</t>
  </si>
  <si>
    <t xml:space="preserve">DR manually extracted from plot</t>
  </si>
  <si>
    <t xml:space="preserve">An 80MHz 4× oversampled cascaded ΔΣ-pipelined ADC with 75dB DR and 87dB SFDR</t>
  </si>
  <si>
    <t xml:space="preserve">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</si>
  <si>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 xml:space="preserve">Bosi, A.; Panigada, A.; Cesura, G.; Castello, R.</t>
  </si>
  <si>
    <t xml:space="preserve">10.1109/ISSCC.2005.1493925</t>
  </si>
  <si>
    <t xml:space="preserve">SDCT, SDSC</t>
  </si>
  <si>
    <t xml:space="preserve">A 106dB SNR hybrid oversampling ADC for digital audio</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</si>
  <si>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</si>
  <si>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Nguyen, K.; Adams, B.; Sweetland, K.; Huaijin Chen; McLaughlin, K.</t>
  </si>
  <si>
    <t xml:space="preserve">10.1109/ISSCC.2005.1493926</t>
  </si>
  <si>
    <t xml:space="preserve">A 0.18μm 102dB-SNR mixed CT SC audio-band ΔΣ ADC</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</si>
  <si>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</si>
  <si>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Morrow, P.; Chamarro, M.; Lyden, C.; Ventura, P.; Abo, A.; Matamura, A.; Keane, M.; O'Brien, R.; Minogue, P.; Mansson, J.; McGuinness, N.; McGranaghan, M.; Ryan, I.</t>
  </si>
  <si>
    <t xml:space="preserve">10.1109/ISSCC.2005.1493927</t>
  </si>
  <si>
    <t xml:space="preserve">A 3.3 mW 12 MS/s 10b pipelined ADC in 90 nm digital CMOS</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</si>
  <si>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</si>
  <si>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 xml:space="preserve">Wang, R.; Martin, K.; Johns, D.; Burra, G.</t>
  </si>
  <si>
    <t xml:space="preserve">10.1109/ISSCC.2005.1493977</t>
  </si>
  <si>
    <t xml:space="preserve">Pipe, Scalable</t>
  </si>
  <si>
    <t xml:space="preserve">A 50 MS/s (35 mW) to 1 kS/s (15 μW) power scaleable 10b pipelined ADC with minimal bias current variation</t>
  </si>
  <si>
    <t xml:space="preserve">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</si>
  <si>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 xml:space="preserve">Ahmed, I.; Johns, D.</t>
  </si>
  <si>
    <t xml:space="preserve">10.1109/ISSCC.2005.1493978</t>
  </si>
  <si>
    <t xml:space="preserve">A 10 b 125 MS/s 40 mW pipelined ADC in 0.18 μm CMOS</t>
  </si>
  <si>
    <t xml:space="preserve">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</si>
  <si>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 xml:space="preserve">Yoshioka, M.; Kudo, M.; Gotoh, K.; Watanabe, Y.</t>
  </si>
  <si>
    <t xml:space="preserve">10.1109/ISSCC.2005.1493979</t>
  </si>
  <si>
    <t xml:space="preserve">A 30mW 8b 200MS/s pipelined CMOS ADC using a switched-opamp technique</t>
  </si>
  <si>
    <t xml:space="preserve">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</si>
  <si>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Hwi-Cheol Kim; Deog-Kyoon Jeong; Wonchan Kim</t>
  </si>
  <si>
    <t xml:space="preserve">10.1109/ISSCC.2005.1493980</t>
  </si>
  <si>
    <t xml:space="preserve">A 3mW 74dB SNR 2MHz CT ΔΣ ADC with a tracking-ADC-quantizer in 0.13 μm CMOS</t>
  </si>
  <si>
    <t xml:space="preserve">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</si>
  <si>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 xml:space="preserve">Dorrer, L.; Kuttner, F.; Greco, P.; Derksen, S.</t>
  </si>
  <si>
    <t xml:space="preserve">10.1109/ISSCC.2005.1494084</t>
  </si>
  <si>
    <t xml:space="preserve">A 1.2V 3.5mW ΔΣ modulator with a passive current summing network and a variable gain function</t>
  </si>
  <si>
    <t xml:space="preserve">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</si>
  <si>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 xml:space="preserve">Nagai, T.; Satou, H.; Yamazaki, H.; Watanabe, Y.</t>
  </si>
  <si>
    <t xml:space="preserve">10.1109/ISSCC.2005.1494085</t>
  </si>
  <si>
    <t xml:space="preserve">A 4th-order 86dB CT ΔΣ ADC with two amplifiers in 90nm CMOS</t>
  </si>
  <si>
    <t xml:space="preserve">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</si>
  <si>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 xml:space="preserve">Das, A.; Hezar, R.; Byrd, R.; Gomez, G.; Haroun, B.</t>
  </si>
  <si>
    <t xml:space="preserve">10.1109/ISSCC.2005.1494086</t>
  </si>
  <si>
    <t xml:space="preserve">A low-noise low-voltage CT ΔΣ modulator with digital compensation of excess loop delay</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</si>
  <si>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</si>
  <si>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 xml:space="preserve">Fontaine, P.; Mohieldin, A.N.; Bellaouar, A.</t>
  </si>
  <si>
    <t xml:space="preserve">10.1109/ISSCC.2005.1494087</t>
  </si>
  <si>
    <t xml:space="preserve">SDCT, Filter, Complex, BP</t>
  </si>
  <si>
    <t xml:space="preserve">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</si>
  <si>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</si>
  <si>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 xml:space="preserve">Munoz, F.; Philips, K.; Torralba, A.</t>
  </si>
  <si>
    <t xml:space="preserve">10.1109/ISSCC.2005.1494088</t>
  </si>
  <si>
    <t xml:space="preserve">DR=89.5dB, DRinst=70dB</t>
  </si>
  <si>
    <t xml:space="preserve">A 43mW CT complex ΔΣ ADC with 23MHz of signal bandwidth and 68.8dB SNDR</t>
  </si>
  <si>
    <t xml:space="preserve">A low-power wide-BW CT complex ΔΣ ADC suitable for a low-IF receiver is fabricated in a 0.18 μm CMOS process and consumes 42.6mW from a 1.8V supply. The IC achieves 68.8dB SNDR and a DR of 72.5dB over a 23.0MHz band centered around 11.5MHz.</t>
  </si>
  <si>
    <t xml:space="preserve">Yaghini, N.; Johns, D.</t>
  </si>
  <si>
    <t xml:space="preserve">10.1109/ISSCC.2005.1494089</t>
  </si>
  <si>
    <t xml:space="preserve">A 14b 20mW 640MHz CMOS CT ΔΣ ADC with 20MHz Signal Bandwidth and 12b ENOB</t>
  </si>
  <si>
    <t xml:space="preserve">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</si>
  <si>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 xml:space="preserve">Mitteregger, G.; Ebner, C.; Mechnig, S.; Blon, T.; Holuigue, C.; Romani, E.; Melodia, A.; Melini, V.</t>
  </si>
  <si>
    <t xml:space="preserve">10.1109/ISSCC.2006.1696042</t>
  </si>
  <si>
    <t xml:space="preserve">SDCT, Complex</t>
  </si>
  <si>
    <t xml:space="preserve">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</si>
  <si>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</si>
  <si>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 xml:space="preserve">Schreier, R.; Abaskharoun, N.; Shibata, H.; Mehr, I.; Rose, S.; Paterson, D.</t>
  </si>
  <si>
    <t xml:space="preserve">10.1109/ISSCC.2006.1696043</t>
  </si>
  <si>
    <t xml:space="preserve">DR=90dB, DRinst=85dB</t>
  </si>
  <si>
    <t xml:space="preserve">An 118dB DR CT IF-to-Baseband ΣΔ Modulator for AM/FM/IBOC Radio Receivers</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</si>
  <si>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</si>
  <si>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 xml:space="preserve">Silva, P.G.R.; Breems, L.J.; Makinwa, K.A.A.; Roovers, R.; Huijsing, J.H.</t>
  </si>
  <si>
    <t xml:space="preserve">10.1109/ISSCC.2006.1696044</t>
  </si>
  <si>
    <t xml:space="preserve">Data for FM</t>
  </si>
  <si>
    <t xml:space="preserve">A 14mW Multi-bit ΔΣ Modulator with 82dB SNR and 86dB DR for ADSL2+</t>
  </si>
  <si>
    <t xml:space="preserve">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</si>
  <si>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 xml:space="preserve">Kwon, S.; Maloberti, F.</t>
  </si>
  <si>
    <t xml:space="preserve">10.1109/ISSCC.2006.1696045</t>
  </si>
  <si>
    <t xml:space="preserve">SDSC, TI</t>
  </si>
  <si>
    <t xml:space="preserve">A 5.4mW 2-Channel Time-Interleaved Multi-bit ΔΣ Modulator with 80dB SNR and 85dB DR for ADSL</t>
  </si>
  <si>
    <t xml:space="preserve">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</si>
  <si>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 xml:space="preserve">Kye-Shin Lee; Sunwoo Kwon; Franco Maloberti</t>
  </si>
  <si>
    <t xml:space="preserve">10.1109/ISSCC.2006.1696046</t>
  </si>
  <si>
    <t xml:space="preserve">A 0.5V 74dB SNDR 25kHz CT ΔΣ Modulator with Return-to-Open DAC</t>
  </si>
  <si>
    <t xml:space="preserve">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</si>
  <si>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 xml:space="preserve">Kong-pang Pun, Shouri Chatterjee, Peter Kinget</t>
  </si>
  <si>
    <t xml:space="preserve">10.1109/ISSCC.2006.1696047</t>
  </si>
  <si>
    <t xml:space="preserve">A 0.9V Delta-Sigma Modulator with 80dB SNDR and 83dB DR Using a Single-Phase Technique</t>
  </si>
  <si>
    <t xml:space="preserve">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</si>
  <si>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 xml:space="preserve">Goes, J.; Vaz, B.; Monteiro, R.; Paulino, N.</t>
  </si>
  <si>
    <t xml:space="preserve">10.1109/ISSCC.2006.1696048</t>
  </si>
  <si>
    <t xml:space="preserve">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</si>
  <si>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</si>
  <si>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Fujimoto, Y.; Kanazawa, Y.; Lore, P.; Miyamoto, M.</t>
  </si>
  <si>
    <t xml:space="preserve">10.1109/ISSCC.2006.1696049</t>
  </si>
  <si>
    <t xml:space="preserve">A 90nm CMOS 1.2V 10b Power and Speed Programmable Pipelined ADC with 0.5pJ/Conversion-Step</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</si>
  <si>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</si>
  <si>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Geelen, Govert; Paulus, Edward; Simanjuntak, Dobson; Pastoor, Hein; Verlinden, RenÃ©</t>
  </si>
  <si>
    <t xml:space="preserve">10.1109/ISSCC.2006.1696118</t>
  </si>
  <si>
    <t xml:space="preserve">A 10b 50MS/s Pipelined ADC with Opamp Current Reuse</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</si>
  <si>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</si>
  <si>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 xml:space="preserve">Ryu, Seung-Tak; Song, Bang-Sup; Bacrania, Kanti</t>
  </si>
  <si>
    <t xml:space="preserve">10.1109/ISSCC.2006.1696119</t>
  </si>
  <si>
    <t xml:space="preserve">Two-Step, Subranging</t>
  </si>
  <si>
    <t xml:space="preserve">A 30mW 12b 40MS/s Subranging ADC with a High-Gain Offset-Canceling Positive-Feedback Amplifier in 90nm Digital CMOS</t>
  </si>
  <si>
    <t xml:space="preserve">A 12b 40MS/s 2-step subranging ADC is realized in a 90nm digital CMOS process. It uses a 7b coarse quantizer with a high-gain offset-canceling positive-feedback amplifier. ENOB is 10.2b at a 0.7V supply and 11.0b at a 1.0V supply. The ADC consumes 30mW at 40MS/s</t>
  </si>
  <si>
    <t xml:space="preserve">Shimizu, Yasuhide; Murayama, Shigemitsu; Kudoh, Kohhei; Yatsuda, Hiroaki; Ogawa, Akihide</t>
  </si>
  <si>
    <t xml:space="preserve">10.1109/ISSCC.2006.1696120</t>
  </si>
  <si>
    <t xml:space="preserve">Pipe, CBSC</t>
  </si>
  <si>
    <t xml:space="preserve">Comparator-Based Switched-Capacitor Circuits For Scaled CMOS Technologies</t>
  </si>
  <si>
    <t xml:space="preserve">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</si>
  <si>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 xml:space="preserve">Sepke, Todd; Fiorenza, John; Sodini, Charles; Holloway, Peter; Lee, Hae-Seung</t>
  </si>
  <si>
    <t xml:space="preserve">10.1109/ISSCC.2006.1696121</t>
  </si>
  <si>
    <t xml:space="preserve">A 25μW 100kS/s 12b ADC for Wireless Micro-Sensor Applications</t>
  </si>
  <si>
    <t xml:space="preserve">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</si>
  <si>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 xml:space="preserve">Verma, Naveen; Chandrakasan, Anantha</t>
  </si>
  <si>
    <t xml:space="preserve">10.1109/ISSCC.2006.1696122</t>
  </si>
  <si>
    <t xml:space="preserve">A 14b 100MS/s Digitally Self-Calibrated Pipelined ADC in 0.13µm CMOS</t>
  </si>
  <si>
    <t xml:space="preserve">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</si>
  <si>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 xml:space="preserve">Bogner, Peter; Kuttner, Franz; Kropf, Claus; Hartig, Thomas; Burian, Markus; Eul, Hermann</t>
  </si>
  <si>
    <t xml:space="preserve">10.1109/ISSCC.2006.1696123</t>
  </si>
  <si>
    <t xml:space="preserve">A 15mW 0.2mm² 10b 50MS/s ADC with Wide Input Range</t>
  </si>
  <si>
    <t xml:space="preserve">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</si>
  <si>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 xml:space="preserve">Choi, Hee-Cheol; Kim, Ju-Hwa; Yoo, Sang-Min; Lee, Kang-Jin; Oh, Tae-Hwan; Seo, Mi-Jung; Kim, Jae-Whui</t>
  </si>
  <si>
    <t xml:space="preserve">10.1109/ISSCC.2006.1696124</t>
  </si>
  <si>
    <t xml:space="preserve">A 13b Linear 40MS/s Pipelined ADC with Self-Configured Capacitor Matching</t>
  </si>
  <si>
    <t xml:space="preserve">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</si>
  <si>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 xml:space="preserve">Ray, Sourja; Song, Bang-Sup</t>
  </si>
  <si>
    <t xml:space="preserve">10.1109/ISSCC.2006.1696125</t>
  </si>
  <si>
    <t xml:space="preserve">A 0.16pJ/Conversion-Step 2.5mW 1.25GS/s 4b ADC in a 90nm Digital CMOS Process</t>
  </si>
  <si>
    <t xml:space="preserve">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</si>
  <si>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 xml:space="preserve">G. Van der Plas, S. Decoutere, S. Donnay</t>
  </si>
  <si>
    <t xml:space="preserve">10.1109/ISSCC.2006.1696294</t>
  </si>
  <si>
    <t xml:space="preserve">A 90nm CMOS 1.2V 6b 1GS/s Two-Step Subranging ADC</t>
  </si>
  <si>
    <t xml:space="preserve">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</si>
  <si>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P. Figueiredo, P. Cardoso, A. Lopes, C. Fachada, N. Hamanishi, K. Tanabe</t>
  </si>
  <si>
    <t xml:space="preserve">10.1109/ISSCC.2006.1696295</t>
  </si>
  <si>
    <t xml:space="preserve">A 4GS/s 4b Flash ADC in 0.18µm CMOS</t>
  </si>
  <si>
    <t xml:space="preserve">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</si>
  <si>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 xml:space="preserve">S. Park, Y. Palaskas, M. Flynn</t>
  </si>
  <si>
    <t xml:space="preserve">10.1109/ISSCC.2006.1696296</t>
  </si>
  <si>
    <t xml:space="preserve">0.13 BiCMOS</t>
  </si>
  <si>
    <t xml:space="preserve">A 22GS/s 5b ADC in 130nm SiGe BiCMOS</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</si>
  <si>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</si>
  <si>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 xml:space="preserve">P. Schvan, D. Pollex, S-C. Wang, C. Falt, N. Ben-Hamida</t>
  </si>
  <si>
    <t xml:space="preserve">10.1109/ISSCC.2006.1696297</t>
  </si>
  <si>
    <t xml:space="preserve">A 6b 600MS/s 5.3mW Asynchronous ADC in 0.13µm CMOS</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</si>
  <si>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</si>
  <si>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S-W. Chen, R. Brodersen</t>
  </si>
  <si>
    <t xml:space="preserve">10.1109/ISSCC.2006.1696298</t>
  </si>
  <si>
    <t xml:space="preserve">A 1GS/s 11b Time-Interleaved ADC in 0.13µm CMOS</t>
  </si>
  <si>
    <t xml:space="preserve">A time-interleaved ADC architecture that eliminates the need to correct timing offsets and is scalable to high sampling rates is presented. This 1GS/S 11b ADC has 55dB peak SNDR, consumes 250mW power, and occupies 3.5mm² area </t>
  </si>
  <si>
    <t xml:space="preserve">S. Gupta, M. Choi, M. Inerfield, J. Wang</t>
  </si>
  <si>
    <t xml:space="preserve">10.1109/ISSCC.2006.1696299</t>
  </si>
  <si>
    <t xml:space="preserve">A 56mW CT Quadrature Cascaded ΣΔ Modulator with 77dB DR in a Near Zero-IF 20MHz Band</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</si>
  <si>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</si>
  <si>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Breems, L.J.; Rutten, R.; van Veldhoven, R.; van der Weide, G.; Termeer, H.</t>
  </si>
  <si>
    <t xml:space="preserve">10.1109/ISSCC.2007.373382</t>
  </si>
  <si>
    <t xml:space="preserve">10.5MHz IF</t>
  </si>
  <si>
    <t xml:space="preserve">A 0.13μm CMOS EDGE/UMTS/WLAN Tri-Mode ΔΣ ADC with -92dB THD</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</si>
  <si>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</si>
  <si>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Christen, T.; Burger, T.; Qiuting Huang</t>
  </si>
  <si>
    <t xml:space="preserve">10.1109/ISSCC.2007.373383</t>
  </si>
  <si>
    <t xml:space="preserve">Data taken for WLAN mode</t>
  </si>
  <si>
    <t xml:space="preserve">A 1.2V, 121-Mode Continuous-Time SD Modulator for Wireless Receivers in 90nm CMOS</t>
  </si>
  <si>
    <t xml:space="preserve">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</si>
  <si>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 xml:space="preserve">Ouzounov, S.; van Veldhoven, R.; Bastiaansen, C.; Vongehr, K.; van Wegberg, R.; Geelen, G.; Breems, L.; van Roermund, A.</t>
  </si>
  <si>
    <t xml:space="preserve">10.1109/ISSCC.2007.373384</t>
  </si>
  <si>
    <t xml:space="preserve">Data taken for GSM mode, (best FOM=0.2pJ/conv-step)</t>
  </si>
  <si>
    <t xml:space="preserve">A 5th-order CT/DT Multi-Mode ΣΔ Modulator</t>
  </si>
  <si>
    <t xml:space="preserve">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</si>
  <si>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 xml:space="preserve">Putter, B.</t>
  </si>
  <si>
    <t xml:space="preserve">10.1109/ISSCC.2007.373385</t>
  </si>
  <si>
    <t xml:space="preserve">Data taken for CDMA mode (best FOM=0.5pJ/conv-step)</t>
  </si>
  <si>
    <t xml:space="preserve">A 65fJ/Conversion-Step, 0–50MS/s 0–0.7mW 9bit Charge Sharing SAR ADC in 90nm Digital CMOS</t>
  </si>
  <si>
    <t xml:space="preserve">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</si>
  <si>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 xml:space="preserve">Craninckx, J.; Van der Plas, G.</t>
  </si>
  <si>
    <t xml:space="preserve">10.1109/ISSCC.2007.373386</t>
  </si>
  <si>
    <t xml:space="preserve">Data taken for 20MS/s, Nyquist input (ENOB=7.4)</t>
  </si>
  <si>
    <t xml:space="preserve">A 14b 40MS/s Redundant SAR ADC with 480MHz Clock in 0.13pm CMOS</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</si>
  <si>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</si>
  <si>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 xml:space="preserve">Hesener, M.; Eichler, T.; Hanneberg, A.; Herbison, D.; Kuttner, F.; Wenske, H.</t>
  </si>
  <si>
    <t xml:space="preserve">10.1109/ISSCC.2007.373387</t>
  </si>
  <si>
    <t xml:space="preserve">A 0.8V 10b 80MS/s 6.5mW Pipelined ADC with Regulated Overdrive Voltage Biasing</t>
  </si>
  <si>
    <t xml:space="preserve">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</si>
  <si>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 xml:space="preserve">Yoshioka, M.; Kudo, M.; Mori, T.; Tsukamoto, S.</t>
  </si>
  <si>
    <t xml:space="preserve">10.1109/ISSCC.2007.373489</t>
  </si>
  <si>
    <t xml:space="preserve">Data taken for VDD=0.8V</t>
  </si>
  <si>
    <t xml:space="preserve">A 10b 160MS/s 84mW 1V Subranging ADC in 90nm CMOS</t>
  </si>
  <si>
    <t xml:space="preserve">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</si>
  <si>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 xml:space="preserve">Huber, D.J.; Chandler, R.J.; Abidi, A.A.</t>
  </si>
  <si>
    <t xml:space="preserve">10.1109/ISSCC.2007.373490</t>
  </si>
  <si>
    <t xml:space="preserve">Assumed ~9.1ENOB at Nyquist</t>
  </si>
  <si>
    <t xml:space="preserve">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</si>
  <si>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</si>
  <si>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 xml:space="preserve">Young-Deuk Jeon; Seung-Chul Lee; Kwi-Dong Kim; Jong-Kee Kwon; Jongdae Kim</t>
  </si>
  <si>
    <t xml:space="preserve">10.1109/ISSCC.2007.373491</t>
  </si>
  <si>
    <t xml:space="preserve">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</si>
  <si>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</si>
  <si>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Seung-Chul Lee; Young-Deuk Jeon; Kwi-Dong Kim; Jong-Kee Kwon; Jongdae Kim; Jeong-Woong Moon; Wooyol Lee</t>
  </si>
  <si>
    <t xml:space="preserve">10.1109/ISSCC.2007.373492</t>
  </si>
  <si>
    <t xml:space="preserve">Power inlcudes SHA. SNDR and SFDR taken from charts (diff.)</t>
  </si>
  <si>
    <t xml:space="preserve">Pipe, ZCBC</t>
  </si>
  <si>
    <t xml:space="preserve">A Zero-Crossing Based 8b 200MS/s Pipelined ADC</t>
  </si>
  <si>
    <t xml:space="preserve">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</si>
  <si>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 xml:space="preserve">Brooks, L.; Hae-Seung Lee</t>
  </si>
  <si>
    <t xml:space="preserve">10.1109/ISSCC.2007.373493</t>
  </si>
  <si>
    <t xml:space="preserve">Data for 200MS/s</t>
  </si>
  <si>
    <t xml:space="preserve">A 92.5mW 205MS/s 10b Pipeline IF ADC Implemented in 1.2V/3.3V 0.13&amp;[mu]m CMOS</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</si>
  <si>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</si>
  <si>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Hernes, B.; Bjornsen, J.; Andersen, T.N.; Vinje, A.; Korsvoll, H.; Telsto, F.; Briskemyr, A.; Holdo, C.; Moldsvor, O.</t>
  </si>
  <si>
    <t xml:space="preserve">10.1109/ISSCC.2007.373494</t>
  </si>
  <si>
    <t xml:space="preserve">SNDR taken from Fig.4, large ERBW</t>
  </si>
  <si>
    <t xml:space="preserve">An 11-Bit 800-MS/s Time-Interleaved ADC with Digital Background Calibration</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</si>
  <si>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</si>
  <si>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Cheng-Chung Hsu; Fong-Ching Huang; Chih-Yung Shih; Chen-Chih Huang; Ying-Hsi Lin; Chao-Cheng Lee; Razavi, B.</t>
  </si>
  <si>
    <t xml:space="preserve">10.1109/ISSCC.2007.373495</t>
  </si>
  <si>
    <t xml:space="preserve">An 820uW 9b 40MS/s Noise-Tolerant Dynamic0SAR ADC in 90nm Digital CMOS</t>
  </si>
  <si>
    <t xml:space="preserve">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</si>
  <si>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 xml:space="preserve">V. Giannini, P. Nuzzo, V. Chironi, A. Baschirotto, G. Vander Plas, J. Craninckx</t>
  </si>
  <si>
    <t xml:space="preserve">10.1109/ISSCC.2008.4523145</t>
  </si>
  <si>
    <t xml:space="preserve">Highly-Intereleaved 5b 250MS/s ADC with Redundant Channels in 65nm CMOS</t>
  </si>
  <si>
    <t xml:space="preserve">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</si>
  <si>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 xml:space="preserve">B. Ginsburg, A. Chandrakasan</t>
  </si>
  <si>
    <t xml:space="preserve">10.1109/ISSCC.2008.4523146</t>
  </si>
  <si>
    <t xml:space="preserve">A 150MS/s 133uW 7b ADC in 90nm Digital CMOS Using a Comparator-Based Asynchronous Binary-Search Sub-ADC</t>
  </si>
  <si>
    <t xml:space="preserve">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</si>
  <si>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 xml:space="preserve">G. Van der Plas, B. Verbruggen</t>
  </si>
  <si>
    <t xml:space="preserve">10.1109/ISSCC.2008.4523147</t>
  </si>
  <si>
    <t xml:space="preserve">A 1.9uW 4.4fJ/conversion-step 10b 1MS/s Charge-Redistribution ADC</t>
  </si>
  <si>
    <t xml:space="preserve">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</si>
  <si>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 xml:space="preserve">M. van Elzakker, E. van Tuijl, P. Geraedts, D. Schinkel, E. Klumperink, B. Nauta</t>
  </si>
  <si>
    <t xml:space="preserve">10.1109/ISSCC.2008.4523148</t>
  </si>
  <si>
    <t xml:space="preserve">A 9.4-ENOB 1V 3.8uW 100kS/s SAR ADC with Time-Domain Comparator</t>
  </si>
  <si>
    <t xml:space="preserve">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</si>
  <si>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 xml:space="preserve">A Agnes, E. Bonizzoni, P. Malcovati, F. Maloberti</t>
  </si>
  <si>
    <t xml:space="preserve">10.1109/ISSCC.2008.4523149</t>
  </si>
  <si>
    <t xml:space="preserve">A 14b 100MS/s Pipelined ADC with a Merged Active S/H and first MDAC</t>
  </si>
  <si>
    <t xml:space="preserve">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</si>
  <si>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 xml:space="preserve">B. Lee, B. Min, G. Manganaro, J. W. Valvano</t>
  </si>
  <si>
    <t xml:space="preserve">10.1109/ISSCC.2008.4523150</t>
  </si>
  <si>
    <t xml:space="preserve">A 1.2V 4.5mW 10b 100MS/s Pipeline ADC in 65nm CMOS</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</si>
  <si>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</si>
  <si>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M. Boulemnakher, E. Andre, J. Roux, F. Paillardet</t>
  </si>
  <si>
    <t xml:space="preserve">10.1109/ISSCC.2008.4523151</t>
  </si>
  <si>
    <t xml:space="preserve">A 2.2mW 5b 1.75GS/s Folding Flash ADC in 90nm Digital CMOS</t>
  </si>
  <si>
    <t xml:space="preserve">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</si>
  <si>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 xml:space="preserve">B. Verbruggen, J. Cranickx, M. Kuijk, P. Wambacq, G. Van der Plas</t>
  </si>
  <si>
    <t xml:space="preserve">10.1109/ISSCC.2008.4523152</t>
  </si>
  <si>
    <t xml:space="preserve">A 0.7V 36uW 85dB-DR Audio delta-sigma Modulator Using a Class-C Inverter</t>
  </si>
  <si>
    <t xml:space="preserve">This paper presents an improved low-power DeltaSigma modulator, exploiting the class-C inverter and the feedforward topology. The measurement results show 14b dynamic range for a 20kHz bandwidth with 36muW power consumption from a 0.7V supply.</t>
  </si>
  <si>
    <t xml:space="preserve">Y. Chae, I. Lee, G. Han</t>
  </si>
  <si>
    <t xml:space="preserve">10.1109/ISSCC.2008.4523271</t>
  </si>
  <si>
    <t xml:space="preserve">An Inverter-Based Hybrid delta sigma Modulator</t>
  </si>
  <si>
    <t xml:space="preserve">The SigmaDelta modulator presented in this paper exploits the advantages of new CMOS technologies by digitization on both architectural and circuit level. The target DR of the modulator is 77dB in 200kHz.</t>
  </si>
  <si>
    <t xml:space="preserve">R. Veldhoven, R. Rutten, L. Breems</t>
  </si>
  <si>
    <t xml:space="preserve">10.1109/ISSCC.2008.4523272</t>
  </si>
  <si>
    <t xml:space="preserve">A Noise-Coupled Time-Interleaved delta sigma AD with 4.2MHz Bw, -98dB THD, and 79dB SNDR</t>
  </si>
  <si>
    <t xml:space="preserve">In this paper, two prototype versions of a SC time-interleaved DeltaSigma ADC are described. Both use quantization- noise coupling for enhanced noise shaping. They achieve high linearity, and FOMs of 0.33 and 0.48pJ/conversion-step, in signal BWs of 2.5 and 4.2MHz, respectively.</t>
  </si>
  <si>
    <t xml:space="preserve">K. Lee, J. Chae, M. Aniya, K. Hamashita, K. Takasuka, S. Takeuchi, G. Temes</t>
  </si>
  <si>
    <t xml:space="preserve">10.1109/ISSCC.2008.4523273</t>
  </si>
  <si>
    <t xml:space="preserve">Data for 2.5MHz BW</t>
  </si>
  <si>
    <t xml:space="preserve">A 28mW Spectrum-Sensing Reconfigurable 20MHz 72dB-SNR 70dB-SNDR DT delta sigma ADC for 802.11n/WiMax Receivers</t>
  </si>
  <si>
    <t xml:space="preserve">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</si>
  <si>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 xml:space="preserve">P. Malla, H. Lakdawala, K. Kornegay, K. Soumyanath</t>
  </si>
  <si>
    <t xml:space="preserve">10.1109/ISSCC.2008.4523274</t>
  </si>
  <si>
    <t xml:space="preserve">Reconfigurable, MASH21 used</t>
  </si>
  <si>
    <t xml:space="preserve">A 100mW 10MHz-BW CT delta sigma Modulator with 87dB DR and -91dBc IMD</t>
  </si>
  <si>
    <t xml:space="preserve">This paper describes a continuous time DeltaSigma modulator with 10MHz of bandwidth that achieves a DR of 87dB and an IMD of -91dBc while consuming 100mW.</t>
  </si>
  <si>
    <t xml:space="preserve">W. Yang, W. Schofield, H. Shibata, S. Korrapati, A. Shaikh, N. Abaskharoun, D. Ribner</t>
  </si>
  <si>
    <t xml:space="preserve">10.1109/ISSCC.2008.4523275</t>
  </si>
  <si>
    <t xml:space="preserve">A 65nm CMOS CT delta sigma Modulator with 81dB DR and 8MHz BW Auto-Tuned by Pulse Injection</t>
  </si>
  <si>
    <t xml:space="preserve">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</si>
  <si>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 xml:space="preserve">Y-S. Shu, B-S. Song, K. Bacrania</t>
  </si>
  <si>
    <t xml:space="preserve">10.1109/ISSCC.2008.4523276</t>
  </si>
  <si>
    <t xml:space="preserve">A CT delta sigma ADC for Voice Coding with 82dB DR in 45nm CMOS</t>
  </si>
  <si>
    <t xml:space="preserve">This paper wants to clarify the important design parameters of the 45 nm process like matching, flicker noise, and offset from an analog designers' point of view. This paper describes a continuous time DeltaSigma ADC for voice coding applications.</t>
  </si>
  <si>
    <t xml:space="preserve">L. Doerrer, F. Kuttner, A. Santner, C. Kropf, T. Puaschitz, T. Hartig</t>
  </si>
  <si>
    <t xml:space="preserve">10.1109/ISSCC.2008.4523277</t>
  </si>
  <si>
    <t xml:space="preserve">An Over-60dB True Rail-to-Rail Performance Using Correlated Level Shifting and an Opamp with 30dB Loop Gain</t>
  </si>
  <si>
    <t xml:space="preserve">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</si>
  <si>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 xml:space="preserve">B. Gregoire, U-K. Moon</t>
  </si>
  <si>
    <t xml:space="preserve">10.1109/ISSCC.2008.4523296</t>
  </si>
  <si>
    <t xml:space="preserve">A 32mW 1.25GS/s 6b 2b/step SAR ADC in 0.13um CMOS</t>
  </si>
  <si>
    <t xml:space="preserve">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</si>
  <si>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 xml:space="preserve">Z. Cao, S. Yan, Y. Li</t>
  </si>
  <si>
    <t xml:space="preserve">10.1109/ISSCC.2008.4523297</t>
  </si>
  <si>
    <t xml:space="preserve">SNDR stays &gt;32 dB up to fin=450MHz</t>
  </si>
  <si>
    <t xml:space="preserve">A 24GS/s 6b ADC in 90nm CMOS</t>
  </si>
  <si>
    <t xml:space="preserve">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</si>
  <si>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P. Schvan, J. Bach, C. Falt, P. Flemke, R. Gibbins, Y. Greshishchev, N. Ben-Hamida, D. Pollex, J. Sitch, S-C. Wang, J. Wolczanski</t>
  </si>
  <si>
    <t xml:space="preserve">10.1109/ISSCC.2008.4523298</t>
  </si>
  <si>
    <t xml:space="preserve">Data for up to 8GHz, SNDR above 22.8 dB up to fin 12GHz</t>
  </si>
  <si>
    <t xml:space="preserve">A 1V 11b 200MS/s Pipelined ADC with Digital Background Calibration in 65nm CMOS</t>
  </si>
  <si>
    <t xml:space="preserve">This paper demonstrates a IV 200MS/s pipelined ADC with digital background calibration in 65nm digital CMOS process. </t>
  </si>
  <si>
    <t xml:space="preserve">K-W. Hsueh, Y-K. Chou, Y-H. Tu, Y-F. Chen, Y-L. Yang, H-S. Li</t>
  </si>
  <si>
    <t xml:space="preserve">10.1109/ISSCC.2008.4523299</t>
  </si>
  <si>
    <t xml:space="preserve">SNDR/SFDR is 59.9dB/64.9dB at fin=60MHz</t>
  </si>
  <si>
    <t xml:space="preserve">A Split-Load Interpolation-Amplifier-Array 300MS/s 8b Subranging Adc in 90nm CMOS</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</si>
  <si>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</si>
  <si>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 xml:space="preserve">Y. Shimizu, S. Murayama, K. Kudoh, H. Yatsuda</t>
  </si>
  <si>
    <t xml:space="preserve">10.1109/ISSCC.2008.4523302</t>
  </si>
  <si>
    <t xml:space="preserve">A 6b 0.2-to-0.9V Highly-Digital Flash ADC with Comparator Redundancy</t>
  </si>
  <si>
    <t xml:space="preserve">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</si>
  <si>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 xml:space="preserve">D. Daly, A. Chandrakasan</t>
  </si>
  <si>
    <t xml:space="preserve">10.1109/ISSCC.2008.4523303</t>
  </si>
  <si>
    <t xml:space="preserve">Data for single ended, pseudo differential gives 5.56 ENOB, 2.84uW</t>
  </si>
  <si>
    <t xml:space="preserve">A 1.1V 50mW 2.5GS/s 7b Time-Interleaved C-2C SAR ADC in 45nm LP Digital CMOS</t>
  </si>
  <si>
    <t xml:space="preserve">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</si>
  <si>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 xml:space="preserve">Erkan Alpman, Hasnain Lakdawala, L. Richard Carley, K. Soumyanath</t>
  </si>
  <si>
    <t xml:space="preserve">10.1109/ISSCC.2009.4977315</t>
  </si>
  <si>
    <t xml:space="preserve">A 1.8V 1.0 GS/s 10b Self-Calibrating Unified-Folding-Interpolating ADC with 9.1 ENOB at Nyquist Frequency</t>
  </si>
  <si>
    <t xml:space="preserve">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</si>
  <si>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 xml:space="preserve">R. C. Taft, P. A. Francese, M. R. Tursi, O. Hidri, A. MacKenzie, T. Hoehn, P. Schmitz, H. Werker, A. Glenny</t>
  </si>
  <si>
    <t xml:space="preserve">10.1109/ISSCC.2009.4977316</t>
  </si>
  <si>
    <t xml:space="preserve">Binary Search</t>
  </si>
  <si>
    <t xml:space="preserve">A 5b 800MS/s 2mW Asynchronous Binary-Search ADC in 65nm CMOS</t>
  </si>
  <si>
    <t xml:space="preserve">This paper reports a 5b asynchronous binary-search ADC with reference-range prediction. The maximum conversion speed of this ADC is 800 MS/s at a cost of 2 mW power consumption. The ADC is fabricated in a 1P6M 65 nm CMOS process with metal-oxide-metal (MOM) capacitors.</t>
  </si>
  <si>
    <t xml:space="preserve">Ying-Zu Lin, Soon-Jyh Chang, Yen-Ting Liu, Chun-Cheng Liu, Guang-Ying Huang</t>
  </si>
  <si>
    <t xml:space="preserve">10.1109/ISSCC.2009.4977317</t>
  </si>
  <si>
    <t xml:space="preserve">A 600MS/s 30mW 0.13µm CMOS ADC Array Achieving Over 60dB SFDR with Adaptive Digital Equalization</t>
  </si>
  <si>
    <t xml:space="preserve">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</si>
  <si>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 xml:space="preserve">Wenbo Liu, Yuchun Chang, Szu-Kang Hsien, Bo-Wei Chen, Yung-Pin Lee, Wen-Tsao Chen, Tzu-Yi Yang, Gin-Kou Ma, Yun Chiu</t>
  </si>
  <si>
    <t xml:space="preserve">10.1109/ISSCC.2009.4977318</t>
  </si>
  <si>
    <t xml:space="preserve">A 10b 500MHz 55mW CMOS ADC</t>
  </si>
  <si>
    <t xml:space="preserve">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</si>
  <si>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 xml:space="preserve">Ashutosh Verma, Behzad Razavi</t>
  </si>
  <si>
    <t xml:space="preserve">10.1109/ISSCC.2009.4977319</t>
  </si>
  <si>
    <t xml:space="preserve">A 16b 125MS/s 385mW 78.7dB SNR CMOS Pipeline ADC </t>
  </si>
  <si>
    <t xml:space="preserve">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</si>
  <si>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 xml:space="preserve">Siddharth Devarajan, Larry Singer, Dan Kelly, Steven Decker, Abhishek Kamath, Paul Wilkins</t>
  </si>
  <si>
    <t xml:space="preserve">10.1109/ISSCC.2009.4977320</t>
  </si>
  <si>
    <t xml:space="preserve">A 130mW 100MS/s Pipelined ADC with 69dB SNDR Enabled by Digital Harmonic Distortion Correction</t>
  </si>
  <si>
    <t xml:space="preserve">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</si>
  <si>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 xml:space="preserve">Andrea Panigada, Ian Galton</t>
  </si>
  <si>
    <t xml:space="preserve">10.1109/ISSCC.2009.4977358</t>
  </si>
  <si>
    <t xml:space="preserve">A 50MS/s 9.9mW Pipelined ADC with 58dB SNDR in 0.18µm CMOS Using Capacitive Charge-Pumps</t>
  </si>
  <si>
    <t xml:space="preserve">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</si>
  <si>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 xml:space="preserve">Imran Ahmed, Jan Mulder, David A. Johns</t>
  </si>
  <si>
    <t xml:space="preserve">10.1109/ISSCC.2009.4977359</t>
  </si>
  <si>
    <t xml:space="preserve">SNDR estimated from Fig. 9.2.5</t>
  </si>
  <si>
    <t xml:space="preserve">A 12b 50MS/s Fully Differential Zero-Crossing-Based ADC Without CMFB</t>
  </si>
  <si>
    <t xml:space="preserve">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</si>
  <si>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 xml:space="preserve">Lane Brooks, Hae-Seung Lee</t>
  </si>
  <si>
    <t xml:space="preserve">10.1109/ISSCC.2009.4977360</t>
  </si>
  <si>
    <t xml:space="preserve">Two-Step, TDC</t>
  </si>
  <si>
    <t xml:space="preserve">A 9b 14μW 0.06mm² PPM ADC in 90nm Digital CMOS</t>
  </si>
  <si>
    <t xml:space="preserve">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</si>
  <si>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Shahrzad Naraghi, Matthew Courcy, Michael P. Flynn</t>
  </si>
  <si>
    <t xml:space="preserve">10.1109/ISSCC.2009.4977361</t>
  </si>
  <si>
    <t xml:space="preserve">A 0.13µm CMOS 78dB SNDR 87mW 20MHz BW CT ΔΣ ADC with VCO-Based Integrator and Quantizer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</si>
  <si>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</si>
  <si>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 xml:space="preserve">Matt Park, Michael Perrott</t>
  </si>
  <si>
    <t xml:space="preserve">10.1109/ISSCC.2009.4977362</t>
  </si>
  <si>
    <t xml:space="preserve">A 1.2V 2MHz BW 0.084mm² CT ΔΣ ADC with -97.7dBc THD and 80dB DR Using Low-Latency DEM</t>
  </si>
  <si>
    <t xml:space="preserve">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</si>
  <si>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 xml:space="preserve">Sheng-Jui Huang, Yung-Yu Lin</t>
  </si>
  <si>
    <t xml:space="preserve">10.1109/ISSCC.2009.4977363</t>
  </si>
  <si>
    <t xml:space="preserve">A 20MHz BW 68dB DR CT ΔΣ ADC Based on a Multi-Bit Time-Domain Quantizer and Feedback Element</t>
  </si>
  <si>
    <t xml:space="preserve">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</si>
  <si>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 xml:space="preserve">Vijay Dhanasekaran, Manisha Gambhir, Mohamed M. Elsayed, Edgar Sánchez-Sinencio, Jose Silva-Martinez, Chinmaya Mishra, Lei Chen, Erik Pankratz</t>
  </si>
  <si>
    <t xml:space="preserve">10.1109/ISSCC.2009.4977364</t>
  </si>
  <si>
    <t xml:space="preserve">A Multirate 3.4-to-6.8mW 85-to-66dB DR GSM/Bluetooth/UMTS Cascade DT ΔΣM in 90nm Digital CMOS</t>
  </si>
  <si>
    <t xml:space="preserve">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</si>
  <si>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 xml:space="preserve">Lynn Bos, Gerd Vandersteen, Julien Ryckaert, Pieter Rombouts, Yves Rolain, Geert Van der Plas</t>
  </si>
  <si>
    <t xml:space="preserve">10.1109/ISSCC.2009.4977365</t>
  </si>
  <si>
    <t xml:space="preserve">A 500mW digitally calibrated AFE in 65nm CMOS for 10Gb/s Serial links over backplane and multimode fiber</t>
  </si>
  <si>
    <t xml:space="preserve">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</si>
  <si>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</si>
  <si>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 xml:space="preserve">10.1109/ISSCC.2009.4977462</t>
  </si>
  <si>
    <t xml:space="preserve">0.18 BiCMOS</t>
  </si>
  <si>
    <t xml:space="preserve">A 16b 250MS/s IF-Sampling Pipelined A/D Converter with Background Calibration</t>
  </si>
  <si>
    <t xml:space="preserve">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</si>
  <si>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 xml:space="preserve">A. M. Ali, A. Morgan, C. Dillon, G. Patterson, S. Puckett, M. Hensley, R. Stop, P. Bhoraskar, S. Bardsley, D. Lattimore, J. Bray, C. Speir, R. Sneed</t>
  </si>
  <si>
    <t xml:space="preserve">10.1109/ISSCC.2010.5433923</t>
  </si>
  <si>
    <t xml:space="preserve">A 16b 100-to-160MS/s SiGe BiCMOS Pipelined ADC with 100dBFS SFDR</t>
  </si>
  <si>
    <t xml:space="preserve">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</si>
  <si>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 xml:space="preserve">R. Payne, M. Corsi, D. Smith, S. Kaylor, D. Hsieh</t>
  </si>
  <si>
    <t xml:space="preserve">10.1109/ISSCC.2010.5433928</t>
  </si>
  <si>
    <t xml:space="preserve">Data for fin=80 MHz at fs=160MS/s, Fig 16.2.5</t>
  </si>
  <si>
    <t xml:space="preserve">Pipe, Folding, TI</t>
  </si>
  <si>
    <t xml:space="preserve">A 2.6mW 6b 2.2GS/s 4-times Interleaved Fully Dynamic Pipelined ADC in 40nm Digital CMOS</t>
  </si>
  <si>
    <t xml:space="preserve">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</si>
  <si>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 xml:space="preserve">B. Verbruggen, J. Craninckx, M. Kuijk, P. Wambacq, G. Van der Plas</t>
  </si>
  <si>
    <t xml:space="preserve">10.1109/ISSCC.2010.5433925</t>
  </si>
  <si>
    <t xml:space="preserve">SDCT, VCO</t>
  </si>
  <si>
    <t xml:space="preserve">A Mostly Digital Variable-Rate Continuous-Time ADC ΔΣ Modulator</t>
  </si>
  <si>
    <t xml:space="preserve">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</si>
  <si>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 xml:space="preserve">G. Taylor, I. Galton</t>
  </si>
  <si>
    <t xml:space="preserve">10.1109/ISSCC.2010.5433930</t>
  </si>
  <si>
    <t xml:space="preserve">A 10b 100MS/s 4.5mW Pipelined ADC with a Time Sharing Technique</t>
  </si>
  <si>
    <t xml:space="preserve">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</si>
  <si>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 xml:space="preserve">Y-C. Huang, T-C. Lee</t>
  </si>
  <si>
    <t xml:space="preserve">10.1109/ISSCC.2010.5433927</t>
  </si>
  <si>
    <t xml:space="preserve">A 1.4V Signal Swing Hybrid CLS-Opamp/ZCBC Pipelined ADC Using a 300mV Output Swing Opamp</t>
  </si>
  <si>
    <t xml:space="preserve">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</si>
  <si>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 xml:space="preserve">B. P. Hershberg, S. T. Weaver, U-K. Moon</t>
  </si>
  <si>
    <t xml:space="preserve">10.1109/ISSCC.2010.5433894</t>
  </si>
  <si>
    <t xml:space="preserve">Pipe, SAR</t>
  </si>
  <si>
    <t xml:space="preserve">An 18b 12.5MHz ADC with 93dB SNR</t>
  </si>
  <si>
    <t xml:space="preserve">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</si>
  <si>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 xml:space="preserve">C. P. Hurrell, C. Lyden, D. Laing, D. Hummerston, M. Vickery</t>
  </si>
  <si>
    <t xml:space="preserve">10.1109/ISSCC.2010.5433829</t>
  </si>
  <si>
    <t xml:space="preserve">Data for fin=6.25 MHz, Fig. 21.1.6</t>
  </si>
  <si>
    <t xml:space="preserve">A 12b 22.5/45MS/s 3.0mW 0.059mm² CMOS SAR ADC Achieving Over 90dB SFDR</t>
  </si>
  <si>
    <t xml:space="preserve">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</si>
  <si>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 xml:space="preserve">W. Liu, P. Huang, Y. Chiu</t>
  </si>
  <si>
    <t xml:space="preserve">10.1109/ISSCC.2010.5433830</t>
  </si>
  <si>
    <t xml:space="preserve">A 0.06mm² 8.9b ENOB 40MS/s Pipelined SAR ADC in 65nm CMOS</t>
  </si>
  <si>
    <t xml:space="preserve">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</si>
  <si>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 xml:space="preserve">M. Furuta, M. Nozawa, T. Itakura</t>
  </si>
  <si>
    <t xml:space="preserve">10.1109/ISSCC.2010.5433968</t>
  </si>
  <si>
    <t xml:space="preserve">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</si>
  <si>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</si>
  <si>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 xml:space="preserve">M. Yoshioka, K. Ishikawa, T. Takayama, S.</t>
  </si>
  <si>
    <t xml:space="preserve">10.1109/ISSCC.2010.5433965</t>
  </si>
  <si>
    <t xml:space="preserve">A 10b 100MS/s 1.13mW SAR ADC with Binary-Scaled Error Compensation</t>
  </si>
  <si>
    <t xml:space="preserve">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</si>
  <si>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 xml:space="preserve">C-C. Liu, S-J. Chang, G-Y. Huang, Y-Z. Lin, C-M. Huang, C-H. Huang, L. Bu, C-C. Tsai</t>
  </si>
  <si>
    <t xml:space="preserve">10.1109/ISSCC.2010.5433970</t>
  </si>
  <si>
    <t xml:space="preserve">A 30fJ/Conversion-Step 8b 0-to-10MS/s Asynchronous SAR ADC in 90nm CMOS</t>
  </si>
  <si>
    <t xml:space="preserve">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</si>
  <si>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 xml:space="preserve">P. Harpe, C. Zhou, X. Wang, G. Dolmans, H. de Groot</t>
  </si>
  <si>
    <t xml:space="preserve">10.1109/ISSCC.2010.5433967</t>
  </si>
  <si>
    <t xml:space="preserve">A 40GS/s 6b ADC in 65nm CMOS</t>
  </si>
  <si>
    <t xml:space="preserve">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</si>
  <si>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 xml:space="preserve">Y. M. Greshishchev, J. Aguirre, R. Gibbins, C. Falt, P. Flemke, N. Ben-Hamida, D. Pollex, P. Schvan, S-C. Wang, M. Besson</t>
  </si>
  <si>
    <t xml:space="preserve">10.1109/ISSCC.2010.5433972</t>
  </si>
  <si>
    <t xml:space="preserve">A 480mw 2.6GS/s 10b 65nm cMoS Time-interleaved adc with 48.5dB SndR up to nyquist</t>
  </si>
  <si>
    <t xml:space="preserve">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</si>
  <si>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 xml:space="preserve">K. Doris, E. Janssen, C. Nani, A. Zanikopoulos, G. van der Weide</t>
  </si>
  <si>
    <t xml:space="preserve">10.1109/ISSCC.2011.5746272</t>
  </si>
  <si>
    <t xml:space="preserve">A 12b 1GS/s SiGe BicMoS Two-way Time-interleaved pipeline adc</t>
  </si>
  <si>
    <t xml:space="preserve">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</si>
  <si>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 xml:space="preserve">R. Payne, C. Sestok, W. Bright, M. El-Chamas, M. Corsi, D. Smith, N. Tal</t>
  </si>
  <si>
    <t xml:space="preserve">10.1109/ISSCC.2011.5746273</t>
  </si>
  <si>
    <t xml:space="preserve">An 800MS/s dual-Residue pipeline adc in 40nm cMoS</t>
  </si>
  <si>
    <t xml:space="preserve">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</si>
  <si>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 xml:space="preserve">J. Mulder, F. M. van der Goes, D. Vecchi, J. R. Westra, E. Ayranci, C. M. Ward, J. Wan, K. Bult</t>
  </si>
  <si>
    <t xml:space="preserve">10.1109/ISSCC.2011.5746274</t>
  </si>
  <si>
    <t xml:space="preserve">Power includes reference</t>
  </si>
  <si>
    <t xml:space="preserve">A 16b 80MS/s 100mw 77.6dB SnR cMoS pipeline adc</t>
  </si>
  <si>
    <t xml:space="preserve">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</si>
  <si>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 xml:space="preserve">J. Brunsilius, E. Siragusa, S. Kosic, F. Murden, E. Yetis, B. Luu, J. Bray, P. Brown, A. Barlow</t>
  </si>
  <si>
    <t xml:space="preserve">10.1109/ISSCC.2011.5746275</t>
  </si>
  <si>
    <t xml:space="preserve">A 0.024mm² 8b 400MS/s SaR adc with 2b/cycle and Resistive dac in 65nm cMoS</t>
  </si>
  <si>
    <t xml:space="preserve">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</si>
  <si>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 xml:space="preserve">H. Wei, C-H. Chan, U-F. Chio, S-W. Sin, S-P. U, R. Martins, F. Maloberti</t>
  </si>
  <si>
    <t xml:space="preserve">10.1109/ISSCC.2011.5746276</t>
  </si>
  <si>
    <t xml:space="preserve">Data for 400MS/s, at Nyquist from Fig. 10.5.5</t>
  </si>
  <si>
    <t xml:space="preserve">A Resolution-Reconfigurable 5-to-10b 0.4-to-1v power Scalable SaR adc</t>
  </si>
  <si>
    <t xml:space="preserve">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</si>
  <si>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 xml:space="preserve">M. Yip, A. P. Chandrakasan</t>
  </si>
  <si>
    <t xml:space="preserve">10.1109/ISSCC.2011.5746277</t>
  </si>
  <si>
    <t xml:space="preserve">Data for 10b mode</t>
  </si>
  <si>
    <t xml:space="preserve">A 4GHz CT ΔΣ ADC with 70dB dR and -74dBFS THD in 125MHz BW</t>
  </si>
  <si>
    <t xml:space="preserve">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</si>
  <si>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 xml:space="preserve">M. Bolatkale, L. Breems, R. Rutten, K. Makinwa</t>
  </si>
  <si>
    <t xml:space="preserve">10.1109/ISSCC.2011.5746401</t>
  </si>
  <si>
    <t xml:space="preserve">An 8mW 50MS/s cT ΔΣ Modulator with 81dB SFdR and digital Background dac inearization</t>
  </si>
  <si>
    <t xml:space="preserve">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</si>
  <si>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 xml:space="preserve">J. G. Kauffman, P. Witte, J. Becker, M. Ortmanns</t>
  </si>
  <si>
    <t xml:space="preserve">10.1109/ISSCC.2011.5746402</t>
  </si>
  <si>
    <t xml:space="preserve">A Third-order DT ΔΣ Modulator using noise-Shaped Bidirectional Single-Slope Quantizer</t>
  </si>
  <si>
    <t xml:space="preserve">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</si>
  <si>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 xml:space="preserve">N. Maghari, U-K. Moon</t>
  </si>
  <si>
    <t xml:space="preserve">10.1109/ISSCC.2011.5746403</t>
  </si>
  <si>
    <t xml:space="preserve">A 250mv 7.5μw 61dB SndR cMoS Sc ΔΣ Modulator using a near-Threshold-voltage-Biased cMoS inverter Technique</t>
  </si>
  <si>
    <t xml:space="preserve">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</si>
  <si>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 xml:space="preserve">F. Michel, M. Steyaert</t>
  </si>
  <si>
    <t xml:space="preserve">10.1109/ISSCC.2011.5746404</t>
  </si>
  <si>
    <t xml:space="preserve">A 84dB SndR 100khz Bandwidth low-power Single op-amp Third-order ΔΣ Modulator consuming 140μw</t>
  </si>
  <si>
    <t xml:space="preserve">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</si>
  <si>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 xml:space="preserve">A. Pena Perez, E. Bonizzoni, F. Maloberti</t>
  </si>
  <si>
    <t xml:space="preserve">10.1109/ISSCC.2011.5746405</t>
  </si>
  <si>
    <t xml:space="preserve">Numbers for OSR=16</t>
  </si>
  <si>
    <t xml:space="preserve">An LC Bandpass ΔΣ ADC with 70dB SNDR over 20MHz Bandwidth Using CMOS DACs</t>
  </si>
  <si>
    <t xml:space="preserve">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</si>
  <si>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 xml:space="preserve">J. Harrison et al.</t>
  </si>
  <si>
    <t xml:space="preserve">10.1109/ISSCC.2012.6176901</t>
  </si>
  <si>
    <t xml:space="preserve">IF = 700-800MHz</t>
  </si>
  <si>
    <t xml:space="preserve">A 12mW Low Power Continuous-time Bandpass Δ;Σ; Modulator with 58dB SNDR and 24MHz Bandwidth at 200MHz IF</t>
  </si>
  <si>
    <t xml:space="preserve">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</si>
  <si>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 xml:space="preserve">H. Chae et al.</t>
  </si>
  <si>
    <t xml:space="preserve">10.1109/ISSCC.2012.6176940</t>
  </si>
  <si>
    <t xml:space="preserve">IF = 200MHz</t>
  </si>
  <si>
    <t xml:space="preserve">A DC to 1 GHz tunable RF ΔΣ ADC achieving DR = 74 dB, BW = 150 MHz at f0 = 450 MHz using P = 550 mW</t>
  </si>
  <si>
    <t xml:space="preserve">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</si>
  <si>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 xml:space="preserve">H. Shibata et al.</t>
  </si>
  <si>
    <t xml:space="preserve">10.1109/ISSCC.2012.6176954</t>
  </si>
  <si>
    <t xml:space="preserve">IF=450MHz, no SNDR data?</t>
  </si>
  <si>
    <t xml:space="preserve">A 16mW 78dB SNDR 10MHz BW CT &amp;#61508;&amp;#931; ADC Using Residue-Cancelling VCO-Based Quantizer</t>
  </si>
  <si>
    <t xml:space="preserve">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</si>
  <si>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 xml:space="preserve">K. Reddy et al.</t>
  </si>
  <si>
    <t xml:space="preserve">10.1109/ISSCC.2012.6176955</t>
  </si>
  <si>
    <t xml:space="preserve">Data for fin=4MHz</t>
  </si>
  <si>
    <t xml:space="preserve">A 72dB DR, ΔΣ CT Modulator using digitally estimated, auxiliary DAC linearization achieving 88fJ/conv in a 25MHz BW</t>
  </si>
  <si>
    <t xml:space="preserve">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</si>
  <si>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 xml:space="preserve">P. Witte et al.</t>
  </si>
  <si>
    <t xml:space="preserve">10.1109/ISSCC.2012.6176956</t>
  </si>
  <si>
    <t xml:space="preserve">A 15mW, 3.6GSps CT-Σ;&amp;#931; ADC with 36MHz Bandwidth and 83dB DR in 90nm CMOS</t>
  </si>
  <si>
    <t xml:space="preserve">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</si>
  <si>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 xml:space="preserve">P. Shettigar et al.</t>
  </si>
  <si>
    <t xml:space="preserve">10.1109/ISSCC.2012.6176957</t>
  </si>
  <si>
    <t xml:space="preserve">A 20mW 61dB SNDR (60MHz BW) 1b 3rd Order Continuous-Time Delta Sigma Modulator Clocked at 6GHz in 45nm CMOS</t>
  </si>
  <si>
    <t xml:space="preserve">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</si>
  <si>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 xml:space="preserve">V. Srinivasan et al.</t>
  </si>
  <si>
    <t xml:space="preserve">10.1109/ISSCC.2012.6176958</t>
  </si>
  <si>
    <t xml:space="preserve">A 40nm CMOS Single-Chip 50Gb/sDP-QPSK/BPSK Transceiver With Electronic Dispersion Compensation for Coherent Optical Channels</t>
  </si>
  <si>
    <t xml:space="preserve">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</si>
  <si>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 xml:space="preserve">D. Crivelli et al.</t>
  </si>
  <si>
    <t xml:space="preserve">10.1109/ISSCC.2012.6177033</t>
  </si>
  <si>
    <t xml:space="preserve">Ring Amplifiers for Switched Capacitor Circuits</t>
  </si>
  <si>
    <t xml:space="preserve">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</si>
  <si>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 xml:space="preserve">B. Hershberg et al.</t>
  </si>
  <si>
    <t xml:space="preserve">10.1109/ISSCC.2012.6177090</t>
  </si>
  <si>
    <t xml:space="preserve">A 5.37mW 10b 200MS/s Dual-Path Pipelined ADC</t>
  </si>
  <si>
    <t xml:space="preserve">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</si>
  <si>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 xml:space="preserve">Y. Chai et al.</t>
  </si>
  <si>
    <t xml:space="preserve">10.1109/ISSCC.2012.6177091</t>
  </si>
  <si>
    <t xml:space="preserve">A 1.7mW 11b 250MS/s 2-times Interleaved Fully Dynamic Pipelined SAR ADC in 40nm Digital CMOS</t>
  </si>
  <si>
    <t xml:space="preserve">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</si>
  <si>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 xml:space="preserve">B. Verbruggen et al.</t>
  </si>
  <si>
    <t xml:space="preserve">10.1109/ISSCC.2012.6177093</t>
  </si>
  <si>
    <t xml:space="preserve">A 90MS/s 11MHz Bandwidth 62dB SNDR Noise-Shaping SAR ADC</t>
  </si>
  <si>
    <t xml:space="preserve">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</si>
  <si>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 xml:space="preserve">J. Fredenburg</t>
  </si>
  <si>
    <t xml:space="preserve">10.1109/ISSCC.2012.6177094</t>
  </si>
  <si>
    <t xml:space="preserve">A 70dB DR 10b 0-80MS/s Current Integrating SAR ADC with adaptive Dynamic Range</t>
  </si>
  <si>
    <t xml:space="preserve">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</si>
  <si>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 xml:space="preserve">B. Malki et al.</t>
  </si>
  <si>
    <t xml:space="preserve">10.1109/ISSCC.2012.6177095</t>
  </si>
  <si>
    <t xml:space="preserve">Data for 80MS/s</t>
  </si>
  <si>
    <t xml:space="preserve">A 7-to-10b 0-to-4MS/s Flexible SAR ADC with 6.5-to-16fJ/conversion-step</t>
  </si>
  <si>
    <t xml:space="preserve">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</si>
  <si>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 xml:space="preserve">P. Harpe et al.</t>
  </si>
  <si>
    <t xml:space="preserve">10.1109/ISSCC.2012.6177096</t>
  </si>
  <si>
    <t xml:space="preserve">A 31.3fJ/Conversion-Step 70.4dB SNDR 30MS/s 1.2V Two-Step Pipelined ADC in 0.13um CMOS</t>
  </si>
  <si>
    <t xml:space="preserve">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</si>
  <si>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 xml:space="preserve">Ho-Young Lee; Bumha Lee; Un-Ku Moon</t>
  </si>
  <si>
    <t xml:space="preserve">10.1109/ISSCC.2012.6177097</t>
  </si>
  <si>
    <t xml:space="preserve">A 195mW/55mW Dual-Path Receiver AFE For Multistandard 8.5-11.5Gb/s Serail Links in 40nm CMOS</t>
  </si>
  <si>
    <t xml:space="preserve">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</si>
  <si>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 xml:space="preserve">B. Zhang et al.</t>
  </si>
  <si>
    <t xml:space="preserve">10.1109/ISSCC.2013.6487625</t>
  </si>
  <si>
    <t xml:space="preserve">A 28fJ/Conv-Step CT ΔΣ Modulator with 78dB DR and 18MHz BW in 28nm CMOS Using a Highly Digital Multibit Quantizer</t>
  </si>
  <si>
    <t xml:space="preserve">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</si>
  <si>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 xml:space="preserve">Y-S. Shu et al.</t>
  </si>
  <si>
    <t xml:space="preserve">10.1109/ISSCC.2013.6487729</t>
  </si>
  <si>
    <t xml:space="preserve">A 2.2/2.7fJ/conversion-step 10/12b 40kS/s SAR ADC with Data-Driven Noise Reduction</t>
  </si>
  <si>
    <t xml:space="preserve">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</si>
  <si>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t xml:space="preserve">10.1109/ISSCC.2013.6487730</t>
  </si>
  <si>
    <t xml:space="preserve">12b data</t>
  </si>
  <si>
    <t xml:space="preserve">A 71dB-SNDR 50MS/s 4.2mW CMOS SAR ADC by SNR enhancement techniques of utilizing noise</t>
  </si>
  <si>
    <t xml:space="preserve">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</si>
  <si>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 xml:space="preserve">T. Morie et al.</t>
  </si>
  <si>
    <t xml:space="preserve">10.1109/ISSCC.2013.6487731</t>
  </si>
  <si>
    <t xml:space="preserve">Incremental, SDSC</t>
  </si>
  <si>
    <t xml:space="preserve">A 1V 14b Self-Timed Zero-Crossing-Based Incremental ΔΣ ADC</t>
  </si>
  <si>
    <t xml:space="preserve">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</si>
  <si>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 xml:space="preserve">C. Chen et al.</t>
  </si>
  <si>
    <t xml:space="preserve">10.1109/ISSCC.2013.6487732</t>
  </si>
  <si>
    <t xml:space="preserve">A 6.3µW 20b incremental zoom-ADC with 6ppm INL and 1µV offset</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</si>
  <si>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</si>
  <si>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 xml:space="preserve">Y. Chae et al.</t>
  </si>
  <si>
    <t xml:space="preserve">10.1109/ISSCC.2013.6487733</t>
  </si>
  <si>
    <t xml:space="preserve">A 2.4-to-5.2fJ/Conversion-step 10b 0.5-to-4MS/s SAR ADC with Charge Average Switching DAC in 90nm CMOS</t>
  </si>
  <si>
    <t xml:space="preserve">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</si>
  <si>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 xml:space="preserve">C-Y Liou et al.</t>
  </si>
  <si>
    <t xml:space="preserve">10.1109/ISSCC.2013.6487735</t>
  </si>
  <si>
    <t xml:space="preserve">Data for VDD=0.4V</t>
  </si>
  <si>
    <t xml:space="preserve">Adaptive Opamp Gain and Nonlinearity Cancellation in Pipelined ADCs</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</si>
  <si>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</si>
  <si>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 xml:space="preserve">Y. Miyahara et al.</t>
  </si>
  <si>
    <t xml:space="preserve">10.1109/ISSCC.2013.6487736</t>
  </si>
  <si>
    <t xml:space="preserve">A 0.45V 100-Channel Neural Recording IC with Sub-uW/Channel Consumption in 0.18um CMOS</t>
  </si>
  <si>
    <t xml:space="preserve">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</si>
  <si>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 xml:space="preserve">D. Han et al.</t>
  </si>
  <si>
    <t xml:space="preserve">10.1109/ISSCC.2013.6487739</t>
  </si>
  <si>
    <t xml:space="preserve">A 10.3-GS/s, 6-b Flash ADC for 10G Ethernet Applications</t>
  </si>
  <si>
    <t xml:space="preserve">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</si>
  <si>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 xml:space="preserve">S. Verma et al.</t>
  </si>
  <si>
    <t xml:space="preserve">10.1109/ISSCC.2013.6487815</t>
  </si>
  <si>
    <t xml:space="preserve">An 11b 3.6GS/s Time-Interleaved SAR ADC in 65nm CMOS</t>
  </si>
  <si>
    <t xml:space="preserve">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</si>
  <si>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 xml:space="preserve">E. Janssen et al.</t>
  </si>
  <si>
    <t xml:space="preserve">10.1109/ISSCC.2013.6487816</t>
  </si>
  <si>
    <t xml:space="preserve">A 14b 2.5GS/s 8-Way Interleaved Pipelined ADC With Background Calibration and Digital Dynamic Linearity Correction</t>
  </si>
  <si>
    <t xml:space="preserve">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</si>
  <si>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 xml:space="preserve">B. Setterberg et al.</t>
  </si>
  <si>
    <t xml:space="preserve">10.1109/ISSCC.2013.6487817</t>
  </si>
  <si>
    <t xml:space="preserve">A 3.1mW 8b 1.2GS/s Single-Channel Asynchronous SAR ADC with Alternate Comparators for Enhanced Speed in 32nm Digital SOI CMOS</t>
  </si>
  <si>
    <t xml:space="preserve">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</si>
  <si>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 xml:space="preserve">L. Kull et al.</t>
  </si>
  <si>
    <t xml:space="preserve">10.1109/ISSCC.2013.6487818</t>
  </si>
  <si>
    <t xml:space="preserve">Data for VDD=1V</t>
  </si>
  <si>
    <t xml:space="preserve">An 8.6 ENOB 900MS/s Time-Interleaved 2b/cycle SAR ADC with a 1b/cycle Reconfiguration for Resolution Enhancement</t>
  </si>
  <si>
    <t xml:space="preserve">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</si>
  <si>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 xml:space="preserve">H-K Hong et al.</t>
  </si>
  <si>
    <t xml:space="preserve">10.1109/ISSCC.2013.6487819</t>
  </si>
  <si>
    <t xml:space="preserve">A 14-bit, 80MS/s SAR ADC with 73.6dB SNDR in 65nm CMOS</t>
  </si>
  <si>
    <t xml:space="preserve">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</si>
  <si>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 xml:space="preserve">R. Kapusta et al.</t>
  </si>
  <si>
    <t xml:space="preserve">10.1109/ISSCC.2013.6487820</t>
  </si>
  <si>
    <t xml:space="preserve">NQ/OS</t>
  </si>
  <si>
    <t xml:space="preserve">An Oversampled 12b/14b SAR ADC with Noise Reduction and Linearity Enhancements Achieving up to 79.1dB SNDR</t>
  </si>
  <si>
    <t xml:space="preserve">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</si>
  <si>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 xml:space="preserve">P. Harpe, E. Cantatore, A. van Roermund</t>
  </si>
  <si>
    <t xml:space="preserve">10.1109/ISSCC.2014.6757396</t>
  </si>
  <si>
    <t xml:space="preserve">Data for 14b, 32kS/s</t>
  </si>
  <si>
    <t xml:space="preserve">A 0.85fJ/conversion-step 10-bit 200kS/s subranging SAR ADC in 40nm CMOS</t>
  </si>
  <si>
    <t xml:space="preserve">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</si>
  <si>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 xml:space="preserve">H-Y. Tai, Y-S. Hu, H-W. Chen, H-S. Chen</t>
  </si>
  <si>
    <t xml:space="preserve">10.1109/ISSCC.2014.6757397</t>
  </si>
  <si>
    <t xml:space="preserve">A 10b 0.6nW leakage SAR ADC with data-dependent energy savings using LSB-first successive approximation</t>
  </si>
  <si>
    <t xml:space="preserve">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</si>
  <si>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 xml:space="preserve">F. M. Yaul, A. P. Chandrakasan</t>
  </si>
  <si>
    <t xml:space="preserve">10.1109/ISSCC.2014.6757398</t>
  </si>
  <si>
    <t xml:space="preserve">Data for Nyquist sinusoid</t>
  </si>
  <si>
    <t xml:space="preserve">Pipe, SAR, TI</t>
  </si>
  <si>
    <t xml:space="preserve">A 1.5mW 68dB SNDR 80Ms/s 2x interleaved SAR-Assisted Pipelined ADC in 28nm CMOS</t>
  </si>
  <si>
    <t xml:space="preserve">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</si>
  <si>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 xml:space="preserve">F. van der Goes, C. Ward, S. Astgimath, H. Yan, J. Riley, J. Mulder, S. Wang, K. Bult</t>
  </si>
  <si>
    <t xml:space="preserve">10.1109/ISSCC.2014.6757399</t>
  </si>
  <si>
    <t xml:space="preserve">Data for Nyquist input</t>
  </si>
  <si>
    <t xml:space="preserve">A 100MS/s, 10.5-Bit, 2.46mW Comparator-less Pipeline ADC using Self-biased Ring Amplifiers</t>
  </si>
  <si>
    <t xml:space="preserve">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</si>
  <si>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 xml:space="preserve">Y. Lim, M. P. Flynn</t>
  </si>
  <si>
    <t xml:space="preserve">10.1109/ISSCC.2014.6757400</t>
  </si>
  <si>
    <t xml:space="preserve">A 21mW 15b 48MS/s Zero-Crossing Pipeline ADC in  130nm CMOS with 74dB SNDR</t>
  </si>
  <si>
    <t xml:space="preserve">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</si>
  <si>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 xml:space="preserve">D-Y. Chang, C. Muñoz, D. Daly, S-K. Shin, K. Guay, T. Thurston, H-S. Lee, K. Gulati, M. Straayer</t>
  </si>
  <si>
    <t xml:space="preserve">10.1109/ISSCC.2014.6757401</t>
  </si>
  <si>
    <t xml:space="preserve">Data at Nyquist from Fig. 4</t>
  </si>
  <si>
    <t xml:space="preserve">A 90GS/s 8b 667mW 64x Interleaved SAR ADC in 32nm Digital SOI CMOS</t>
  </si>
  <si>
    <t xml:space="preserve">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</si>
  <si>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 xml:space="preserve">L. Kull, T. Toifl, M. Schmatz, P. A. Francese, C. Menolfi, M. Braendli1, M. Kossel, T. Morf, T. M. Andersen, Y. Leblebici</t>
  </si>
  <si>
    <t xml:space="preserve">10.1109/ISSCC.2014.6757477</t>
  </si>
  <si>
    <t xml:space="preserve">A 69.5mW 20GS/s 6b Time-Interleaved ADC with Embedded Time-to-Digital Calibration in 32nm CMOS SOI</t>
  </si>
  <si>
    <t xml:space="preserve">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</si>
  <si>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 xml:space="preserve">V. H-C. Chen, L. Pileggi</t>
  </si>
  <si>
    <t xml:space="preserve">10.1109/ISSCC.2014.6757478</t>
  </si>
  <si>
    <t xml:space="preserve">A 20GHz-BW 6b 10GS/s 32mW time-interleaved SAR ADC with MasterT&amp;H in 28nm UTBB FDSOI technology</t>
  </si>
  <si>
    <t xml:space="preserve">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</si>
  <si>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 xml:space="preserve">S. Le Tual, P. N. Singh, C. Curis, P. Dautriche</t>
  </si>
  <si>
    <t xml:space="preserve">10.1109/ISSCC.2014.6757479</t>
  </si>
  <si>
    <t xml:space="preserve">A 1GS/s 10b 18.9mW Time-interleaved SAR ADC with Background Timing-skew Calibration</t>
  </si>
  <si>
    <t xml:space="preserve">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</si>
  <si>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 xml:space="preserve">S. Lee, A. P. Chandrakasan, H-S. Lee</t>
  </si>
  <si>
    <t xml:space="preserve">10.1109/ISSCC.2014.6757480</t>
  </si>
  <si>
    <t xml:space="preserve">A 1.62GS/s Time-Interleaved SAR ADC with fully digital background mismatch compensation achieving interleaving spurs below 70dBFS</t>
  </si>
  <si>
    <t xml:space="preserve">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</si>
  <si>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 xml:space="preserve">N. Le Dortz, J-P. Blanc, T. Simon, S. Verhaeren, E. Rouat, P. Urard, S. Le Tual, D. Goguet, C. Lelandais-Perrault, P. Benabes</t>
  </si>
  <si>
    <t xml:space="preserve">10.1109/ISSCC.2014.6757481</t>
  </si>
  <si>
    <t xml:space="preserve">Folding Flash</t>
  </si>
  <si>
    <t xml:space="preserve">A 2.2GS/s 7b 27.4mW Time-based Folding Flash ADC with Resistive Averaged Voltage-to-Time Amplifiers</t>
  </si>
  <si>
    <t xml:space="preserve">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</si>
  <si>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 xml:space="preserve">M. Miyahara, I. Mano, M. Nakayama, K. Okada, A. Matsuzawa</t>
  </si>
  <si>
    <t xml:space="preserve">10.1109/ISSCC.2014.6757482</t>
  </si>
  <si>
    <t xml:space="preserve">A 5mW CT-ΔΣ ADC with embedded 2nd order active filter and VGA achieving 82dB peak instantaneous DR, and 92dB DR in 2MHz BW</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</si>
  <si>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</si>
  <si>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 xml:space="preserve">R. Rajan, S. Pavan</t>
  </si>
  <si>
    <t xml:space="preserve">10.1109/ISSCC.2014.6757520</t>
  </si>
  <si>
    <t xml:space="preserve">Data for embedded filter</t>
  </si>
  <si>
    <t xml:space="preserve">A 235mW CT 0-3 MASH ADC achieving -167dBFS/Hz NSD with 53MHz BW</t>
  </si>
  <si>
    <t xml:space="preserve">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</si>
  <si>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 xml:space="preserve">Y. Dong, R. Schreier, W. Yang, S. Korrapati, A. Sheikholeslami</t>
  </si>
  <si>
    <t xml:space="preserve">10.1109/ISSCC.2014.6757521</t>
  </si>
  <si>
    <t xml:space="preserve">Data for OSR = 35, Area includes decap, etc.</t>
  </si>
  <si>
    <t xml:space="preserve">A 14-bit 1 GS/s RF Sampling Pipelined ADC with Background Calibration</t>
  </si>
  <si>
    <t xml:space="preserve">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</si>
  <si>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 xml:space="preserve">A. M. Ali, H. Dinc, P. Bhoraskar, C. Dillon, S. Puckett, B. Gray, C. Speir, J. Lanford, D. Jarman, J. Brunsilius, P. Derounian, B. Jeffries, U. Mehta, M. McShea, H-Y. Lee</t>
  </si>
  <si>
    <t xml:space="preserve">10.1109/ISSCC.2014.6757522</t>
  </si>
  <si>
    <t xml:space="preserve">Data at Nyquist</t>
  </si>
  <si>
    <t xml:space="preserve">A 10Gb/s Hybrid ADC-Based Receiver with Embedded 3-Tap Analog FFE and Dynamically-Enabled Digital Equalization in 65nm CMOS</t>
  </si>
  <si>
    <t xml:space="preserve">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</si>
  <si>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 xml:space="preserve">Ayman Shafik, Ehsan Zhian Tabasy, Shengchang Cai, Keytaek Lee, Sebastian Hoyos, Samuel Palermo</t>
  </si>
  <si>
    <t xml:space="preserve">10.1109/ISSCC.2015.7062926</t>
  </si>
  <si>
    <t xml:space="preserve">Includes FFE, no sinusoidal test data</t>
  </si>
  <si>
    <t xml:space="preserve">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</si>
  <si>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</si>
  <si>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 xml:space="preserve">L. Xu, B. Gönen, Q. Fan, J. H. Huijsing, K. A. Makinwa</t>
  </si>
  <si>
    <t xml:space="preserve">10.1109/ISSCC.2015.7062940</t>
  </si>
  <si>
    <t xml:space="preserve">SDCT, SAR</t>
  </si>
  <si>
    <t xml:space="preserve">A 85dB DR, 74.6dB SNDR, 50MHz BW CT MASH ΔΣ Modulator in 28nm CMOS</t>
  </si>
  <si>
    <t xml:space="preserve">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</si>
  <si>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 xml:space="preserve">D-Y. Yoon, S. Ho, H-S. Lee</t>
  </si>
  <si>
    <t xml:space="preserve">10.1109/ISSCC.2015.7063031</t>
  </si>
  <si>
    <t xml:space="preserve">N/A</t>
  </si>
  <si>
    <t xml:space="preserve">A 4.5mW CT Self-Coupled ΔΣ Modulator with 2.2MHz BW and 90.4dB SNDR Using Residual ELD Compensation</t>
  </si>
  <si>
    <t xml:space="preserve">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</si>
  <si>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 xml:space="preserve">C-Y. Ho, C. Liu, C-L. Lo, H-C. Tsai, T-C. Wang, Y-H. Lin</t>
  </si>
  <si>
    <t xml:space="preserve">10.1109/ISSCC.2015.7063032</t>
  </si>
  <si>
    <t xml:space="preserve">A 0.8V 10bit 80kS/s SAR ADC with Duty-Cycled Reference Generation</t>
  </si>
  <si>
    <t xml:space="preserve">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</si>
  <si>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 xml:space="preserve">M. Liu, P. Harpe, R. van Dommele, A. van Roermund</t>
  </si>
  <si>
    <t xml:space="preserve">10.1109/ISSCC.2015.7063034</t>
  </si>
  <si>
    <t xml:space="preserve">Includes ref</t>
  </si>
  <si>
    <t xml:space="preserve">A 12b 250MS/s Pipelined ADC with Virtual Ground Reference Buffers</t>
  </si>
  <si>
    <t xml:space="preserve">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</si>
  <si>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 xml:space="preserve">H. H. Boo, D. S. Boning, H-S. Lee</t>
  </si>
  <si>
    <t xml:space="preserve">10.1109/ISSCC.2015.7063036</t>
  </si>
  <si>
    <t xml:space="preserve">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</si>
  <si>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</si>
  <si>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 xml:space="preserve">M. Krämer, E. Janssen, K. Doris, B. Murmann</t>
  </si>
  <si>
    <t xml:space="preserve">10.1109/ISSCC.2015.7063037</t>
  </si>
  <si>
    <t xml:space="preserve">Includes ref and buf</t>
  </si>
  <si>
    <t xml:space="preserve">A 90 dB 14 bit 500 MS/S BiCMOS Switched-Current Pipelined ADC</t>
  </si>
  <si>
    <t xml:space="preserve">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</si>
  <si>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 xml:space="preserve">M. El-Chammas, X. Li, S. Kimura, J. Coulon, J. Hu, D. Smith, 'P. Landman, M. Weaver</t>
  </si>
  <si>
    <t xml:space="preserve">10.1109/ISSCC.2015.7063038</t>
  </si>
  <si>
    <t xml:space="preserve">A 3nW Signal-Acquisition IC Integrating an Amplifier with 2.1 NEF and a 1.5fJ/conv-step ADC</t>
  </si>
  <si>
    <t xml:space="preserve">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</si>
  <si>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 xml:space="preserve">P. Harpe, H. Gao, R. van Dommele, E. Cantatore, A. van Roermund</t>
  </si>
  <si>
    <t xml:space="preserve">10.1109/ISSCC.2015.7063086</t>
  </si>
  <si>
    <t xml:space="preserve">A 1mW 71.5dB SNDR 50MS/s 13b Fully Differential Ring Amplifier Based SAR-Assisted Pipeline ADC in 65nm CMOS</t>
  </si>
  <si>
    <t xml:space="preserve">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</si>
  <si>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 xml:space="preserve">10.1109/ISSCC.2015.7063124</t>
  </si>
  <si>
    <t xml:space="preserve">A 5.5fJ/conv.step 6.4MS/s 13b SAR ADC utilizing a redundancy facilitated background error-detection and correction scheme</t>
  </si>
  <si>
    <t xml:space="preserve">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</si>
  <si>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 xml:space="preserve">M. Ding, P. Harpe, Y-H. Liu, B. Busze, K. Philips, H. de Groot</t>
  </si>
  <si>
    <t xml:space="preserve">10.1109/ISSCC.2015.7063125</t>
  </si>
  <si>
    <t xml:space="preserve">Cal included</t>
  </si>
  <si>
    <t xml:space="preserve">An 800MS/s 10b/13b Receiver for 10GBase-T Ethernet in 28nm CMOS</t>
  </si>
  <si>
    <t xml:space="preserve">A dual-mode 800MS/s receiver for 10GBase-T Ethernet applications, occupying 0.23mm² in 28nm CMOS, achieves an SNDR of 59.2dB. The incorporated 13b 2× time-interleaved SHA-less pipeline/subranging ADC uses multiple calibrations to reduce power consumption. The complete receiver dissipates 76.4mW in 13b mode, which is lowered to 40.6mW in the 10b mode used for short cable lengths.</t>
  </si>
  <si>
    <t xml:space="preserve">J. Mulder, D. Vecchi, Y. Ke, S. Bozzola, M. Core, N. Saputra, Q. Zhang, J. Riley, H. Yan, M. Introini, S. Wang, C. M. Ward, J. Westra, J. Wan, K. Bult</t>
  </si>
  <si>
    <t xml:space="preserve">10.1109/ISSCC.2015.7063126</t>
  </si>
  <si>
    <t xml:space="preserve">Power, area is for complete Rx, 13b mode</t>
  </si>
  <si>
    <t xml:space="preserve">A 21fJ/conversion-step 9 ENOB 1.6GS/s 2x Time-Interleaved FATI SAR ADC with Background Offset and Timing-skew Calibration in a 45nm CMOS</t>
  </si>
  <si>
    <t xml:space="preserve">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</si>
  <si>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 xml:space="preserve">B-R-S. Sung, D-S. Jo, I-H. Jang, D-S. Lee, Y-S. You,Y-H. Lee, H-J. Park, S-T. Ryu</t>
  </si>
  <si>
    <t xml:space="preserve">10.1109/ISSCC.2015.7063127</t>
  </si>
  <si>
    <t xml:space="preserve">A 5.5mW 6b 5GS/s 4-times Interleaved 3b/cycle SAR ADC in 65nm CMOS</t>
  </si>
  <si>
    <t xml:space="preserve">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</si>
  <si>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 xml:space="preserve">C-H. Chan, Y. Zhu, S-W. Sin, S-P. U, R. Martins</t>
  </si>
  <si>
    <t xml:space="preserve">10.1109/ISSCC.2015.7063128</t>
  </si>
  <si>
    <t xml:space="preserve">A 5GS/s 150mW 10b SHA-less Pipelined/SAR Hybrid ADC in 28nm CMOS</t>
  </si>
  <si>
    <t xml:space="preserve">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</si>
  <si>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 xml:space="preserve">M. Brandolini, Y. Shin, K. Raviprakash, T. Wang, R. Wu,H. M. Geddada, Y-J. Ko, Y. Ding, C-S. Huang, W-T. Shih,M-H. Hsieh, W-T. Chou, T. Li, A. Shrivastava, Y-C. Chen,J-J. Hung, G. Cusmai, J. Wu, M. M. Zhang, G. Unruh,A. Venes, H. S. Huang, C-Y. Chen</t>
  </si>
  <si>
    <t xml:space="preserve">10.1109/ISSCC.2015.7063129</t>
  </si>
  <si>
    <t xml:space="preserve">Data with PLL jitter</t>
  </si>
  <si>
    <t xml:space="preserve">A 2.6b/cycle-architecture-based 10b 1.7GS/s 15.4mW 4x Time-interleaved SAR ADC with a Multi-step Hardware Retirement Technique</t>
  </si>
  <si>
    <t xml:space="preserve">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</si>
  <si>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 xml:space="preserve">H-K. Hong, H-W. Kang, D-S. Jo, D-S. Lee, Y-S. You,Y-H. Lee, H-J. Park, S-T. Ryu</t>
  </si>
  <si>
    <t xml:space="preserve">10.1109/ISSCC.2015.7063130</t>
  </si>
  <si>
    <t xml:space="preserve">A 320mW 32Gb/s 8b ADC-Based PAM-4 Analog Front-End with Programmable Gain Control and Analog Peaking in 28nm CMOS</t>
  </si>
  <si>
    <t xml:space="preserve">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</si>
  <si>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 xml:space="preserve">Delong Cui, Heng Zhang, Nick Huang, Ali Nazemi, Burak Catli, Hyo Gyuem Rhew, Bo Zhang, Afshin Momtaz, Jun Cao</t>
  </si>
  <si>
    <t xml:space="preserve">10.1109/ISSCC.2016.7417905</t>
  </si>
  <si>
    <t xml:space="preserve">Power includes CTLE, PGA</t>
  </si>
  <si>
    <t xml:space="preserve">A 24.7mW 45MHz-BW 75.3dB-SNDR SAR-Assisted CT ΔΣ Modulator with 2nd-Order Noise Coupling in 65nm CMOS</t>
  </si>
  <si>
    <t xml:space="preserve">In Paper 15.1, the University of Texas at Dallas introduces a SAR-assisted continuous-time delta-sigma modulator in 65nm CMOS that uses 2nd-order noise coupling to achieve a peak SNDR of 75.3dB SNDR in 45MHz BW.</t>
  </si>
  <si>
    <t xml:space="preserve">Bo Wu, Shuang Zhu, Benwei Xu, Yun Chiu</t>
  </si>
  <si>
    <t xml:space="preserve">10.1109/ISSCC.2016.7418011</t>
  </si>
  <si>
    <t xml:space="preserve">2.2GHz Continuous-Time ΔΣ ADC with -102dBc THD and 25MHz BW</t>
  </si>
  <si>
    <t xml:space="preserve">In Paper 15.2, NXP Semiconductors and Catena Microelectronics present a converter that uses a 1b feedback DAC with a return-to-open technique to achieve a high linearity of -102dBc/-104dBc THD/IM3 in a 25MHz bandwidth.</t>
  </si>
  <si>
    <t xml:space="preserve">Lucien Breems, Muhammed Bolatkale, Hans Brekelmans, Shagun Bajoria, Jan Niehof, Robert Rutten, Bert Oude-Essink, Franco Fritschij, Jagdip Singh, Gerard Lassche</t>
  </si>
  <si>
    <t xml:space="preserve">10.1109/ISSCC.2016.7418012</t>
  </si>
  <si>
    <t xml:space="preserve">A 1V 77dB-DR 72dB-SNDR 10MHz-BW 2-1 MASH CT ΔΣM</t>
  </si>
  <si>
    <t xml:space="preserve">In Paper 15.3, New University of Lisbon presents a 65nm CMOS 10MHz BW passive-active CT 2-1 MASH ΔΣM that uses RC integrators and low gain stages to achieve high power efficiency.</t>
  </si>
  <si>
    <t xml:space="preserve">Blazej Nowacki, Nuno Paulino, Joao Goes</t>
  </si>
  <si>
    <t xml:space="preserve">10.1109/ISSCC.2016.7418013</t>
  </si>
  <si>
    <t xml:space="preserve">A 280μW 24kHz-BW 98.5dB-SNDR Chopped Single-Bit CT ΔΣM Achieving &lt;10Hz 1/f Noise Corner Without Chopping Artifacts</t>
  </si>
  <si>
    <t xml:space="preserve">In Paper 15.4, IIT Madras introduces a 1b modulator with chopping used in conjunction with a FIR feedback DAC to achieve a 1/f corner frequency of &lt;10Hz without chopping artifacts and 98.5dB SNDR in the audio band.</t>
  </si>
  <si>
    <t xml:space="preserve">Sujith Billa, Amrith Sukumaran, Shanthi Pavan</t>
  </si>
  <si>
    <t xml:space="preserve">10.1109/ISSCC.2016.7418014</t>
  </si>
  <si>
    <t xml:space="preserve">A 930mW 69dB-DR 465MHz-BW CT 1-2 MASH ADC in 28nm CMOS</t>
  </si>
  <si>
    <t xml:space="preserve">In Paper 15.5 Analog Devices describes a continuous-time 1-2 MASH ADC clocking at 8GHz in 28nm CMOS. This ADC achieves the largest signal bandwidth (465MHz) thus far reported for a CMOS delta-sigma ADC.</t>
  </si>
  <si>
    <t xml:space="preserve">Yunzhi Dong, Jialin Zhao, Wenhua Yang, Trevor Caldwell, Hajime Shibata, Richard Schreier, Qingdong Meng, Jose Silva, Donald Paterson, Jeffrey Gealow</t>
  </si>
  <si>
    <t xml:space="preserve">10.1109/ISSCC.2016.7418015</t>
  </si>
  <si>
    <t xml:space="preserve">Data for fs=6 GHz</t>
  </si>
  <si>
    <t xml:space="preserve">A 160MHz-BW 72dB-DR 40mW Continuous-Time ΔΣ Modulator in 16nm CMOS with Analog ISIReduction Technique</t>
  </si>
  <si>
    <t xml:space="preserve">In Paper number 15.6 MediaTek describes a 4th-order continuous-time delta-sigma ADC in 16nm CMOS. The ADC uses an analog ISI-reduction technique to achieve 72dB DR over 160MHz with only 40mW of power.</t>
  </si>
  <si>
    <t xml:space="preserve">Su-Hao Wu, Tsung-Kai Kao, Zwei-Mei Lee, Ping Chen, Jui-Yuan Tsai</t>
  </si>
  <si>
    <t xml:space="preserve">10.1109/ISSCC.2016.7418016</t>
  </si>
  <si>
    <t xml:space="preserve">A 1.65mW 0.16mm² Dynamic Zoom-ADC with 107.5dB DR in 20kHz BW</t>
  </si>
  <si>
    <t xml:space="preserve">In Paper 15.7 Delft University of Technology and NXP Semiconductors describe a Dynamic Zoom ADC that uses energy-efficient pseudo-differential inverter-based OTAs to achieve 107.5dB of dynamic range over the audio band with only 1.6mW of power.</t>
  </si>
  <si>
    <t xml:space="preserve">Burak Gönen, Fabio Sebastiano, Robert van Veldhoven, Kofi A. A. Makinwa</t>
  </si>
  <si>
    <t xml:space="preserve">10.1109/ISSCC.2016.7418017</t>
  </si>
  <si>
    <t xml:space="preserve">A 22.3b 1kHz 12.7mW Switched-Capacitor ΔΣ Modulator with Stacked Split-Steering Amplifiers</t>
  </si>
  <si>
    <t xml:space="preserve">In paper 15.8, ams describes a 1b discrete-time modulator that uses amplifier stacking to achieve 136dB of dynamic range in a bandwidth of 1kHz with only 13mW of power consumption.</t>
  </si>
  <si>
    <t xml:space="preserve">Matthias Steiner, Nigel Greer</t>
  </si>
  <si>
    <t xml:space="preserve">10.1109/ISSCC.2016.7418018</t>
  </si>
  <si>
    <t xml:space="preserve">An Oversampling SAR ADC with DAC Mismatch Error Shaping Achieving 105dB SFDR and 101dB SNDR over 1kHz BW in 55nm CMOS</t>
  </si>
  <si>
    <t xml:space="preserve">In Paper 27.2, MediaTek introduces a DAC mismatch error-shaping technique. The 55nm CMOS prototype consumes 15.7μW and exhibits 96.1dB peak SNDR over 4kHz BW with a Schreier FOM of 180dB.</t>
  </si>
  <si>
    <t xml:space="preserve">Yun-Shiang Shu, Liang-Ting Kuo, Tien-Yu Lo</t>
  </si>
  <si>
    <t xml:space="preserve">10.1109/ISSCC.2016.7418105</t>
  </si>
  <si>
    <t xml:space="preserve">Data for BW = 1kHz</t>
  </si>
  <si>
    <t xml:space="preserve">Area-Efficient 1GS/s 6b SAR ADC with Charge-Injection-Cell-Based DAC</t>
  </si>
  <si>
    <t xml:space="preserve">In Paper 27.3, University of Michigan presents a charge-injection DAC based SAR ADC to improve the DAC linearity, compactness, and speed. Fabricated in 40nm CMOS, this 6b 1GS/s ADC consumes 1.26mW from 1V power supply and occupies an area of only 0.00058mm².</t>
  </si>
  <si>
    <t xml:space="preserve">Kyojin D. Choo, John Bell, Michael P Flynn</t>
  </si>
  <si>
    <t xml:space="preserve">10.1109/ISSCC.2016.7418106</t>
  </si>
  <si>
    <t xml:space="preserve">Single-slope, SAR</t>
  </si>
  <si>
    <t xml:space="preserve">A 0.35mW 12b 100MS/s SAR-Assisted Digital Slope ADC in 28nm CMOS</t>
  </si>
  <si>
    <t xml:space="preserve">In Paper 27.4, MediaTek combines a fine digital slope ADC with a coarse SAR ADC. At 100MS/s, the 28nm CMOS ADC achieves an SNDR of 64.4dB and an SFDR of 75.4dB at Nyquist input frequency, while consuming only 0.35mW from a 0.9V supply and occupying an area of 66×71μm2.</t>
  </si>
  <si>
    <t xml:space="preserve">Chun-Cheng Liu</t>
  </si>
  <si>
    <t xml:space="preserve">10.1109/ISSCC.2016.7418107</t>
  </si>
  <si>
    <t xml:space="preserve">A 4GS/s Time-Interleaved RF ADC in 65nm CMOS with 4GHz Input Bandwidth</t>
  </si>
  <si>
    <t xml:space="preserve">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</si>
  <si>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 xml:space="preserve">Matt Straayer, Jim Bales, Dwight Birdsall, Denis Daly, Phillip Elliott, Bill Foley, Roy Mason, Vikas Singh, Xuejin Wang</t>
  </si>
  <si>
    <t xml:space="preserve">10.1109/ISSCC.2016.7418108</t>
  </si>
  <si>
    <t xml:space="preserve">A 4GS/s 13b Pipelined ADC with Capacitor and Amplifier Sharing in 16nm CMOS</t>
  </si>
  <si>
    <t xml:space="preserve">In Paper 27.6, Broadcom presents a pipelined converter using capacitor and amplifier sharing. Implemented in 16nm FinFET, the 13b 4GS/s ADC occupies 0.34mm² and consumes 300mW. It achieves 75dB peak SFDR, 68dB SFDR at Nyquist, -66dBFS noise level and 56dB SNDR at Nyquist.</t>
  </si>
  <si>
    <t xml:space="preserve">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</si>
  <si>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 xml:space="preserve">10.1109/ISSCC.2016.7418109</t>
  </si>
  <si>
    <t xml:space="preserve">A 10b 2.6GS/s Time-Interleaved SAR ADC with Background Timing-Skew Calibration</t>
  </si>
  <si>
    <t xml:space="preserve">In Paper 27.7, National Taiwan University introduces a time-interleaved skew-correction technique based on signal-slope estimation. The 40nm CMOS 10b 2.6GS/s SAR ADC employing the technique achieves a 50.6dB SNDR at Nyquist rate while dissipating 18.4mW from a 1.1V power supply.</t>
  </si>
  <si>
    <t xml:space="preserve">Chin-Yu Lin, Yen-Hsin Wei, Tai-Cheng Lee</t>
  </si>
  <si>
    <t xml:space="preserve">10.1109/ISSCC.2016.7418110</t>
  </si>
  <si>
    <t xml:space="preserve">A 0.076mm² 12b 26.5mW 600MS/s 4×-Interleaved Subranging SAR-ΔΣ ADC with On-Chip Buffer in 28nm CMOS</t>
  </si>
  <si>
    <t xml:space="preserve">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</si>
  <si>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Alessandro Venca, Nicola Ghittori, Alessandro Bosi, Claudio Nani</t>
  </si>
  <si>
    <t xml:space="preserve">10.1109/ISSCC.2016.7418111</t>
  </si>
  <si>
    <t xml:space="preserve">PLL jitter subtracted</t>
  </si>
  <si>
    <t xml:space="preserve">VCO</t>
  </si>
  <si>
    <t xml:space="preserve">A ±50mV Linear-Input-Range VCO-Based Neural-Recording Front-End with Digital Nonlinearity Correction</t>
  </si>
  <si>
    <t xml:space="preserve">In Paper 28.6, the University of California at Los Angeles proposes a front-end achieving a linear input-range of ±50mV, which is a 10× improvement with respect to the range of previous designs. The SFDR is 79dB, which is 20dB higher than existing designs.</t>
  </si>
  <si>
    <t xml:space="preserve">Wenlong Jiang, Vahagn Hokhikyan, Hariprasad Chandrakumar, Vaibhav Karkare, Dejan Markovic</t>
  </si>
  <si>
    <t xml:space="preserve">10.1109/ISSCC.2016.7418118</t>
  </si>
  <si>
    <t xml:space="preserve">A 13b 4GS/s Digitally Assisted Dynamic 3-Stage Asynchronous Pipelined-SAR ADC</t>
  </si>
  <si>
    <t xml:space="preserve">In Paper 16.1, Xilinx presents a 13b 4GS/s asynchronous pipelined SAR ADC in 16nm CMOS. The ADC features multiple on-chip calibration loops that enable the use of open-loop integrator-based amplifiers thus achieving 57.3dB SNDR for a 1.9GHz input signal.</t>
  </si>
  <si>
    <t xml:space="preserve">Bruno Vaz, Adrian Lynam, Bob Verbruggen, Asma Laraba, Conrado Mesadri, Ali Boumaalif, John Mcgrath, Umanath Kamath, Ronnie De Le Torre, Alvin Manlapat, Daire Breathnach, Christophe Erdmann, Brendan Farley</t>
  </si>
  <si>
    <t xml:space="preserve">10.1109/ISSCC.2017.7870368</t>
  </si>
  <si>
    <t xml:space="preserve">A 9GS/s 1GHz-BW Oversampled Continuous-Time Pipeline ADC Achieving -161dBFS/Hz NSD </t>
  </si>
  <si>
    <t xml:space="preserve">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</si>
  <si>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 xml:space="preserve">Hajime Shibata, Victor Kozlov, Zexi Ji, Asha Ganesan, Haiyang Zhu, and Donald Paterson</t>
  </si>
  <si>
    <t xml:space="preserve">10.1109/ISSCC.2017.7870369</t>
  </si>
  <si>
    <t xml:space="preserve">A 5mW 7b 2.4GS/s 1-then-2b/cycle SAR ADC with Background Offset Calibration</t>
  </si>
  <si>
    <t xml:space="preserve">In Paper 16.4, the University of Macau presents a 7b, 2.4GS/s SAR ADC in 28nm CMOS. The 1b-then-2b/cycle algorithm skips the DAC operation during the first cycle and enables background calibration of the comparator offsets, leading to a power consumption of 5mW.</t>
  </si>
  <si>
    <t xml:space="preserve">Chi-Hang Chan, Yan Zhu, Iok-MengHo, WaiHong Zhang, Seng-Pan U2,3, RuiPaulo Martins</t>
  </si>
  <si>
    <t xml:space="preserve">10.1109/ISSCC.2017.7870371</t>
  </si>
  <si>
    <t xml:space="preserve">An 8GS/s Time-Interleaved SAR ADC with Unresolved Decision Detection Achieving -58dBFS Noise and 4GHz Bandwidth in 28nm CMOS </t>
  </si>
  <si>
    <t xml:space="preserve">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</si>
  <si>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John P. Keane, Nathaniel J. Guilar, DusanStepanovic, Bernd Wuppermann, Charles Wu, CheongyuenW. Tsang, Robert Neff, Ken Nishimura </t>
  </si>
  <si>
    <t xml:space="preserve">10.1109/ISSCC.2017.7870372</t>
  </si>
  <si>
    <t xml:space="preserve">A 12b 10GS/s Interleaved Pipeline ADC in 28nm CMOS Technology </t>
  </si>
  <si>
    <t xml:space="preserve">In Paper 16.7, Analog Devices describes a 12b pipeline ADC in 28nm CMOS sampling at 10GS/s, that incorporates multiple circuit, interleaving, calibration and randomization techniques. The ADC achieves 64dB SFDR and 55dB SNDR for a 4GHz input signal while consuming 2.9W.</t>
  </si>
  <si>
    <t xml:space="preserve">S. Devarajan, L. Singer, D. Kelly, S. Kosic, T. Pan, J. Silva, J. Brunsilius, D. Rey-Losada, F. Murden, C. Speir, J. Bray, E. Otte, N. Rakuljic, P. Brown, T. Weigandt, Q. Yu, D. Paterson, C. Petersen, J. Gealow</t>
  </si>
  <si>
    <t xml:space="preserve">10.1109/ISSCC.2017.7870374</t>
  </si>
  <si>
    <t xml:space="preserve">A 12nW Always-On Acoustic Sensing and Object Recognition Microsystem using Frequency-Domain Feature Extraction and SVM Classification</t>
  </si>
  <si>
    <t xml:space="preserve">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</si>
  <si>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 xml:space="preserve">Seokhyeon Jeong, Yu Chen, Julius Tsai, Taekwang Jang, David Blaauw, Hun-Seok Kim, Dennis Sylvester</t>
  </si>
  <si>
    <t xml:space="preserve">10.1109/ISSCC.2017.7870411</t>
  </si>
  <si>
    <t xml:space="preserve">A pixel-pitch-matched ultrasound receiver for 3D photoacoustic imaging with integrated delta-sigma beamformer in 28nm UTBB FDSOI</t>
  </si>
  <si>
    <t xml:space="preserve">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</si>
  <si>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Man-Chia Chen, Aldo Peña Perez, Sri-Rajasekhar Kothapalli, Philippe Cathelin, Andreia Cathelin, Sanjiv Sam Gambhir, Boris Murmann </t>
  </si>
  <si>
    <t xml:space="preserve">10.1109/ISSCC.2017.7870458</t>
  </si>
  <si>
    <t xml:space="preserve">A 0.46mW 5MHz-BW 79.7dB-SNDR Noise-Shaping SAR ADC with Dynamic-Amplifier-Based FIR-IIR Filter </t>
  </si>
  <si>
    <t xml:space="preserve">In Paper 28.1, MediaTek describes a 5MHz BW noise-shaping SAR ADC with a highly efficient dynamicamplifier-based FIR-IIR filter. Built in 28nm technology, the ADC consumes only 0.46mW and achieves a peak SNDR of 79.7dB with a Schreier FoM of 180.1dB.</t>
  </si>
  <si>
    <t xml:space="preserve">Chun-Cheng Liu, Mu-Chen Huang</t>
  </si>
  <si>
    <t xml:space="preserve">10.1109/ISSCC.2017.7870463</t>
  </si>
  <si>
    <t xml:space="preserve">Numbers w/o chop</t>
  </si>
  <si>
    <t xml:space="preserve">An 11.4mW 80.4dB-SNDR 15MHz-BW CT Delta-Sigma Modulator Using 6b Double-Noise-Shaped Quantizer </t>
  </si>
  <si>
    <t xml:space="preserve">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</si>
  <si>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Taewook Kim, Changsok Han, and Nima Maghari </t>
  </si>
  <si>
    <t xml:space="preserve">10.1109/ISSCC.2017.7870464</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</si>
  <si>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</si>
  <si>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</si>
  <si>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 xml:space="preserve">Sheng-Jui Huang, Nathan Egan, Divya Kesharwani, Frank Opteynde, Michael Ashburn</t>
  </si>
  <si>
    <t xml:space="preserve">10.1109/ISSCC.2017.7870465</t>
  </si>
  <si>
    <t xml:space="preserve">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</si>
  <si>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</si>
  <si>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 xml:space="preserve">Hai Huang, Sudipta Sarkar, Brian Elies, and Yun Chiu</t>
  </si>
  <si>
    <t xml:space="preserve">10.1109/ISSCC.2017.7870466</t>
  </si>
  <si>
    <t xml:space="preserve">A 10b 1.5GS/s Pipelined-SAR ADC with Background Second-Stage Common-Mode Regulation and Offset Calibration in 14nm CMOS FinFET </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</si>
  <si>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</si>
  <si>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 xml:space="preserve">Lukas Kull, Danny Luu, Christian Menolfi, Matthias Braendli, Pier Andrea Francese, Thomas Morf, Marcel Kossel, Hazar Yueksel, Alessandro Cevrero, IlterOzkaya, Thomas Toifl</t>
  </si>
  <si>
    <t xml:space="preserve">10.1109/ISSCC.2017.7870467</t>
  </si>
  <si>
    <t xml:space="preserve">A 78.5dB-SNDR Radiation- and Metastability-Tolerant Two-Step Split SAR ADC Operating up to 75MS/s with 24.9mW Power Consumption in 65nm CMOS</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</si>
  <si>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</si>
  <si>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 xml:space="preserve">Hongda Xu, Yongda Cai, Ling Du, Yuan Zhou, Benwei Xu, Datao Gong, Jingbo Ye, and Yun Chiu </t>
  </si>
  <si>
    <t xml:space="preserve">10.1109/ISSCC.2017.7870468</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</si>
  <si>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</si>
  <si>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</si>
  <si>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 xml:space="preserve">Kentaro Yoshioka, Tomohiko Sugimoto, Naoya Waki, Sinnyoung Kim, Daisuke Kurose, Hirotomo Ishii, Masanori Furuta, Akihide Sai and Tetsuro Itakura </t>
  </si>
  <si>
    <t xml:space="preserve">10.1109/ISSCC.2017.7870469</t>
  </si>
  <si>
    <t xml:space="preserve">A Transmitter and Receiver for 100Gb/s Coherent Networks with Integrated 4×64GS/s 8b ADCs and DACs in 20nm CMOS </t>
  </si>
  <si>
    <t xml:space="preserve">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</si>
  <si>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Jun Cao, Delong Cui, Ali Nazemi, Tim He, Guansheng Li, Burak Catli, Mehdi Khanpour, Kangmin Hu, Tamer Ali, Heng Zhang, Hairong Yu, Ben Rhew, Shiwei Sheng, Yonghyun Shim, Bo Zhang, Afshin Momtaz</t>
  </si>
  <si>
    <t xml:space="preserve">10.1109/ISSCC.2017.7870472</t>
  </si>
  <si>
    <t xml:space="preserve">Power includes front-end</t>
  </si>
  <si>
    <t xml:space="preserve">A 20ch TDC/ADC Hybrid SoC for 240×96-Pixel 10%-Reflection &lt;0.125%-Precision 200m-Range Imaging LiDAR with Smart Accumulation Technique</t>
  </si>
  <si>
    <t xml:space="preserve">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</si>
  <si>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 xml:space="preserve">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</si>
  <si>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 xml:space="preserve">10.1109/ISSCC.2018.8310199</t>
  </si>
  <si>
    <t xml:space="preserve">A 50MHz-BW Continuous-Time ΔΣ ADC with Dynamic Error Correction Achieving 79.8dB SNDR and 95.2dB SFDR</t>
  </si>
  <si>
    <t xml:space="preserve">In Paper 14.1, Oregon State University and MediaTek present an efficient dynamic error correction technique for an NRZ feedback DAC in a  ntinuous-time delta-sigma ADC. The 28nm ADC achieves 80dB SNDR in a 50MHz bandwidth while consuming 64.3mW.</t>
  </si>
  <si>
    <t xml:space="preserve">Tao He, Michael Ashburn, Stacy Ho, Yi Zhang, Gabor Temes</t>
  </si>
  <si>
    <t xml:space="preserve">10.1109/ISSCC.2018.8310268</t>
  </si>
  <si>
    <t xml:space="preserve">A 15.2-ENOB Continuous-Time ΔΣ ADC for a 7.3μW 200mVpp-Linear-Input-Range Neural Recording Front-End</t>
  </si>
  <si>
    <t xml:space="preserve">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</si>
  <si>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 xml:space="preserve">Hariprasad Chandrakumar, Dejan Marković</t>
  </si>
  <si>
    <t xml:space="preserve">10.1109/ISSCC.2018.8310269</t>
  </si>
  <si>
    <t xml:space="preserve">A 13-ENOB 2nd-Order Noise-Shaping SAR ADC Realizing Optimized NTF Zeros Using an Error-Feedback Structure</t>
  </si>
  <si>
    <t xml:space="preserve">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</si>
  <si>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 xml:space="preserve">Shaolan Li, Bo Qiao, Miguel Gandara, Nan Sun</t>
  </si>
  <si>
    <t xml:space="preserve">10.1109/ISSCC.2018.8310270</t>
  </si>
  <si>
    <t xml:space="preserve">Calibration power 4uW not included</t>
  </si>
  <si>
    <t xml:space="preserve">A 1.1mW 200kS/s Incremental ΔΣ ADC with a DR of 91.5dB Using Integrator Slicing for Dynamic Power Reduction</t>
  </si>
  <si>
    <t xml:space="preserve">In Paper 14.4, the University of Ulm introduces an integrator slicing technique in an incremental delta-sigma ADC that allows for improved noise and power tradeoffs in the front-end integrator stages. The 200kS/s prototype in 0.18μm CMOS achieves 91.5dB dynamic range and 1.1mW.</t>
  </si>
  <si>
    <t xml:space="preserve">Patrick Vogelmann, Michael Haas, Maurits Ortmanns</t>
  </si>
  <si>
    <t xml:space="preserve">10.1109/ISSCC.2018.8310271</t>
  </si>
  <si>
    <t xml:space="preserve">A 280μW Dynamic-Zoom ADC with 120dB DR and 118dB SNDR in 1kHz BW</t>
  </si>
  <si>
    <t xml:space="preserve">In Paper 14.5, Delft University of Technology presents a dynamic zoom ADC with a high-speed asynchronous SAR that works in tandem with a delta-sigma. Fabricated in 0.16μm CMOS, the ADC reaches 118dB SNDR in a 1kHz bandwidth while consuming 280uW.</t>
  </si>
  <si>
    <t xml:space="preserve">Shoubhik Karmakar, Burak Gönen, Fabio Sebastiano, Robert Van Veldhoven, Kofi A. A. Makinwa</t>
  </si>
  <si>
    <t xml:space="preserve">10.1109/ISSCC.2018.8310272</t>
  </si>
  <si>
    <t xml:space="preserve">A 0.4V 13b 270kS/s SAR-ISDM ADC with an Opamp-Less Time-Domain Integrator</t>
  </si>
  <si>
    <t xml:space="preserve">In Paper 14.6, National Tsing Hua University proposes a single-path time-domain voltage-controlled delay line for use in a coarse SAR comparator and a fine incremental delta-sigma integrator to realize a 13b ADC. Power consumption is only 638nW at 270kS/s with 11.9b ENOB.</t>
  </si>
  <si>
    <t xml:space="preserve">Sung-En Hsieh, Chih-Cheng Hsieh</t>
  </si>
  <si>
    <t xml:space="preserve">10.1109/ISSCC.2018.8310273</t>
  </si>
  <si>
    <t xml:space="preserve">SAR, Pipe</t>
  </si>
  <si>
    <t xml:space="preserve">A Signal-Independent Background-Calibrating 20b 1MS/s SAR ADC with 0.3ppm INL</t>
  </si>
  <si>
    <t xml:space="preserve">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</si>
  <si>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 xml:space="preserve">Hongxing Li, Mark Maddox, Michael C. W. Coln, William Buckley, Derek Hummerston, Naveed Naeem</t>
  </si>
  <si>
    <t xml:space="preserve">10.1109/ISSCC.2018.8310274</t>
  </si>
  <si>
    <t xml:space="preserve">Power includes cal engine</t>
  </si>
  <si>
    <t xml:space="preserve">A 0.3V Biofuel-Cell-Powered Glucose/Lactate Biosensing System Employing a 180nW 64dB SNR Passive ΔΣ ADC and a 920MHz Wireless Transmitter</t>
  </si>
  <si>
    <t xml:space="preserve">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</si>
  <si>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 xml:space="preserve">Ali Fazli Yeknami, Xiaoyang Wang, Somayeh Imani, Ali Nikoofard, Itthipon Jeerapan, Joseph Wang, Patrick P. Mercier</t>
  </si>
  <si>
    <t xml:space="preserve">10.1109/ISSCC.2018.8310295</t>
  </si>
  <si>
    <t xml:space="preserve">50nW 5kHz-BW Opamp-Less ΔΣ Impedance Analyzer for Brain Neurochemistry Monitoring</t>
  </si>
  <si>
    <t xml:space="preserve">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</si>
  <si>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 xml:space="preserve">Maged El Ansary, Nima Soltani, Hossein Kassiri, Ruben Machado, Suzie Dufou, Peter L. Carlen, Michael Thompson, Roman Genov</t>
  </si>
  <si>
    <t xml:space="preserve">10.1109/ISSCC.2018.8310297</t>
  </si>
  <si>
    <t xml:space="preserve">A 24-to-72GS/s 8b Time-Interleaved SAR ADC with 2.0-to-3.3pJ/conversion and &gt;30dB SNDR at Nyquist in 14nm CMOS FinFET</t>
  </si>
  <si>
    <t xml:space="preserve">This ADC employs hierarchical interleaving with 16 parallel sampling switches each driving 4 sub ADCs. The 64 asynchronous 8b SAR ADCs use separate comparators per bit and are extensively calibrated for offset, gain and timing errors.</t>
  </si>
  <si>
    <t xml:space="preserve">Lukas Kull, Danny Luu, Christian Menolfi, Matthias Braendli, Pier Andrea Francese, Thomas Morf, Marcel Kossel, Alessandro Cevrero, Ilter Ozkaya, Thomas Toifl</t>
  </si>
  <si>
    <t xml:space="preserve">10.1109/ISSCC.2018.8310332</t>
  </si>
  <si>
    <t xml:space="preserve">Picked 20GHz as HF input frequency for direct comparison with 2014 paper by same author</t>
  </si>
  <si>
    <t xml:space="preserve">A 0.13μm CMOS SoC for Simultaneous Multichannel Optogenetics and Electrophysiological Brain Recording</t>
  </si>
  <si>
    <t xml:space="preserve">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</si>
  <si>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 xml:space="preserve">Gabriel Gagnon-Turcotte, Christian Ethier, Yves De Koninck, Benoit Gosselin</t>
  </si>
  <si>
    <t xml:space="preserve">10.1109/ISSCC.2018.8310386</t>
  </si>
  <si>
    <t xml:space="preserve">A 92dB Dynamic Range Sub-μVrms-Noise 0.8μW/ch Neural-Recording ADC Array with Predictive Digital Autoranging</t>
  </si>
  <si>
    <t xml:space="preserve">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</si>
  <si>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 xml:space="preserve">Chul Kim, Siddharth Joshi, Hristos Courellis, Jun Wang, Cory Miller, Gert Cauwenberghs</t>
  </si>
  <si>
    <t xml:space="preserve">10.1109/ISSCC.2018.8310388</t>
  </si>
  <si>
    <t xml:space="preserve">A 3.2GS/s 10 ENOB 61mW Ringamp ADC in 16nm with Background Monitoring of Distortion</t>
  </si>
  <si>
    <t xml:space="preserve">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</si>
  <si>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 xml:space="preserve">Benjamin Hershberg, Davide Dermit, Barend van Liempd, Ewout Martens, Nereo Markulic, Jorge Lagos, Jan Craninckx</t>
  </si>
  <si>
    <t xml:space="preserve">10.1109/ISSCC.2019.8662290</t>
  </si>
  <si>
    <t xml:space="preserve">A 7.6mW 1GS/s 60dB SNDR Single-Channel SAR-Assisted Pipelined ADC with Temperature-Compensated Dynamic Gm-R-Based Amplifier</t>
  </si>
  <si>
    <t xml:space="preserve">In Paper 3.2, the University of Macau describes a single channel 12b, 1GS/s SAR-assisted pipelined ADC. A Gm-R-based residue amplifier with temperature-compensated bias is used. This 28nm ADC achieves &gt;60dB SNDR at Nyquist while consuming 7.6mW.</t>
  </si>
  <si>
    <t xml:space="preserve">Wenning Jiang, Yan Zhu, Minglei Zhang, Chi-Hang Chan, Rui P. Martins</t>
  </si>
  <si>
    <t xml:space="preserve">10.1109/ISSCC.2019.8662524</t>
  </si>
  <si>
    <t xml:space="preserve">A 5GS/s 158.6mW 12b Passive-Sampling 8×-Interleaved Hybrid ADC with 9.4 ENOB and 160.5dB FoMS in 28nm CMOS</t>
  </si>
  <si>
    <t xml:space="preserve">In Paper 3.3, KU Leuven describes a 5GS/s 12b passive-sampling 8×-interleaved hybrid ADC with a bandwidth in excess of 6GHz. This 28nm ADC achieves a 58.5dB SNDR at 2.4GHz while consuming 158.6mW.</t>
  </si>
  <si>
    <t xml:space="preserve">Athanasios Ramkaj, Juan Carlos Pena Ramos, Yifan Lyu, Maarten Strackx, Marcel J. M. Pelgrom, Michiel Steyaert, Marian Verhelst, Filip Tavernier </t>
  </si>
  <si>
    <t xml:space="preserve">10.1109/ISSCC.2019.8662490</t>
  </si>
  <si>
    <t xml:space="preserve">A 0.01mm² 25μW 2MS/s 74dB-SNDR Continuous-Time Pipelined-SAR ADC with 120fF Input Capacitor</t>
  </si>
  <si>
    <t xml:space="preserve">In Paper 3.4, the University of Texas Austin describes a 2MS/s, 13b continuous-time pipelined-SAR ADC with a kT/C noisefree input stage. This 40nm ADC achieves a peak SNDR of 73.5dB while consuming 25.2uW.</t>
  </si>
  <si>
    <t xml:space="preserve">Linxiao Shen, Yi Shen, Xiyuan Tang, Chen-Kai Hsu, Wei Shi, Shaolan Li, Wenda Zhao, Abhishek Mukherjee, Nan Sun</t>
  </si>
  <si>
    <t xml:space="preserve">10.1109/ISSCC.2019.8662406</t>
  </si>
  <si>
    <t xml:space="preserve">A 0.6V 13b 20MS/s Two-Step TDC-Assisted SAR ADC with PVT Tracking and Speed-Enhanced Techniques</t>
  </si>
  <si>
    <t xml:space="preserve">In Paper 3.5, the University of Macau presents a 20MS/s, 13b, two-step TDC-assisted SAR ADC with PVT tracking and speed enhancing techniques. This 65nm ADC achieves a Walden FoM of 1.4fJ/conversion-step using a 0.6V supply.</t>
  </si>
  <si>
    <t xml:space="preserve">Minglei Zhang, Chi-Hang Chan, Yan Zhu, Rui P. Martins</t>
  </si>
  <si>
    <t xml:space="preserve">10.1109/ISSCC.2019.8662350</t>
  </si>
  <si>
    <t xml:space="preserve">A 6-to-600MS/s Fully Dynamic Ringamp Pipelined ADC with Asynchronous Event-Driven Clocking in 16nm</t>
  </si>
  <si>
    <t xml:space="preserve">In Paper 3.6, imec presents a single-channel 600MS/s, 11b, pipelined ADC with an asynchronous, event-driven approach to timing control that leads to fully dynamic power consumption. This 16nm ADC achieves 60dB SNDR and 78dB SFDR while consuming 6mW.</t>
  </si>
  <si>
    <t xml:space="preserve">Benjamin Hershberg, Barend van Liempd, Nereo Markulic, Jorge Lagos, Ewout Martens, Davide Dermit, Jan Craninckx</t>
  </si>
  <si>
    <t xml:space="preserve">10.1109/ISSCC.2019.8662319</t>
  </si>
  <si>
    <t xml:space="preserve">A 10mW 16b 15MS/s Two-Step SAR ADC with 95dB DR Using Dual-Deadzone Ring-Amplifier</t>
  </si>
  <si>
    <t xml:space="preserve">In Paper 3.7, Oregon State University describes a 15MS/s, 16b, two-step SAR ADC using a dual-deadzone ring-amplifier. This 180μm ADC achieves 91dB SNDR while consuming 10mW.</t>
  </si>
  <si>
    <t xml:space="preserve">Ahmed ElShater, Calvin Yoji Lee, Praveen Kumar, Venkatachala, Jason Muhlestein, Spencer Leuenberger, Kazuki Sobue, Koichi Hamashita, Un-Ku Moon</t>
  </si>
  <si>
    <t xml:space="preserve">10.1109/ISSCC.2019.8662400</t>
  </si>
  <si>
    <t xml:space="preserve">A Sub-250mW 1-to-56Gb/s Continuous-Range PAM-4 42.5dB IL ADC/DAC-Based Transceiver in 7nm FinFET</t>
  </si>
  <si>
    <t xml:space="preserve">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</si>
  <si>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 xml:space="preserve">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</si>
  <si>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 xml:space="preserve">10.1109/ISSCC.2019.8662428</t>
  </si>
  <si>
    <t xml:space="preserve">Power disclosed in JSSC paper; SN(D)R numbers are for entire front-end</t>
  </si>
  <si>
    <t xml:space="preserve">A 5.37mW/Channel Pitch-Matched Ultrasound ASIC with Dynamic-Bit-Shared SAR ADC and 13.2V Charge-Recycling TX in Standard CMOS for Intracardiac Echocardiograph</t>
  </si>
  <si>
    <t xml:space="preserve">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</si>
  <si>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 xml:space="preserve">Jihee Lee, Kyoung-Rog Lee, Benjamin E. Eovino, Jeong Hoan Park, Liwei Lin, Hoi-Jun Yoo, Jerald Yoo</t>
  </si>
  <si>
    <t xml:space="preserve">10.1109/ISSCC.2019.8662531</t>
  </si>
  <si>
    <t xml:space="preserve">VCO, TI</t>
  </si>
  <si>
    <t xml:space="preserve">A 5GS/s 7.2 ENOB Time-Interleaved VCO-Based ADC Achieving 30.5fJ/conv-step</t>
  </si>
  <si>
    <t xml:space="preserve">In Paper 20.1, KU Leuven describes a 28nm time-interleaved VCO-based ADC. It achieves 45.2dB SNDR with a Nyquist input at 5GS/s, while consuming 22.7mW.</t>
  </si>
  <si>
    <t xml:space="preserve">Maarten Baert, Wim Dehaene</t>
  </si>
  <si>
    <t xml:space="preserve">10.1109/ISSCC.2019.8662412</t>
  </si>
  <si>
    <t xml:space="preserve">A 40MHz-BW 320MS/s Passive Noise-Shaping SAR ADC with Passive Signal-Residue Summation in 14nm FinFET</t>
  </si>
  <si>
    <t xml:space="preserve">In Paper 20.2, MediaTek demonstrates a technique for passive signal-residue summation in a noise-shaping SAR ADC in 14nm FinFET technology. It achieves 66.6dB SNDR in a 40MHz bandwidth consuming 1.25mW of power.</t>
  </si>
  <si>
    <t xml:space="preserve">Ying-Zu Lin, Chin-Yu Lin, Shan-Chih Tsou, Chih-Hou Tsai, Chao-Hsin Lu</t>
  </si>
  <si>
    <t xml:space="preserve">10.1109/ISSCC.2019.8662299</t>
  </si>
  <si>
    <t xml:space="preserve">A 50MHz-Bandwidth 70.4dB-SNDR Calibration-Free Time-Interleaved 4th-Order Noise-Shaping SAR ADC</t>
  </si>
  <si>
    <t xml:space="preserve">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</si>
  <si>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 xml:space="preserve">Lu Jie, Boyi Zheng, Michael P. Flynn</t>
  </si>
  <si>
    <t xml:space="preserve">10.1109/ISSCC.2019.8662313</t>
  </si>
  <si>
    <t xml:space="preserve">An 8×-OSR 25MHz-BW 79.4dB/74dB DR/SNDR CT ΔΣ Modulator Using 7b Linearized Segmented DACs with Digital Noise-Coupling-Compensation Filter in 7nm FinFET CMOS</t>
  </si>
  <si>
    <t xml:space="preserve">In Paper 20.4, MediaTek shows the first 7nm ADC at ISSCC, using a linearized DAC and digital noise coupling compensation. The design achieves 74dB SNDR in a 25MHz bandwidth while consuming only 3.8mW.</t>
  </si>
  <si>
    <t xml:space="preserve">Tien-Yu Lo, Chan-Hsiang Weng, Hung-Yi Hsieh, Ding-Yang, Wang, Yun-Shiang Shu, and Pao-Cheng Chiu</t>
  </si>
  <si>
    <t xml:space="preserve">10.1109/ISSCC.2019.8662371</t>
  </si>
  <si>
    <t xml:space="preserve">A 76.6dB-SNDR 50MHz-BW 29.2mW Noise-Coupling-Assisted CT Sturdy MASH ΔΣ Modulator with 1.5b/4b Quantizers in 28nm CMOS</t>
  </si>
  <si>
    <t xml:space="preserve">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</si>
  <si>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 xml:space="preserve">Liang Qi, Ankesh Jain, Dongyang Jiang, Sai-Weng Sin, Rui P. Martins, Maurits Ortmanns</t>
  </si>
  <si>
    <t xml:space="preserve">10.1109/ISSCC.2019.8662529</t>
  </si>
  <si>
    <t xml:space="preserve">An 80MHz-BW 31.9fJ/conv-step Filtering ΔΣ ADC with a Built-In DAC-Segmentation/ELDCompensation 6b 960MS/s SAR-Quantizer in 28nm LP for 802.11ax Applications</t>
  </si>
  <si>
    <t xml:space="preserve">In Paper 20.6, MediaTek shows a dual-mode delta-sigma including variable gain and filtering for an 802.11ax analog baseband. The 28nm design achieves 64.9dB SNDR in 80MHz bandwidth consuming 7.3mW of power, or 76.8dB SNDR in 10MHz bandwidth consuming 4.15mW of power.</t>
  </si>
  <si>
    <t xml:space="preserve">Chi-Yun (Stanley) Wang, Jen-Huan Tsai, Sheng-Yuan Su, Jen-Che Tsai, Jhy-Rong Chen, Chih-Hong Lou</t>
  </si>
  <si>
    <t xml:space="preserve">10.1109/ISSCC.2019.8662416</t>
  </si>
  <si>
    <t xml:space="preserve">=IF(I340&lt;&gt;"?", HYPERLINK(CONCATENATE("https://doi.org/",I340)), "")</t>
  </si>
  <si>
    <t xml:space="preserve">A 72.6dB-SNDR 100MHz-BW 16.36mW CTDSM with Preliminary Sampling and Quantization Scheme in Backend Subranging QTZ</t>
  </si>
  <si>
    <t xml:space="preserve">In Paper 20.7, the University of Macau shows a wideband CTDSM with a preliminary sampling and quantization technique to increase the time available for quantization. The design, implemented in 28nm CMOS achieves 72.6dB SNDR in 100MHz bandwidth consuming 16.3mW of power.</t>
  </si>
  <si>
    <t xml:space="preserve">Wei Wang, Chi-Hang Chan, Yan Zhu, and Rui Paulo Martins</t>
  </si>
  <si>
    <t xml:space="preserve">10.1109/ISSCC.2019.8662317</t>
  </si>
  <si>
    <t xml:space="preserve">A 769μW Battery-Powered Single-Chip SoC with BLE for Multi-Modal Vital Sign Health Patches</t>
  </si>
  <si>
    <t xml:space="preserve">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</si>
  <si>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 xml:space="preserve">Mario Konijnenburg, Roland van Wegberg, Shuang Song, Hyunsoo Ha, Wim Sijbers, Jiawei Xu, Stefano Stanzione, Chris van Liempd, Dwaipayan Biswas, Arjan Breeschoten, Peter Vis, Chris Van Hoof, Nick Van Helleputte</t>
  </si>
  <si>
    <t xml:space="preserve">10.1109/ISSCC.2019.8662520</t>
  </si>
  <si>
    <t xml:space="preserve">A 240×192Pixel 10fps 70klux 225m-Range Automotive LiDAR SoC Using a 40ch 0.0036mm² Voltage/Time Dual-Data-Converter-Based AFE</t>
  </si>
  <si>
    <t xml:space="preserve">In Paper 5.1, Toshiba describes a 240×192 pixel automotive LiDAR SoC capable of 225m maximum range distance at 10fps, while operating at up to 70klux ambient light based on 40-channel voltage/time dual-data-converter-based AFE.</t>
  </si>
  <si>
    <t xml:space="preserve">Satoshi Kondo, Hiroshi Kubota, Hisaaki Katagiri, Yutaka Ota, Masatoshi Hirono, Tuan Thanh Ta, Hidenori Okuni, Shinichi Ohtsuka, Yoshinari Ojima, Tomohiko Sugimoto, Hirotomo Ishii, Kentaro Yoshioka, Katsuyuki Kimura, Akihide Sai, Nobu Matsumoto</t>
  </si>
  <si>
    <t xml:space="preserve">10.1109/ISSCC19947.2020.9063148</t>
  </si>
  <si>
    <t xml:space="preserve">Incremental, SDCT</t>
  </si>
  <si>
    <t xml:space="preserve">A Current-Sensing Front-End Realized by A Continuous-Time Incremental ADC with 12b SAR Quantizer and Reset-Then-Open Resistive DAC Achieving 140dB DR and 8ppm INL at 4kS/s</t>
  </si>
  <si>
    <t xml:space="preserve">In Paper 9.1, MediaTek demonstrates a 140dB DR current measurement continuous-time incremental ADC that uses a 12b DSM and achieves an 8ppm INL at 4kS/s.</t>
  </si>
  <si>
    <t xml:space="preserve">Su-Hao Wu, Yun-Shiang Shu, Albert Yen-Chih Chiou, Wei-Hsiang Huang, Zhi-Xin Chen, Hung-Yi Hsieh</t>
  </si>
  <si>
    <t xml:space="preserve">10.1109/ISSCC19947.2020.9062990</t>
  </si>
  <si>
    <t xml:space="preserve">A 134μW 24kHz-BW 103.5dB-DR CT ΔΣ Modulator with Chopped Negative-R and Tri-Level FIR DAC</t>
  </si>
  <si>
    <t xml:space="preserve">In Paper 9.2, Yonsei University presents an audio-band CT ΔΣ modulator with chopped negative resistors that achieves a 99.4dB SNDR while consuming 134μW.</t>
  </si>
  <si>
    <t xml:space="preserve">MoonHyung Jang, Changuk Lee, Youngcheol Chae</t>
  </si>
  <si>
    <t xml:space="preserve">10.1109/ISSCC19947.2020.9062904</t>
  </si>
  <si>
    <t xml:space="preserve">A 40kHz-BW 90dB-SNDR Noise-Shaping SAR with 4× Passive Gain and 2nd-Order Mismatch Error Shaping</t>
  </si>
  <si>
    <t xml:space="preserve">In Paper 9.3, Tsinghua University reports a 90dB-SNDR passive noise-shaping SAR that realizes a 4× passive gain with a 40kHz bandwidth while consuming 67μW.</t>
  </si>
  <si>
    <t xml:space="preserve">Jiaxin Liu, Xing Wang, Zijie Gao, Mingtao Zhan, Xiyuan Tang, Nan Sun</t>
  </si>
  <si>
    <t xml:space="preserve">10.1109/ISSCC19947.2020.9063159</t>
  </si>
  <si>
    <t xml:space="preserve">A 4th-Order Cascaded-Noise-Shaping SAR ADC with 88dB SNDR Over 100kHz Bandwidth</t>
  </si>
  <si>
    <t xml:space="preserve">In Paper 9.4, University of Michigan presents a 4th-order single-channel cascaded-noise-shaping SAR ADC that achieves an 88dB SNDR over 100kHz bandwidth.</t>
  </si>
  <si>
    <t xml:space="preserve">Lu Jie, Boyi Zheng, Hsiang-Wen Chen, Runyu Wang, Michael P. Flynn</t>
  </si>
  <si>
    <t xml:space="preserve">10.1109/ISSCC19947.2020.9062905</t>
  </si>
  <si>
    <t xml:space="preserve">A 13.5b-ENOB Second-Order Noise-Shaping SAR with PVT-Robust Closed-Loop Dynamic Amplifier</t>
  </si>
  <si>
    <t xml:space="preserve">In Paper 9.5, UT Austin describes a second-order noise-shaping SAR ADC uses a calibration-free closed-loop dynamic amplifier to achieve a 13.5b ENOB in a 625kHz bandwidth.</t>
  </si>
  <si>
    <t xml:space="preserve">Xiyuan Tang, Xiangxing Yang, Wenda Zhao, Chen-Kai Hsu, Jiaxin Liu, Linxiao Shen, Abhishek Mukherjee, Wei Shi, David Z. Pan, Nan Sun</t>
  </si>
  <si>
    <t xml:space="preserve">10.1109/ISSCC19947.2020.9063058</t>
  </si>
  <si>
    <t xml:space="preserve">A 2.56mW 40MHz-Bandwidth 75dB-SNDR Partial-Interleaving SAR-Assisted NS Pipeline ADC With Background Inter-Stage Offset Calibration</t>
  </si>
  <si>
    <t xml:space="preserve">In Paper 9.6, University of Macau shows a SAR-assisted noise-shaping pipeline ADC using partial interleaving to achieve a 40MHz bandwidth with 75dB SNDR while consuming 2.56mW.</t>
  </si>
  <si>
    <t xml:space="preserve">Yan Song, Yan Zhu, Chi Hang Chan, Rui Paulo Martins</t>
  </si>
  <si>
    <t xml:space="preserve">10.1109/ISSCC19947.2020.9063047</t>
  </si>
  <si>
    <t xml:space="preserve">Background Multi-Rate LMS Calibration Circuit for 15MHz-BW 74dB-DR CT 2-2 MASH ΔΣ ADC in 28nm CMOS</t>
  </si>
  <si>
    <t xml:space="preserve">In Paper 9.7, Renesas describes a 2-2 MASH continuous-time ΔΣ ADC in 28nm CMOS with multi-rate LMS background calibration to achieve a 15MHz bandwidth and a 67.5dB SNDR.</t>
  </si>
  <si>
    <t xml:space="preserve">Mitsuya Fukazawa, Takashi Oshima, Masaki Fujiwara, Katsuki Tateyama, Alsubaie Raed, Masao Ito, Tetsuya Matsumoto, Tetsuo Matsui</t>
  </si>
  <si>
    <t xml:space="preserve">10.1109/ISSCC19947.2020.9063026</t>
  </si>
  <si>
    <t xml:space="preserve">A Low-Cost 4-Channel Reconfigurable Audio Interface for Car Entertainment Systems</t>
  </si>
  <si>
    <t xml:space="preserve">In Paper 9.8, NXP reports a reconfigurable, 4-channel audio ADC in 28nm CMOS that has all references and LDOs on-chip and achieves a peak SNR of 106dB while consuming 6mW.</t>
  </si>
  <si>
    <t xml:space="preserve">Robert van Veldhoven, Marco Lammers, Leon van der dussen, Khalid Mabtoul</t>
  </si>
  <si>
    <t xml:space="preserve">10.1109/ISSCC19947.2020.9062936</t>
  </si>
  <si>
    <t xml:space="preserve">A 12b 18GS/s RF Sampling ADC with an Integrated Wideband Track-and-Hold Amplifier and Background Calibration</t>
  </si>
  <si>
    <t xml:space="preserve">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</si>
  <si>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 xml:space="preserve">Ahmed M. A. Ali, Huseyin Dinc, Paritosh Bhoraskar, Scott Bardsley, Chris Dillon, Mohit Kumar, Matthew McShea, Ryan Bunch, Joel Prabhakar, Scott Puckett</t>
  </si>
  <si>
    <t xml:space="preserve">10.1109/ISSCC19947.2020.9063011</t>
  </si>
  <si>
    <t xml:space="preserve">TI, TDC</t>
  </si>
  <si>
    <t xml:space="preserve">A 4× Interleaved 10GS/s 8b Time-Domain ADC with 16× Interpolation-Based Inter-Stage Gain Achieving &gt;37.5dB SNDR at 18GHz Input</t>
  </si>
  <si>
    <t xml:space="preserve">In Paper 16.2, University of Macau presents a 65nm 8b 10GS/s 4× time-interleaved time-domain pipeline ADC using 16× interpolation-based inter-stage gain. It achieves 37.6dB SNDR for an 18GHz input signal sampled at 10GS/s while consuming 50.8mW.</t>
  </si>
  <si>
    <t xml:space="preserve">Minglei Zhang, Yan Zhu, Chi-Hang Chan, Rui P. Martins</t>
  </si>
  <si>
    <t xml:space="preserve">10.1109/ISSCC19947.2020.9062986</t>
  </si>
  <si>
    <t xml:space="preserve">A Single-Channel 5.5mW 3.3GS/s 6b Fully Dynamic Pipelined ADC with Post-Amplification Residue Generation</t>
  </si>
  <si>
    <t xml:space="preserve">In Paper 16.3, University of Macau presents a 6b 3.3GS/s single-channel pipeline ADC in 28nm. It uses a look-ahead pipeline scheme to allow amplification and comparison to happen at the same time and achieves 34.2dB SNDR for a Nyquist input at 3.3GS/s with 5.5mW of power.</t>
  </si>
  <si>
    <t xml:space="preserve">Zihao Zheng, Lai Wei, Jorge Lagos, Ewout Martens, Yan Zhu, Chi-Hang Chan, Jan Craninckx, Rui P. Martins</t>
  </si>
  <si>
    <t xml:space="preserve">10.1109/ISSCC19947.2020.9062895</t>
  </si>
  <si>
    <t xml:space="preserve">A Calibration-Free 71.7dB SNDR 100MS/s 0.7mW Weighted-Averaging Correlated Level Shifting Pipelined SAR ADC with Speed-Enhancement Scheme</t>
  </si>
  <si>
    <t xml:space="preserve">In Paper 16.4, National Cheng Kung University presents a weighted-averaging correlated level shifting technique for a 14b pipelined SAR manufactured in 28nm CMOS. The design achieves 71.7dB SNDR for a Nyquist input at 100MS/s and consumes only 0.7mW of power.</t>
  </si>
  <si>
    <t xml:space="preserve">Tsung-Chih Hung, Jia-Ching Wang, Tai-Haur Kuo</t>
  </si>
  <si>
    <t xml:space="preserve">10.1109/ISSCC19947.2020.9063055</t>
  </si>
  <si>
    <t xml:space="preserve">A 13b 0.005mm² 40MS/s SAR ADC with kT/C Noise Cancellation</t>
  </si>
  <si>
    <t xml:space="preserve">In Paper 16.5, Tsinghua University presents a 13b 40MS/s ADC fabricated in 40nm CMOS. It reduces kT/C noise by sampling at the output of a preamplifier and achieves 69dB SNDR for Nyquist input at 40MS/s with an input capacitance of only 240fF and 0.59mW of power consumption.</t>
  </si>
  <si>
    <t xml:space="preserve">Jiaxin Liu, Xiyuan Tang, Wenda Zhao, Linxiao Shen, Nan Sun</t>
  </si>
  <si>
    <t xml:space="preserve">10.1109/ISSCC19947.2020.9063156</t>
  </si>
  <si>
    <t xml:space="preserve">Pipe, VCO</t>
  </si>
  <si>
    <t xml:space="preserve">An 800MHz-BW VCO-Based Continuous-Time Pipelined ADC with Inherent Anti-Aliasing and On-Chip Digital Reconstruction Filter</t>
  </si>
  <si>
    <t xml:space="preserve">In Paper 16.6, Analog Devices proposes a continuous-time pipeline ADC with a VCO-based back-end and an on-chip digital reconstruction filter in 16nm FinFET. In addition to peak SNDR of 58dB in an 800MHz bandwidth it offers 41dB inherent anti-alias filtering for 280mW of power.</t>
  </si>
  <si>
    <t xml:space="preserve">Hajime Shibata, Gerry Taylor, Bob Schell, Victor Kozlov, Sharvil Patil, Donald Paterson, Asha Ganesan, Yunzhi Dong, Wenhua Yang, Yue Yin, Zhao Li, Prawal Shrestha, Athreya Gopal, Aathreya Bhat, Shanthi Pavan</t>
  </si>
  <si>
    <t xml:space="preserve">10.1109/ISSCC19947.2020.9062917</t>
  </si>
  <si>
    <t xml:space="preserve">VCO, TDC</t>
  </si>
  <si>
    <t xml:space="preserve">A 40MHz-BW 76.2dB/78.0dB SNDR/DR Noise-Shaping Nonuniform Sampling ADC with Single Phase-Domain Level Crossing and Embedded Nonuniform Digital Signal Processor in 28nm CMOS</t>
  </si>
  <si>
    <t xml:space="preserve">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</si>
  <si>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 xml:space="preserve">Tzu-Fan Wu, Mike Shuo-Wei Chen</t>
  </si>
  <si>
    <t xml:space="preserve">10.1109/ISSCC19947.2020.9063022</t>
  </si>
  <si>
    <t xml:space="preserve">A 6.5μW 10kHz-BW 80.4dB-SNDR Continuous-Time ΔΣ Modulator with Gm-Input and 300mVpp Linear Input Range for Closed-Loop Neural Recording</t>
  </si>
  <si>
    <t xml:space="preserve">In Paper 26.6, Yonsei University describes a Continuous-Time ΔΣ Modulator for closed-loop neural recording. The modulator with Gm-input achieves 300mVpp linear input range and 80.4dB SNDR, consuming 6.5μW with a signal BW of 10kHz, exhibiting 172.3dB FoM.</t>
  </si>
  <si>
    <t xml:space="preserve">Changuk Lee, Taejune Jeon, MoonHyung Jang, Sanggeon Park, Yeowool Huh, Youngcheol Chae</t>
  </si>
  <si>
    <t xml:space="preserve">10.1109/ISSCC19947.2020.9063074</t>
  </si>
  <si>
    <t xml:space="preserve">A Trimodal Wireless Implantable Neural Interface System-on-Chip</t>
  </si>
  <si>
    <t xml:space="preserve">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</si>
  <si>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 xml:space="preserve">Yaoyao Jia, Ulkuhan Guler, Yen-Pang Lai, Yan Gong, Arthur Weber, Wen Li, Maysam Ghovanloo</t>
  </si>
  <si>
    <t xml:space="preserve">10.1109/ISSCC19947.2020.9063065</t>
  </si>
  <si>
    <t xml:space="preserve">A Highly Reconfigurable 40-97GS/s DAC and ADC with 40GHz AFE Bandwidth and Sub-35fJ/conv-step for 400Gb/s Coherent Optical Applications in 7nm FinFET</t>
  </si>
  <si>
    <t xml:space="preserve">In Paper 8.6, Inphi presents reconfigurable 40-to-97GS/s 8b DACs and ADCs which are fully integrated in a 7nm FinFET DSP chip targeting 400Gb/s coherent optical links. It achieves 40GHz AFE bandwidth and a Walden FOM &lt;35fJ/conv-step.</t>
  </si>
  <si>
    <t xml:space="preserve">R. L. Nguyen, A. M. Castrillon, A. Fan, A. Mellati, B. T. Reyes, C. Abidin, E. Olsen, F. Ahmad, G. Hatcher, J. Chana, L. Biolato, L. Tse, L. Wang, L. Wang, M. Azarmnia, M. Davoodi, N. Campos, N. Fan, P. Prabha, Q. Lu, S. Cyrusian, S. Dallaire, S. Ho, S. Jantzi, T. Dusatko, W. Elsharkasy</t>
  </si>
  <si>
    <t xml:space="preserve">10.1109/ISSCC42613.2021.9365746</t>
  </si>
  <si>
    <t xml:space="preserve">Complete RX</t>
  </si>
  <si>
    <t xml:space="preserve">A 116μW 104.4dB-DR 100.6dB-SNDR CT ΔΣ Audio ADC Using Tri-Level Current-Steering DAC with Gate-Leakage Compensated Off-Transistor-Based Bias Noise Filter </t>
  </si>
  <si>
    <t xml:space="preserve">In Paper 10.1, Samsung Electronics presents a 116μW audio-band CT ΔΣ ADC using a tri-level current-steering DAC with a gate-leakage-compensated noise filter that achieves 104.4dB dynamic range in 24kHz bandwidth resulting in a 187.5dB Schreier FoM.</t>
  </si>
  <si>
    <t xml:space="preserve">C. Lo, J. Lee, Y. Lim, Y. Yoon, H. Hwang, J. Lee, M. Choi, M. Lee, S. Oh, J. Lee</t>
  </si>
  <si>
    <t xml:space="preserve">10.1109/ISSCC42613.2021.9365807</t>
  </si>
  <si>
    <t xml:space="preserve">A 139μW 104.8dB-DR 24kHz-BW CTΔΣM with Chopped AC-Coupled OTA-Stacking and FIR DACs</t>
  </si>
  <si>
    <t xml:space="preserve">In Paper 10.2, the University of California San Diego reports a CT ΔΣM for audio applications with chopped Accoupled OTA-stacking and FIR DACs that achieves 104.8dB dynamic range in a 24kHz bandwidth and consumes 139μW resulting in a 187.2dB Schreier FoM.</t>
  </si>
  <si>
    <t xml:space="preserve">S. Mondal, O. Ghadami, D. A. Hall</t>
  </si>
  <si>
    <t xml:space="preserve">10.1109/ISSCC42613.2021.9366002</t>
  </si>
  <si>
    <t xml:space="preserve">A 100MHz-BW 68dB-SNDR Tuning-Free Hybrid-Loop DSM with an Interleaved Bandpass Noise-Shaping SAR Quantizer</t>
  </si>
  <si>
    <t xml:space="preserve">In Paper 10.3, University of Michigan describes a tuning-free hybrid-loop ΔΣ modulator with an interleaved bandpass noise-shaping SAR quantizer that achieves 68dB SNDR in a 100MHz bandwidth.</t>
  </si>
  <si>
    <t xml:space="preserve">L. Jie, H-W. Chen, B. Zheng, M. P. Flynn</t>
  </si>
  <si>
    <t xml:space="preserve">10.1109/ISSCC42613.2021.9366006</t>
  </si>
  <si>
    <t xml:space="preserve">A 3.7mW 12.5MHz 81dB-SNDR 4th-Order CTDSM with Single-OTA and 2nd-Order NS-SAR</t>
  </si>
  <si>
    <t xml:space="preserve">In Paper 10.4, University of Texas at Austin presents a 4th-order CT ΔΣ modulator with single-OTA and 2nd-order NS-SAR that achieves 81dB-SNDR in 12.5MHz bandwidth and consumes 3.7mW.</t>
  </si>
  <si>
    <t xml:space="preserve">W. Shi, J. Liu, A. Mukherjee, X. Yang, X. Tang, L. Shen, W. Zhao, N. Sun</t>
  </si>
  <si>
    <t xml:space="preserve">10.1109/ISSCC42613.2021.9366023</t>
  </si>
  <si>
    <t xml:space="preserve">Pipe, SDCT</t>
  </si>
  <si>
    <t xml:space="preserve">A 12b 600MS/s Pipelined SAR and 2×-Interleaved Incremental Delta-Sigma ADC with Source-Follower-Based Residue-Transfer Scheme in 7nm FinFET</t>
  </si>
  <si>
    <t xml:space="preserve">In Paper 10.5, Samsung Electronics reports a 12b 600MS/s pipelined SAR and 2×-interleaved Incremental ΔΣ ADC in 7nm FinFET.</t>
  </si>
  <si>
    <t xml:space="preserve">S. Baek, I. Jang, M. Choi, H. Roh, W. Lim, Y. Cho, J. Shin</t>
  </si>
  <si>
    <t xml:space="preserve">10.1109/ISSCC42613.2021.9366051</t>
  </si>
  <si>
    <t xml:space="preserve">A 1GS/s 6-to-8b 0.5mW/Qubit Cryo-CMOS SAR ADC for Quantum Computing in 40nm CMOS</t>
  </si>
  <si>
    <t xml:space="preserve">In Paper 13.4, Delft University of Technology presents an A/D conversion applied to measurements of qubits after readout. The proposed 1GS/s ADC achieves 36.2dB SNDR at 4K, supporting multiple qubit readout at less than 0.5mW/qubit.</t>
  </si>
  <si>
    <t xml:space="preserve">Gerd Kiene, Alessandro Catania, Ramon Overwater, Paolo Bruschi, Edoardo Charbon, Masoud Babaie, Fabio Sebastiano</t>
  </si>
  <si>
    <t xml:space="preserve">10.1109/ISSCC42613.2021.9365927</t>
  </si>
  <si>
    <t xml:space="preserve">Cryo ADC, 300K data</t>
  </si>
  <si>
    <t xml:space="preserve">A 250kHz-BW 93dB-SNDR 4th-Order Noise-Shaping SAR Using Capacitor Stacking and Dynamic Buffering</t>
  </si>
  <si>
    <t xml:space="preserve">In Paper 27.1, Tsinghua University presents a 4th-order noise-shaping SAR that achieves 93dB SNDR over 250kHz bandwidth with 340μW power, leading to a Schreier FoM of 182dB. This NS-SAR has low complexity and is PVTrobust.</t>
  </si>
  <si>
    <t xml:space="preserve">J. Liu, D. Li, Y. Zhong, X. Tang, N. Sun</t>
  </si>
  <si>
    <t xml:space="preserve">10.1109/ISSCC42613.2021.9366008</t>
  </si>
  <si>
    <t xml:space="preserve">14.1-ENOB 184.9dB-FoM Capacitor-Array-Assisted Cascaded Charge-Injection SAR ADC</t>
  </si>
  <si>
    <t xml:space="preserve">In Paper 27.2, the University of Michigan introduces a Nyquist-rate capacitor-array-assisted cascaded charge-injection SAR ADC with 17b resolution. It achieves 14.14b ENOB and a 184.9dB Schreier FoM.</t>
  </si>
  <si>
    <t xml:space="preserve">K. Choo, H. An, D. Sylvester, D. Blaauw</t>
  </si>
  <si>
    <t xml:space="preserve">10.1109/ISSCC42613.2021.9365863</t>
  </si>
  <si>
    <t xml:space="preserve">A 13.8-ENOB 0.4pF-CIN 3rd-Order Noise-Shaping SAR in a Single-Amplifier EF-CIFF Structure with Fully Dynamic Hardware-Reusing kT/C Noise Cancelation </t>
  </si>
  <si>
    <t xml:space="preserve">In Paper 27.3, Georgia Institute of Technology describes a 3rd-order NS-SAR ADC featuring an EF-CIFF hybrid structure with kT/C noise cancelling. Fabricated in 65nm, the prototype achieves 13.8b ENOB consuming 119uW, leading to a 182dB Schreier FoM.</t>
  </si>
  <si>
    <t xml:space="preserve">T-H. Wang, R. Wu, V. Gupta, S. Li</t>
  </si>
  <si>
    <t xml:space="preserve">10.1109/ISSCC42613.2021.9365990</t>
  </si>
  <si>
    <t xml:space="preserve">A 0.4-to-40MS/s 75.7dB-SNDR Fully Dynamic Event-Driven Pipelined ADC with 3-Stage Cascoded Floating Inverter Amplifier</t>
  </si>
  <si>
    <t xml:space="preserve">In Paper 27.4, the University of Texas at Austin presents a pipelined SAR ADC equipped with a 3-stage fully dynamic floating inverter amplifier that achieves consistent 75.7dB SNDR and linearly scaled power from 0.4MS/s to 40MS/s.</t>
  </si>
  <si>
    <t xml:space="preserve">X. Tang, X. Yang, J. Liu, W. Shi, D. Z. Pan, N. Sun</t>
  </si>
  <si>
    <t xml:space="preserve">10.1109/ISSCC42613.2021.9365753</t>
  </si>
  <si>
    <t xml:space="preserve">An 80MHz-BW 640MS/s Time-Interleaved Passive Noise-Shaping SAR ADC in 22nm FDSOI Process</t>
  </si>
  <si>
    <t xml:space="preserve">In Paper 27.5, MediaTek introduces a fully passive, time-interleaved noise-shaping SAR ADC in 22nm FDSOI. This ADC achieves a peak SNDR of 66.3dB over 80MHz bandwidth at 640MS/s and consumes 2.56mW.</t>
  </si>
  <si>
    <t xml:space="preserve">C-Y. Lin, Y-Z. Lin, C-H. Tsai, C-H. Lu</t>
  </si>
  <si>
    <t xml:space="preserve">10.1109/ISSCC42613.2021.9365754</t>
  </si>
  <si>
    <t xml:space="preserve">A 25MHz-BW 75dB-SNDR Inherent Gain Error Tolerance Noise-Shaping SAR-Assisted Pipeline ADC with Background Offset Calibration </t>
  </si>
  <si>
    <t xml:space="preserve">In Paper 27.6, the University of Macau describes a noise-shaping SAR-assisted pipeline ADC. With a partial interleaving first stage and 4b DWA, it runs at 400MHz and achieves 75dB SNDR with 25MHz bandwidth.</t>
  </si>
  <si>
    <t xml:space="preserve">H. Zhang, Y. Zhu, C-H. Chan, R. Martins</t>
  </si>
  <si>
    <t xml:space="preserve">10.1109/ISSCC42613.2021.9365833</t>
  </si>
  <si>
    <t xml:space="preserve">SAR, SDSC, BP</t>
  </si>
  <si>
    <t xml:space="preserve">A 79dB-SNDR 167dB-FoM Bandpass ΔΣ ADC Combining N-Path Filter with Noise-Shaping SAR</t>
  </si>
  <si>
    <t xml:space="preserve">In Paper 27.7, Peking University and the University of Texas at Austin present an open-loop bandpass ΔΣ modulator that combines an N-path filter with a noise-shaping SAR ADC. This work achieves 78.7dB SNDR and a 167.1dB Schreier FoM.</t>
  </si>
  <si>
    <t xml:space="preserve">L. Shen, Z. Gao, X. Yang, W. Shi, N. Sun</t>
  </si>
  <si>
    <t xml:space="preserve">10.1109/ISSCC42613.2021.9365962</t>
  </si>
  <si>
    <t xml:space="preserve">Bandpass, IF=56.3MHz</t>
  </si>
  <si>
    <t xml:space="preserve">A Distortion-Free VCO-Based Sensor-to-Digital Front-End Achieving 178.9dB FoM and 128dB SFDR with a Calibration-Free Differential Pulse-Code Modulation Technique</t>
  </si>
  <si>
    <t xml:space="preserve">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</si>
  <si>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 xml:space="preserve">Jiannan Huang, Patrick P. Mercier</t>
  </si>
  <si>
    <t xml:space="preserve">10.1109/ISSCC42613.2021.9365950</t>
  </si>
  <si>
    <t xml:space="preserve">AFE</t>
  </si>
  <si>
    <t xml:space="preserve">A 400mVpp 92.3dB-SNDR 1kHz-BW 2nd-Order VCO-Based ExG-to-Digital Front-End Using a Multiphase Gated-Inverted Ring-Oscillator Quantizer</t>
  </si>
  <si>
    <t xml:space="preserve">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</si>
  <si>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 xml:space="preserve">Corentin Pochet, Jiannan Huang, Patrick P. Mercier, Drew A. Hall</t>
  </si>
  <si>
    <t xml:space="preserve">10.1109/ISSCC42613.2021.9365985</t>
  </si>
  <si>
    <t xml:space="preserve">SDCT, Ext. Counting</t>
  </si>
  <si>
    <t xml:space="preserve">A 0.00378mm² Scalable Neural Recording Front-End for Fully Immersible Neural Probes Based on a Two-Step Incremental Delta-Sigma Converter with Extended Counting and Hardware Reuse</t>
  </si>
  <si>
    <t xml:space="preserve">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</si>
  <si>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 xml:space="preserve">Daniel Wendler, Daniel De Dorigo, Mohammad Amayreh, Alexander Bleitner, Maximilian Marx, Yiannos Manoli</t>
  </si>
  <si>
    <t xml:space="preserve">10.1109/ISSCC42613.2021.9366015</t>
  </si>
  <si>
    <t xml:space="preserve">Multi-Modal Peripheral Nerve Active Probe and Microstimulator with On-Chip Dual-Coil Power/Data Transmission and 64 2nd-Order Opamp-Less ΔΣ ADCs </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</si>
  <si>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</si>
  <si>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 xml:space="preserve">Maged ElAnsary, Jianxiong Xu, José Sales Filho, Gairik Dutta, Liam Long, Aly Shoukry, Camilo Tejeiro, Chenxi Tang, Enver Kilinc, Jaimin Joshi, Parisa Sabetian, Samantha Unger, José Zariffa, Paul Yoo, Roman Genov</t>
  </si>
  <si>
    <t xml:space="preserve">10.1109/ISSCC42613.2021.9365856</t>
  </si>
  <si>
    <t xml:space="preserve">A 1.41pJ/b 224Gb/s PAM-4 SerDes Receiver with 31dB Loss Compensation</t>
  </si>
  <si>
    <t xml:space="preserve">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</si>
  <si>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 xml:space="preserve">Y. Segal, A. Laufer, A. Khairi, Y. Krupnik, M. Cusmai, I. Levin, A. Gordon, Y. Sabag, V. Rahinski, G. Ori, N. Familia, S. Litski, T. Warshavsky, U. Virobnik, Y. Horwitz, A. Balankutty, S. Kiran, S. Palermo, P. M. Li, A. Cohen</t>
  </si>
  <si>
    <t xml:space="preserve">10.1109/ISSCC42614.2022.9731794</t>
  </si>
  <si>
    <t xml:space="preserve">Power w/o clock distribution, ENOB from slides, fin_hf is guess</t>
  </si>
  <si>
    <t xml:space="preserve">Time-based</t>
  </si>
  <si>
    <r>
      <rPr>
        <sz val="10"/>
        <rFont val="Arial"/>
        <family val="2"/>
        <charset val="1"/>
      </rPr>
      <t xml:space="preserve">A 10GS/s 8b 25fJ/c-s 2850um</t>
    </r>
    <r>
      <rPr>
        <vertAlign val="superscript"/>
        <sz val="10"/>
        <rFont val="Arial"/>
        <family val="2"/>
        <charset val="1"/>
      </rPr>
      <t xml:space="preserve">2</t>
    </r>
    <r>
      <rPr>
        <sz val="10"/>
        <rFont val="Arial"/>
        <family val="2"/>
        <charset val="1"/>
      </rPr>
      <t xml:space="preserve"> Two-Step Time-domain ADC Using Delay-Tracking Pipelined-SAR TDC with 500fs Time Step in 14nm CMOS Technology</t>
    </r>
  </si>
  <si>
    <t xml:space="preserve">In Paper 10.1, the University of Southern California presents a 10GS/s two-step time-domain ADC, using a delay-tracking pipelined-SAR TDC. The 8b converter reaches a Walden FoM of 25fJ/c, in a very small area of only 2850m2 in 14nm CMOS.</t>
  </si>
  <si>
    <t xml:space="preserve">J. Liu, M. Hassanpourghadi, M. S-W. Chen</t>
  </si>
  <si>
    <t xml:space="preserve">10.1109/ISSCC42614.2022.9731625</t>
  </si>
  <si>
    <t xml:space="preserve">Non-TI data point</t>
  </si>
  <si>
    <t xml:space="preserve">A 0.82mW 14b 130MS/s Pipelined-SAR ADC with a Distributed Averaging Correlated Level Shifting (DACLS) Ringamp and Bypass-Window Backend</t>
  </si>
  <si>
    <t xml:space="preserve">In Paper 10.2, National Cheng Kung University describes a 14b, 130MS/s pipelined-SAR ADC with a distributed averaging correlated level shifting ring amplifier. Consuming only 0.82mW at 130MS/s, the ADC achieves 72.5dB SNDR, yielding a FoMW and FoMS of 1.8fJ/c and 81.5dB, respectively.</t>
  </si>
  <si>
    <t xml:space="preserve">J-C. Wang, T-H. Kuo</t>
  </si>
  <si>
    <t xml:space="preserve">10.1109/ISSCC42614.2022.9731546</t>
  </si>
  <si>
    <t xml:space="preserve">A 0.004mm2 200MS/s Pipelined SAR ADC with kT/C Noise Cancellation and Robust Ring-Amp</t>
  </si>
  <si>
    <t xml:space="preserve">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</si>
  <si>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 xml:space="preserve">M. Zhan, L. Jie, X. Tang, N. Sun</t>
  </si>
  <si>
    <t xml:space="preserve">10.1109/ISSCC42614.2022.9731599</t>
  </si>
  <si>
    <t xml:space="preserve">A 0.97mW 260MS/s 12b Pipelined-SAR ADC with Ring-TDC-Based Fine Quantizer for PVT Robust Automatic Cross-Domain Scale Alignment</t>
  </si>
  <si>
    <t xml:space="preserve">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</si>
  <si>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 xml:space="preserve">H. Zhao, F. F. Dai</t>
  </si>
  <si>
    <t xml:space="preserve">10.1109/ISSCC42614.2022.9731702</t>
  </si>
  <si>
    <t xml:space="preserve">A 24b 2MS/s SAR ADC with 0.03ppm INL and 106.3dB DR in 180nm CMOS</t>
  </si>
  <si>
    <t xml:space="preserve">In Paper 10.5, Analog Devices presents a high-precision SAR ADC with zero-order mismatch shaping, that makes linearity independent of capacitor matching. Made in a 180nm process, the 24b, 2MS/s precision SAR ADC reaches 0.03ppm INL and 106dB dynamic range.</t>
  </si>
  <si>
    <t xml:space="preserve">J. Steensgaard, R. Reay, R. Perry, D. Thomas, G. Tu, G. Reitsma</t>
  </si>
  <si>
    <t xml:space="preserve">10.1109/ISSCC42614.2022.9731652</t>
  </si>
  <si>
    <t xml:space="preserve">Using core power only</t>
  </si>
  <si>
    <t xml:space="preserve">A 4.96μW 15b Self-Timed Dynamic-Amplifier-Based Incremental Zoom ADC</t>
  </si>
  <si>
    <t xml:space="preserve">In Paper 10.6, Zhejiang University and Peking University describe a very efficient 15b self-timed incremental zoom ADC in 55nm CMOS, for IoT applications. The design, which consumes only 5uW from a 1V supply, reaches 50.2fJ/c FoMW and 177.3dB FoMS.</t>
  </si>
  <si>
    <t xml:space="preserve">Y. Liu, M. Zhao, Y. Zhao, X. Yu, N. N. Tan, L. Ye, Z. Tan</t>
  </si>
  <si>
    <t xml:space="preserve">10.1109/ISSCC42614.2022.9731631</t>
  </si>
  <si>
    <t xml:space="preserve">A 0.014mm2 10kHz-BW Zoom-Incremental-Counting ADC Achieving 103dB SNDR and 100dB Full-Scale CMRR</t>
  </si>
  <si>
    <t xml:space="preserve">In Paper 10.7, Tsinghua University and Peking University present a zoom-incremental-counting ADC with a 10kHz bandwidth. Made in a 28nm CMOS process, the design achieves 103dB SNDR and 100dB full-scale CMRR in only 0.014mm2.</t>
  </si>
  <si>
    <t xml:space="preserve">L. Jie, M. Zhan, X. Tang, N. Sun</t>
  </si>
  <si>
    <t xml:space="preserve">10.1109/ISSCC42614.2022.9731742</t>
  </si>
  <si>
    <t xml:space="preserve">A 4.4μW 2.5kHz-BW 92.1dB-SNDR 3rd-Order VCO-Based ADC with Pseudo Virtual Ground Feedforward Linearization</t>
  </si>
  <si>
    <t xml:space="preserve">In Paper 25.1, UCSD describes an ADC which consumes 4.4μW from a 0.8V supply achieving a 92.1dB SNDR and 123.2dB SFDR over a 2.5kHz bandwidth. The pseudo virtual ground is exploited in a capacitively coupled VCO-based ADC to linearize and stabilize the system.</t>
  </si>
  <si>
    <t xml:space="preserve">C. Pochet, D. Hall</t>
  </si>
  <si>
    <t xml:space="preserve">10.1109/ISSCC42614.2022.9731549</t>
  </si>
  <si>
    <t xml:space="preserve">SDDT</t>
  </si>
  <si>
    <t xml:space="preserve">A 2.87μW 1kHz-BW 94.0dB-SNDR 2-0 MASH ADC using FIA with Dynamic-Body-Biasing Assisted CLS Technique</t>
  </si>
  <si>
    <t xml:space="preserve">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</si>
  <si>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 xml:space="preserve">Y. Hu, Y. Zhao, W. Qu, L. Ye, M. Zhao, Z. Tan</t>
  </si>
  <si>
    <t xml:space="preserve">10.1109/ISSCC42614.2022.9731544</t>
  </si>
  <si>
    <t xml:space="preserve">A 0.0375mm2 203.5μW 108.8dB DR DT Single-Loop DSM Audio ADC Using a Single- Ended Ring-Amplifier-Based Integrator in 180nm CMOS</t>
  </si>
  <si>
    <t xml:space="preserve">In Paper 25.3, Oregon State University shows a compact (0.0375mm2), low-power (203.5uW), high-resolution (108.8dB DR) 180nm DT DSM audio ADC. The design uses the pseudo-pseudo-differential switched capacitor technique, which utilizes single-ended circuits.</t>
  </si>
  <si>
    <t xml:space="preserve">C. Y. Lee, U-K. Moon</t>
  </si>
  <si>
    <t xml:space="preserve">10.1109/ISSCC42614.2022.9731606</t>
  </si>
  <si>
    <t xml:space="preserve">A 5GS/s 360MHz-BW 68dB-DR Continuous-Time 1-1-1 Filtering MASH ΔΣ ADC in 40nm CMOS</t>
  </si>
  <si>
    <t xml:space="preserve">In Paper 25.4, Eindhoven University of Technology presents a 5GS/s, CT MASH ADC achieving 68dB DR in 360MHz BW. It achieves 5dB higher FOMs and 2× lower FOMw, while occupying smaller area, in comparison to the state-of-the-art broadband CT ADCs.</t>
  </si>
  <si>
    <t xml:space="preserve">Q. Liu, L. Breems, C. Zhang, S. Bajoria, M. Bolatkale, R. Rutten, G. Radulov</t>
  </si>
  <si>
    <t xml:space="preserve">10.1109/ISSCC42614.2022.9731789</t>
  </si>
  <si>
    <t xml:space="preserve">A 28nm 6GHz 2b Continuous-Time ΔΣ ADC with -101dBc THD and 120MHz Bandwidth Using Digital DAC Error Correction</t>
  </si>
  <si>
    <t xml:space="preserve">In Paper 25.5, NXP semiconductors introduces a CTΔΣ ADC achieving -101dBc THD and -105dBc IM3 with 120MHz bandwidth. The offset calibration and digital DAC error correction circuitries are implemented on-chip and do not require any external test/calibration signal.</t>
  </si>
  <si>
    <t xml:space="preserve">M. Bolatkale, R. Rutten, H. Brekelmans, S. Bajoria, Y. Gao, B. Burdiek, L. Breems</t>
  </si>
  <si>
    <t xml:space="preserve">10.1109/ISSCC42614.2022.9731602</t>
  </si>
  <si>
    <t xml:space="preserve">Cannot compute FOM (no noise data)</t>
  </si>
  <si>
    <t xml:space="preserve">An 84dB-SNDR Low-OSR 4th-Order Noise-Shaping SAR with an FIA-Assisted EF-CRFF Structure and Noise-Mitigated Push-Pull Buffer-in-Loop Technique</t>
  </si>
  <si>
    <t xml:space="preserve">In Paper 25.6, Georgia Institute of Technology describes a 4th-order NS-SAR featuring a low OSR design and built-in buffering. The prototype in 65nm achieves 84.1dB SNDR with 500kHz BW (OSR=5) and 133.8uW (with input buffer).</t>
  </si>
  <si>
    <t xml:space="preserve">T. Wang, T. Xie, Z. Liu, S. Li</t>
  </si>
  <si>
    <t xml:space="preserve">10.1109/ISSCC42614.2022.9731771</t>
  </si>
  <si>
    <t xml:space="preserve">Numbers w/ buffer</t>
  </si>
  <si>
    <t xml:space="preserve">SAR, Single-slope</t>
  </si>
  <si>
    <t xml:space="preserve">A Pitch-Matched ASIC with Integrated 65V TX and Shared Hybrid Beamforming ADC for Catheter-Based High-Frame-Rate 3D Ultrasound Probes</t>
  </si>
  <si>
    <t xml:space="preserve">In Paper 32.2, TU Delft presents an ASIC for catheter-based high-frame-rate 3D ultrasound probes. The ASIC integrates an analog front-end, μ-beamformer, ADC and a datalink that processes 1000vol/s, while consuming 1.23mW RX power.</t>
  </si>
  <si>
    <t xml:space="preserve">Y. Hopf, B. Ossenkoppele, M. Soozande, E. Noothout, Z-Y. Chang, C. Chen, H. Vos, H. Bosch, M. Verweij, N. de Jong, M. Pertijs</t>
  </si>
  <si>
    <t xml:space="preserve">10.1109/ISSCC42614.2022.9731597</t>
  </si>
  <si>
    <t xml:space="preserve">A Multimode 157μW 4-Channel 80dBA-SNDR Speech-Recognition Frontend With Self-DOA Correction Adaptive Beamformer</t>
  </si>
  <si>
    <t xml:space="preserve">In Paper 32.5, University of Michigan at Ann Arbor introduces a 4-channel speech-recognition front-end with a self-Direction-of-Arrival correction adaptive beamformer that mitigates distortion. The chip consumes 157μW while achieving 80 dBA SNDR.</t>
  </si>
  <si>
    <t xml:space="preserve">T. Kang, S. Lee, S. Song, M. R. Haghighat, M. P. Flynn</t>
  </si>
  <si>
    <t xml:space="preserve">10.1109/ISSCC42614.2022.9731571</t>
  </si>
  <si>
    <t xml:space="preserve">High-performance mode</t>
  </si>
  <si>
    <t xml:space="preserve">A 1.8-GHz 12-bit Pre-Sampling pipelined ADC with the reference buffer and OP power relaxations</t>
  </si>
  <si>
    <t xml:space="preserve">In Paper 10.1, MediaTek presents a 2× time-interleaved 12b ADC leveraging a pre-sampling technique with robust PVT radix utilizing residue voltage stacking. This chip achieves 60dB SNDR in 800MHz BW in 7nm CMOS with 7.55mW power consumption.</t>
  </si>
  <si>
    <t xml:space="preserve">Sung-En Hsieh, Tzu-Chien Wu, Chun-Chih Hou</t>
  </si>
  <si>
    <t xml:space="preserve">10.1109/ISSCC42615.2023.10067258</t>
  </si>
  <si>
    <t xml:space="preserve">Power includes reference buffer</t>
  </si>
  <si>
    <t xml:space="preserve">Pipe, Time-based</t>
  </si>
  <si>
    <t xml:space="preserve">A Single-Channel 2.6GS/s 10b Dynamic Pipelined ADC with Time-Assisted Residue Generation Scheme Achieving Intrinsic PVT Robustness</t>
  </si>
  <si>
    <t xml:space="preserve">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</si>
  <si>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 xml:space="preserve">Junyan Hao, Minglei Zhang, Yanbo Zhang, Shubin Liu, Zhangming Zhu, Yan Zhu, Chi-Hang Chan, R.P. Martins</t>
  </si>
  <si>
    <t xml:space="preserve">10.1109/ISSCC42615.2023.10067822</t>
  </si>
  <si>
    <t xml:space="preserve">A Single-Channel 12b 2GS/s PVT-Robust Pipelined ADC with Ringingless Ring Amplifier and Time-Domain Quantizer</t>
  </si>
  <si>
    <t xml:space="preserve">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</si>
  <si>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 xml:space="preserve">Yuefeng Cao, Minglei Zhang, Yan Zhu, Chi-Hang Chan, R. P. Martins</t>
  </si>
  <si>
    <t xml:space="preserve">10.1109/ISSCC42615.2023.10067687</t>
  </si>
  <si>
    <t xml:space="preserve">A Rail-to-Rail 12MS/s 91.3dB SNDR 94.1dB DR Two-Step SAR ADC with Integrated Input Buffer Using Predictive Level-Shifting</t>
  </si>
  <si>
    <t xml:space="preserve">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</si>
  <si>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 xml:space="preserve">Manxin Li, Calvin Yoji Lee, Ahmed ElShater, Yuichi Miyahara, Kazuki Sobue, Koji Tomioka, Un-Ku Moon</t>
  </si>
  <si>
    <t xml:space="preserve">10.1109/ISSCC42615.2023.10067703</t>
  </si>
  <si>
    <t xml:space="preserve">Power excludes predictor and input buffer</t>
  </si>
  <si>
    <t xml:space="preserve">A 25MHz-BW 77.2dB-SNDR 2nd-Order Gain Error Shaping and NS Pipelined SAR ADC Based on Quantization-Prediction-Unrolled Scheme</t>
  </si>
  <si>
    <t xml:space="preserve">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</si>
  <si>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 xml:space="preserve">Hongshuai Zhang, Yan Zhu, Chi-Hang Chan, R. P. Martins</t>
  </si>
  <si>
    <t xml:space="preserve">10.1109/ISSCC42615.2023.10067438</t>
  </si>
  <si>
    <t xml:space="preserve">Incremental</t>
  </si>
  <si>
    <t xml:space="preserve">A 150kHz-BW 15-ENOB Incremental Zoom ADC with Skipped Sampling and Single Buffer Embedded Noise-Shaping SAR Quantizer</t>
  </si>
  <si>
    <t xml:space="preserve">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</si>
  <si>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 xml:space="preserve">Zongnan Wang, Lu Jie, Zichen Kong, Mingtao Zhan, Yi Zhong, Yuan Wang, Xiyuan Tang</t>
  </si>
  <si>
    <t xml:space="preserve">10.1109/ISSCC42615.2023.10067696</t>
  </si>
  <si>
    <t xml:space="preserve">A Single-channel 70dB-SNDR 100MHz-BW 4th-Order Noise-Shaping Pipeline SAR ADC with Residue Amplifier Error Shaping</t>
  </si>
  <si>
    <t xml:space="preserve">In Paper 10.7, University of Macau reveals a 100MHz 4th-order noise-shaping hybrid pipelined-SAR with residue amplifier error shaping robust across voltage and temperature variations. This work obtains 70dB SNDR and 90dB SFDR with 4.5mW power consumption in 28nm CMOS.</t>
  </si>
  <si>
    <t xml:space="preserve">Yanbo Zhang, Junyan Hao, Shubin Liu, Zhangming Zhu, Yan Zhu, Chi-hang Chan, R. P. Martins</t>
  </si>
  <si>
    <t xml:space="preserve">A 2×-Interleaved 9b 2.8GS/s 5b/cycle SAR ADC with Linearized Configurable V2T Buffer Achieving &gt;50dB SNDR at 3GHz Input</t>
  </si>
  <si>
    <t xml:space="preserve">In Paper 17.1, University of Macau describes a 2× interleaved 9b 2.8GS/s 5b/cycle SAR ADC. The ADC shows a 51.8dB SNDR and 72.4dB SFDR with a Nyquist input. The achieved Walden FoM is 20.3fJ/conv.-step and the Schreier FoM is 160.7dB.</t>
  </si>
  <si>
    <t xml:space="preserve">Hongzhi Zhao, Minglei Zhang, Yan Zhu, Chi-Hang Chan, R. P. Martins</t>
  </si>
  <si>
    <t xml:space="preserve">10.1109/ISSCC42615.2023.10067627</t>
  </si>
  <si>
    <t xml:space="preserve">An 8b 1.0-to-1.25GS/s 0.7-to-0.8V Single-Stage Time-Based Gated-Ring-Oscillator ADC with 2X‑ Interpolating Sense-Amplifier-Latches</t>
  </si>
  <si>
    <t xml:space="preserve">In Paper 17.2, IBM Zurich Research Laboratory presents an 8b time-domain ADC designed in 5nm process that achieves 16.6fJ/conv.-step Walden FoM with 313μm2 area. The digitally intensive architecture runs at 1.25GS/s with 0.8V supply and at 1GS/s with 0.7V supply.</t>
  </si>
  <si>
    <t xml:space="preserve">Serdar Abdullah Yonar, Pier Andrea Francese, Matthias Brändli, Marcel Kossel, Mridula Prathapan, Thomas Morf, Andrea Ruffino,
Taekwang Jang</t>
  </si>
  <si>
    <t xml:space="preserve">10.1109/ISSCC42615.2023.10067745</t>
  </si>
  <si>
    <t xml:space="preserve">Data for 1.25 GS/s</t>
  </si>
  <si>
    <t xml:space="preserve">A 750mW 24GS/s 12-bit Time Interleaved ADC for Direct RF Sampling in Modern Wireless Systems</t>
  </si>
  <si>
    <t xml:space="preserve">In Paper 17.4, Socionext Europe GmBH presents a 24GS/s 12b time-interleaved ADC for direct RF sampling in a 7nm process. It achieves 7.2GHz bandwidth, 76dB SFDR and -147.5dBFS/Hz NSD in 750mW with an area of 0.9mm2.</t>
  </si>
  <si>
    <t xml:space="preserve">Sandeep Santhosh Kumar, Masahiro Kudo, Vlad Cretu, Antoine Morineau, Atsushi Matsuda, Minori Yoshida, Masazumi Marutani, Aadil
Hussain Maniyar, Jay Kumar</t>
  </si>
  <si>
    <t xml:space="preserve">10.1109/ISSCC42615.2023.10067793</t>
  </si>
  <si>
    <t xml:space="preserve">A 10mW 10-ENoB 1GS/s Ring-Amp-Based Pipelined TI-SAR ADC with Split MDAC and Switched Reference Decoupling Capacitor</t>
  </si>
  <si>
    <t xml:space="preserve">In Paper 17.5, Tsinghua University introduces a 1GS/s ring-amp-based time-interleaved pipelined SAR ADC that achieves 10
ENOB. Total power of 10mW including the reference buffer results in a Schreier FoM of 169.2dB.</t>
  </si>
  <si>
    <t xml:space="preserve">Mingtao Zhan, Lu Jie, Nan Sun</t>
  </si>
  <si>
    <t xml:space="preserve">10.1109/ISSCC42615.2023.10067475</t>
  </si>
  <si>
    <t xml:space="preserve">A 7b 4.5GS/s 4× Interleaved SAR ADC with Fully On-Chip Background Timing Skew Calibration</t>
  </si>
  <si>
    <t xml:space="preserve">In Paper 17.6, National Cheng Kung University describes a 7b 4.5GS/s 4× interleaved SAR ADC with fully on-chip background timing skew calibration. The ADC achieves 6.31 ENOB in 6.56mW and a Walden FoM of 18.5fJ/conv.-step.</t>
  </si>
  <si>
    <t xml:space="preserve">Yi-Hu Wang, Soon-Jyh Chang</t>
  </si>
  <si>
    <t xml:space="preserve">10.1109/ISSCC42615.2023.10067573</t>
  </si>
  <si>
    <t xml:space="preserve">Subranging</t>
  </si>
  <si>
    <t xml:space="preserve">A 3-mW 2.7-GS/s 8b Subranging ADC with Multiple-Reference-Embedded Comparators</t>
  </si>
  <si>
    <t xml:space="preserve">In Paper 17.7, National Cheng Kung University presents a 2.7GS/s 8b sub-ranging ADC with multiple-reference-embedded comparators. It achieves 45.9dB SNDR in 3mW resulting in a 6.9fJ/conv.-step Walden FoM.</t>
  </si>
  <si>
    <t xml:space="preserve">Jia-Ching Wang, Tai-Haur Kuo</t>
  </si>
  <si>
    <t xml:space="preserve">10.1109/ISSCC42615.2023.10067498</t>
  </si>
  <si>
    <t xml:space="preserve">A Single-Channel 10GS/s  8b &gt;36.4dB SNDR Time-Domain ADC Featuring Loop-Unrolled Asynchronous Successive Approximation in 28nm CMOS</t>
  </si>
  <si>
    <t xml:space="preserve">In Paper 17.8, Nanyang Technological University presents a single-channel 10GS/s 8b time-domain ADC. The prototype achieves 36.4dB SNDR, 58.9fJ/conv.-step Walden FoM and a 0.009mm2 active area.</t>
  </si>
  <si>
    <t xml:space="preserve">Qian Chen, Yuan Liang, Chirn Chye Boon, Qing Liu</t>
  </si>
  <si>
    <t xml:space="preserve">10.1109/ISSCC42615.2023.10067397</t>
  </si>
  <si>
    <t xml:space="preserve">Time-based, TI</t>
  </si>
  <si>
    <t xml:space="preserve">A 128Gb/s 1.95pJ/b D-Band Receiver with Integrated PLL and ADC in 22nm FinFET</t>
  </si>
  <si>
    <t xml:space="preserve">In Paper 18.2, Intel features a D-band receiver with integrated low-noise quadrature PLL and energy-efficient high-speed time-interleaved ADC in 22nm FinFET. The complete receiver demonstrates a data-rate of 128Gb/s and energy efficiency of 1.95pJ/b.</t>
  </si>
  <si>
    <t xml:space="preserve">Abhishek Agrawal, Amy Whitcombe, Woorim Shin, Ritesh Bhat, Somnath Kundu, Peter Sagazio, Hariprasad Chandrakumar, Thomas Brown, Brent Carlton, Christopher Hull, Steven Callender, Stefano Pellerano</t>
  </si>
  <si>
    <t xml:space="preserve">10.1109/ISSCC42615.2023.10067439</t>
  </si>
  <si>
    <t xml:space="preserve">Power excl. input buffer &amp; cal.; area estimated from layout</t>
  </si>
  <si>
    <t xml:space="preserve">A 1V-Supply 1.85VPP-Input-Range 1kHz-BW 181.9dB-FOMDR 179.4dB-FOMSNDR 2nd-Order Noise-Shaping SARADC with Enhanced Input Impedance in 0.18μm CMOS</t>
  </si>
  <si>
    <t xml:space="preserve">In Paper 32.4, Daegu Gyeongbuk Institute of Science and Technology introduces a 2nd-order noise-shaping SAR-ADC with enhanced input impedance, 1kHz BW, and 181.9dB FOMDR, suitable for ExG recording in wearable applications.</t>
  </si>
  <si>
    <t xml:space="preserve">Geunha Kim, Sehwan Lee, Taeryoung Seol, Seungyeob Baik, Yeonjae Shin, Gain Kim, Jong-Hyeok Yoon, Arup K. George, Junghyup Lee</t>
  </si>
  <si>
    <t xml:space="preserve">10.1109/ISSCC42615.2023.10067844</t>
  </si>
  <si>
    <t xml:space="preserve">Enhanced input impdedance</t>
  </si>
  <si>
    <t xml:space="preserve">Fascicle-Selective Bidirectional Peripheral Nerve Interface IC with 173dB FOM Noise-Shaping SAR ADCs and 1.38pJ/b Frequency-Multiplying Current-Ripple Radio Transmitter</t>
  </si>
  <si>
    <t xml:space="preserve">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</si>
  <si>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 xml:space="preserve">Jianxiong Xu, José Sales Filho, Sudip Nag, Liam Long, Camilo Tejeiro, Eugene Hwang, Gerard O’Leary, Yu Huang, Mustafa Kanchwala, Mohammad Abdolrazzaghi, Chenxi Tang, Patty Liu, Yuan Sui, Xilin Liu, George Eleftheriades, José Zariffa, Roman Genov</t>
  </si>
  <si>
    <t xml:space="preserve">10.1109/ISSCC42615.2023.10067626</t>
  </si>
  <si>
    <t xml:space="preserve">1.2-V, 16-bit Audio A/D Converter With Suppressed Latch Error Noise</t>
  </si>
  <si>
    <t xml:space="preserve">We have improved the noise-shaping signal flow in order to solve the latch error problem at low voltage supply and have fabricated a 1.2-V, 16-bit swing-suppression A/D converter for audio. The converter achieves S/(N+THD) of 91.5 dB, DR of 94.0 dB, and low power consumption of 6.5 mW.</t>
  </si>
  <si>
    <t xml:space="preserve">Matsuya, Y.   Terada, J.  </t>
  </si>
  <si>
    <t xml:space="preserve">10.1109/VLSIC.1997.623781</t>
  </si>
  <si>
    <t xml:space="preserve">An 8-GSa/s 8-bit ADC System</t>
  </si>
  <si>
    <t xml:space="preserve">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</si>
  <si>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 xml:space="preserve">K. Poulton, K.L. Knudsen, J. Kerley, J. Kang, J. Tani, E. Cornish, M. VanGrouw</t>
  </si>
  <si>
    <t xml:space="preserve">10.1109/VLSIC.1997.623783</t>
  </si>
  <si>
    <t xml:space="preserve">Software calibration</t>
  </si>
  <si>
    <t xml:space="preserve">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</si>
  <si>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</si>
  <si>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 xml:space="preserve">A.M. Abo, P.R. Gray   </t>
  </si>
  <si>
    <t xml:space="preserve">10.1109/VLSIC.1998.688071</t>
  </si>
  <si>
    <t xml:space="preserve">Two-Step, Pipe</t>
  </si>
  <si>
    <t xml:space="preserve">0.25 BiCMOS</t>
  </si>
  <si>
    <t xml:space="preserve">A 2.5 V 100 MS/s 8 bit ADC using pre-linearization input buffer andlevel up DAC/subtractor</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</si>
  <si>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</si>
  <si>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Sugawara, M.   Yoshida, H.   Mitsuishi, M.   Nakamura, S.   Nakaigawa, S.   Kunisaki, Y.   Suzuki, H.   </t>
  </si>
  <si>
    <t xml:space="preserve">10.1109/VLSIC.1998.688073</t>
  </si>
  <si>
    <t xml:space="preserve">0.5 SiGe</t>
  </si>
  <si>
    <t xml:space="preserve">A 4 GHz fourth-order SiGe HBT band pass ΔΣ modulator</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</si>
  <si>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</si>
  <si>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Weinan Gao   Cherry, J.A.   Snelgrove, W.M.   </t>
  </si>
  <si>
    <t xml:space="preserve">10.1109/VLSIC.1998.688074</t>
  </si>
  <si>
    <t xml:space="preserve">An 8 b 500 MS/s full Nyquist cascade A/D converter</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</si>
  <si>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</si>
  <si>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K. Irie, N. Kusayanagi, T. Kawachi, T. Nishibu, Y. Matsumori  </t>
  </si>
  <si>
    <t xml:space="preserve">10.1109/VLSIC.1999.797241</t>
  </si>
  <si>
    <t xml:space="preserve">A 1 V 6 b 50 MHz current-interpolating CMOS ADC</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</si>
  <si>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</si>
  <si>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Bang-Sup Song   Myung-Jun Choe   Rakers, P.   Gillig, S.   </t>
  </si>
  <si>
    <t xml:space="preserve">10.1109/VLSIC.1999.797242</t>
  </si>
  <si>
    <t xml:space="preserve">Pipe, Folding</t>
  </si>
  <si>
    <t xml:space="preserve">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</si>
  <si>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</si>
  <si>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 xml:space="preserve">Myung-Jun Choe   Bang-Sup Song   Bacrania, K.   </t>
  </si>
  <si>
    <t xml:space="preserve">10.1109/VLSIC.1999.797243</t>
  </si>
  <si>
    <t xml:space="preserve">A 50-mW 14-bit 2.5-MS/s Σ-Δ modulator in a 0.25 μm digital CMOS technology</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</si>
  <si>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</si>
  <si>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Balmelli, P.   Qiuting Huang   Piazza, F.   </t>
  </si>
  <si>
    <t xml:space="preserve">10.1109/VLSIC.2000.852873</t>
  </si>
  <si>
    <t xml:space="preserve">0.6 BiCMOS</t>
  </si>
  <si>
    <t xml:space="preserve">A 12 b 105 Msample/s, 850 mW analog to digital converter</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</si>
  <si>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</si>
  <si>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Michalski, C. </t>
  </si>
  <si>
    <t xml:space="preserve">10.1109/VLSIC.2000.852892</t>
  </si>
  <si>
    <t xml:space="preserve">An 8-bit 125 MS/s CMOS folding ADC for Gigabit Ethernet LSI</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</si>
  <si>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</si>
  <si>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Kwangho Yoon   Jeongho Lee   Deog-Kyoon Jeong   Wonchan Kim   </t>
  </si>
  <si>
    <t xml:space="preserve">10.1109/VLSIC.2000.852893</t>
  </si>
  <si>
    <t xml:space="preserve">An 8-bit 30 MS/s 18 mW ADC with 1.8 V single power supply</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</si>
  <si>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</si>
  <si>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Sigenobu, T.   Ito, M.   Miki, T.   </t>
  </si>
  <si>
    <t xml:space="preserve">10.1109/VLSIC.2001.934241</t>
  </si>
  <si>
    <t xml:space="preserve">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</si>
  <si>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</si>
  <si>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 xml:space="preserve">Shabra, A.   Hae-Seung Lee   </t>
  </si>
  <si>
    <t xml:space="preserve">A 6bit 400Msps 70mW ADC using interpolated parallel scheme</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</si>
  <si>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</si>
  <si>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 xml:space="preserve">Ono, K.   Shimizu, H.   Ogawa, J.   Takeda, M.   Yano, M.   </t>
  </si>
  <si>
    <t xml:space="preserve">10.1109/VLSIC.2002.1015116</t>
  </si>
  <si>
    <t xml:space="preserve">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</si>
  <si>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</si>
  <si>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 xml:space="preserve">Blum, A.S.   Engl, B.H.   Eichfeld, H.P.   Hagelauer, R.   Abidi, A.A.   </t>
  </si>
  <si>
    <t xml:space="preserve">10.1109/VLSIC.2002.1015117</t>
  </si>
  <si>
    <t xml:space="preserve">A 0.9 V 9 mW 1MSPS digitally calibrated ADC with 75 dB SFDR</t>
  </si>
  <si>
    <t xml:space="preserve">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</si>
  <si>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 xml:space="preserve">Dong-Young Chang; Gil-Cho Ahn; Un-Ku Moon;</t>
  </si>
  <si>
    <t xml:space="preserve">10.1109/VLSIC.2003.1221164</t>
  </si>
  <si>
    <t xml:space="preserve">Calibration</t>
  </si>
  <si>
    <t xml:space="preserve">A 1.8 V, 1 MS/s, 85 dB SNR 2+2 mash ΣΔ modulator with ±0.9 V reference voltage</t>
  </si>
  <si>
    <t xml:space="preserve">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</si>
  <si>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Kye-Shin Lee   Maloberti, F.  </t>
  </si>
  <si>
    <t xml:space="preserve">10.1109/VLSIC.2003.1221165</t>
  </si>
  <si>
    <t xml:space="preserve">A Fourth Order Continuous-Time Complex Sigma-Delta ADC for Low-IF GSM and EDGE Receivers</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</si>
  <si>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</si>
  <si>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 xml:space="preserve">Farzad Esfahani, Philipp Basedau, Roland Ryter, Rolf Becker</t>
  </si>
  <si>
    <t xml:space="preserve">10.1109/VLSIC.2003.1221166</t>
  </si>
  <si>
    <t xml:space="preserve">Cyclic</t>
  </si>
  <si>
    <t xml:space="preserve">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</si>
  <si>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</si>
  <si>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 xml:space="preserve">Hee-Cheol Choi   Seung-Bin You   Ho-Young Lee   Ho-Jin Park   Jae-Whui Kim   </t>
  </si>
  <si>
    <t xml:space="preserve">10.1109/VLSIC.2004.1346509</t>
  </si>
  <si>
    <t xml:space="preserve">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</si>
  <si>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</si>
  <si>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 xml:space="preserve">Jae Hoon Shim   Beomsup Kim   </t>
  </si>
  <si>
    <t xml:space="preserve">10.1109/VLSIC.2004.1346510</t>
  </si>
  <si>
    <t xml:space="preserve">GSM mode</t>
  </si>
  <si>
    <t xml:space="preserve">WCDMA mode</t>
  </si>
  <si>
    <t xml:space="preserve">A 12 bit Continuous-Time ΣΔ modulator with 400MHz clock and low jitter sensitivity in 0.13 µm CMOS</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</si>
  <si>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</si>
  <si>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 xml:space="preserve">Paton, S.   Di Giandomenic, A.   Hernandez, L.   Wiesbauer, A.   Potscher, T.   Clara, M.   </t>
  </si>
  <si>
    <t xml:space="preserve">10.1109/VLSIC.2004.1346511</t>
  </si>
  <si>
    <t xml:space="preserve">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</si>
  <si>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</si>
  <si>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 xml:space="preserve">Cheung, V.S.L.   Luong, H.C.   </t>
  </si>
  <si>
    <t xml:space="preserve">10.1109/VLSIC.2004.1346512</t>
  </si>
  <si>
    <t xml:space="preserve">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</si>
  <si>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</si>
  <si>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 xml:space="preserve">Paulus, C.   Bluthgen, H.-M.   Low, M.   Sicheneder, E.   Bruls, N.   Courtois, A.   Tiebout, M.   Thewes, R.   </t>
  </si>
  <si>
    <t xml:space="preserve">10.1109/VLSIC.2004.1346637</t>
  </si>
  <si>
    <t xml:space="preserve">SNDR, SNR not reported</t>
  </si>
  <si>
    <t xml:space="preserve">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</si>
  <si>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</si>
  <si>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Zheng-Yu Wang   Hui Pan   Chung-Ming Chang   Hai-Rong Yu   Chang, M.F.   </t>
  </si>
  <si>
    <t xml:space="preserve">10.1109/VLSIC.2004.1346638</t>
  </si>
  <si>
    <t xml:space="preserve">0.34 BiCMOS</t>
  </si>
  <si>
    <t xml:space="preserve">A highly integrated analog baseband transceiver featuring a 12-bit 180MSPS pipelined A/D converter for multi-channel wireless LAN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</si>
  <si>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</si>
  <si>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 xml:space="preserve">Gulati, K.   Munoz, C.   Seonghwan Cho   Manganaro, G.   Lugin, M.   Peng, M.   Pulincherry, A.   Jipeng Li   Bugeja, A.   Chandrakasan, A.   Shoemaker, D.   </t>
  </si>
  <si>
    <t xml:space="preserve">10.1109/VLSIC.2004.1346639</t>
  </si>
  <si>
    <t xml:space="preserve">Pipe, TI, SwOpAmp</t>
  </si>
  <si>
    <t xml:space="preserve">A 1.5-V 10-b 50 MS/s time-interleaved switched-opamp pipeline CMOS ADC with high energy efficiency</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</si>
  <si>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</si>
  <si>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B. Vaz, J. Goes, N. Paulino   </t>
  </si>
  <si>
    <t xml:space="preserve">10.1109/VLSIC.2004.1346640</t>
  </si>
  <si>
    <t xml:space="preserve">0.9V 12mW 2MSPS algorithmic ADC with 81dB SFDR</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</si>
  <si>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</si>
  <si>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 xml:space="preserve">J. Li, G.-C. Ahn, D.-Y. Chang, U.-K. Moon   </t>
  </si>
  <si>
    <t xml:space="preserve">10.1109/VLSIC.2004.1346641</t>
  </si>
  <si>
    <t xml:space="preserve">An energy-efficient analog front-end circuit for a sub-1V digital hearing aid chip</t>
  </si>
  <si>
    <t xml:space="preserve">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</si>
  <si>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 xml:space="preserve">S. Kim,  J.-Y. Lee, S.-J. Song, N. Cho, H.-J. Yoo  </t>
  </si>
  <si>
    <t xml:space="preserve">10.1109/VLSIC.2005.1469361</t>
  </si>
  <si>
    <t xml:space="preserve">Type 1</t>
  </si>
  <si>
    <t xml:space="preserve">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</si>
  <si>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</si>
  <si>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Libin Yao   Steyaert, M.   Sansen, W.   </t>
  </si>
  <si>
    <t xml:space="preserve">10.1109/VLSIC.2005.1469362</t>
  </si>
  <si>
    <t xml:space="preserve">On-line calibration and digital correction of multi-bit sigma-delta modulators</t>
  </si>
  <si>
    <t xml:space="preserve">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</si>
  <si>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</si>
  <si>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10.1109/VLSIC.2005.1469363</t>
  </si>
  <si>
    <t xml:space="preserve">Power not reported, cannot compute FOM</t>
  </si>
  <si>
    <t xml:space="preserve">A 6GS/s, 4-bit receiver analog-to-digital converter with embedded DFE</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</si>
  <si>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</si>
  <si>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 xml:space="preserve">Varzaghani, A.   Yang, C.-K.K.   </t>
  </si>
  <si>
    <t xml:space="preserve">10.1109/VLSIC.2005.1469396</t>
  </si>
  <si>
    <t xml:space="preserve">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</si>
  <si>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</si>
  <si>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Anderson, M.   Norling, K.   Dreyfert, A.   Yuan, J.   </t>
  </si>
  <si>
    <t xml:space="preserve">10.1109/VLSIC.2005.1469397</t>
  </si>
  <si>
    <t xml:space="preserve">A 14bit digitally self-calibrated pipelined ADC with adaptive bias optimization for arbitrary speeds up to 40MS/s</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</si>
  <si>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</si>
  <si>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 xml:space="preserve">Matsui, H.   Ueda, M.   Daito, M.   Iizuka, K.   </t>
  </si>
  <si>
    <t xml:space="preserve">10.1109/VLSIC.2005.1469398</t>
  </si>
  <si>
    <t xml:space="preserve">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</si>
  <si>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</si>
  <si>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 xml:space="preserve">J. Jarvinen, M. Saukoski, K. Halonen   </t>
  </si>
  <si>
    <t xml:space="preserve">10.1109/VLSIC.2006.1705305</t>
  </si>
  <si>
    <t xml:space="preserve">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</si>
  <si>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</si>
  <si>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M. Kim   P. Hanumolu   U.-K. Moon   </t>
  </si>
  <si>
    <t xml:space="preserve">10.1109/VLSIC.2006.1705306</t>
  </si>
  <si>
    <t xml:space="preserve">A 6-Bit 800-MS/s Pipelined A/D Converter with Open-Loop Amplifiers</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</si>
  <si>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</si>
  <si>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 xml:space="preserve">D.-L. Shen, T.-C. Lee   </t>
  </si>
  <si>
    <t xml:space="preserve">10.1109/VLSIC.2006.1705346</t>
  </si>
  <si>
    <t xml:space="preserve">Pipe, SwOpAmp</t>
  </si>
  <si>
    <t xml:space="preserve">A 1-V 100MS/s 8-bit CMOS Switched-Opamp Pipelined ADC Using Loading-Free Architecture</t>
  </si>
  <si>
    <t xml:space="preserve">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</si>
  <si>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 xml:space="preserve">Y. Wu, V. Cheung, H. Luong  </t>
  </si>
  <si>
    <t xml:space="preserve">10.1109/VLSIC.2006.1705347</t>
  </si>
  <si>
    <t xml:space="preserve">Double-sampling mode</t>
  </si>
  <si>
    <t xml:space="preserve">Quadrature mode</t>
  </si>
  <si>
    <t xml:space="preserve">A 7bit 800Msps 120mW Folding and Interpolation ADC Using a Mixed-Averaging Scheme</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</si>
  <si>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</si>
  <si>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K. Makigawa   K. Ono   T. Ohkawa   K. Matsuura   M. Segami   </t>
  </si>
  <si>
    <t xml:space="preserve">10.1109/VLSIC.2006.1705348</t>
  </si>
  <si>
    <t xml:space="preserve">A 500MS/s 5b ADC in 65nm CMOS</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</si>
  <si>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</si>
  <si>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 xml:space="preserve">B. Ginsburg, A. Chandrakasan </t>
  </si>
  <si>
    <t xml:space="preserve">10.1109/VLSIC.2006.1705349</t>
  </si>
  <si>
    <t xml:space="preserve">A 0.9V 92dB Double-Sampled Switched-RC SD Audio ADC</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</si>
  <si>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</si>
  <si>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M. Kim   G.-C. Ahn   P. Hanumolu   S.-H. Lee   S.-H. Kim   S.-B. You   J.-W. Kim   G. Temes   U.-K. Moon   </t>
  </si>
  <si>
    <t xml:space="preserve">10.1109/VLSIC.2006.1705359</t>
  </si>
  <si>
    <t xml:space="preserve">A 1.2V, 10.8mW, 500kHz Sigma-Delta Modulator with 84dB SNDR and 96dB SFDR</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</si>
  <si>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</si>
  <si>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C. Tsang   Y. Chiu   B. Nikolic   </t>
  </si>
  <si>
    <t xml:space="preserve">10.1109/VLSIC.2006.1705360</t>
  </si>
  <si>
    <t xml:space="preserve">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</si>
  <si>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</si>
  <si>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 xml:space="preserve">J. Paramesh   R. Bishop   K. Soumyanath   D. Allstot </t>
  </si>
  <si>
    <t xml:space="preserve">10.1109/VLSIC.2006.1705362</t>
  </si>
  <si>
    <t xml:space="preserve">InP HBT</t>
  </si>
  <si>
    <t xml:space="preserve">A 4GHz 4th-Order Passive LC Bandpass Delta-Sigma Modulator with IF at 1.4GHz</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</si>
  <si>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</si>
  <si>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 xml:space="preserve">L. Luh   J. Jensen   C.-M. Lin   C.-T. Tsen   D. Le   A. Cosand   S. Thomas   C. Fields   </t>
  </si>
  <si>
    <t xml:space="preserve">10.1109/VLSIC.2006.1705363</t>
  </si>
  <si>
    <t xml:space="preserve">A 1.35 GS/s, 10b, 175 mW Time-Interleaved AD Converter in 0.13μm CMOS</t>
  </si>
  <si>
    <t xml:space="preserve">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</si>
  <si>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 xml:space="preserve">Louwsma, S.M.; van Tuijl, E.J.M.; Vertregt, M.; Nauta, B.;</t>
  </si>
  <si>
    <t xml:space="preserve">10.1109/VLSIC.2007.4342766</t>
  </si>
  <si>
    <t xml:space="preserve">A 6-bit 3.5-GS/s 0.9-V 98-mW Flash ADC in 90nm CMOS</t>
  </si>
  <si>
    <t xml:space="preserve">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</si>
  <si>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 xml:space="preserve">Deguchi, K.; Suwa, N.; Ito, M.; Kumamoto, T.; Miki, T.;</t>
  </si>
  <si>
    <t xml:space="preserve">10.1109/VLSIC.2007.4342767</t>
  </si>
  <si>
    <t xml:space="preserve">7b 1.1GS/s Reconfigurable Time-Interleaved ADC in 90nm CMOS </t>
  </si>
  <si>
    <t xml:space="preserve">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</si>
  <si>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 xml:space="preserve">Cheng-Chung Hsu; Chen-Chih Huang; Ying-Hsi Lin; Chao-Cheng Lee; Soe, Z.; Aytur, T.; Ran-Hong Yan;</t>
  </si>
  <si>
    <t xml:space="preserve">10.1109/VLSIC.2007.4342768</t>
  </si>
  <si>
    <t xml:space="preserve">Pipe, Log</t>
  </si>
  <si>
    <t xml:space="preserve">A 2.5mW 80dB DR 36dB SNDR 22MS/s Logarithmic Pipeline ADC</t>
  </si>
  <si>
    <t xml:space="preserve">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</si>
  <si>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 xml:space="preserve">J. Lee, S. Park, J. Kang, J.-S. Seo, J. Anders and M. Flynn</t>
  </si>
  <si>
    <t xml:space="preserve">10.1109/VLSIC.2007.4342711</t>
  </si>
  <si>
    <t xml:space="preserve">A 14b Low-power Pipeline A/D Converter Using a Pre-charging Technique</t>
  </si>
  <si>
    <t xml:space="preserve">A pre-charging technique to improve the settling response of pipeline stages is demonstrated in a 14bit pipeline A/D converter (ADC). The prototype ADC fabricated in a 0.25um CMOS process consumes 102mW at 30MSample/s. Measured SNDR and SFDR are 70.7dB and 82.8dB, respectively.</t>
  </si>
  <si>
    <t xml:space="preserve">K. Honda, Z. Liu, M. Furuta and S. Kawahito</t>
  </si>
  <si>
    <t xml:space="preserve">10.1109/VLSIC.2007.4342712</t>
  </si>
  <si>
    <t xml:space="preserve">A 90nm CMOS 0.28mm² 1V 12b 40MS/s ADC with 0.39pJ/Conversion-Step</t>
  </si>
  <si>
    <t xml:space="preserve">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</si>
  <si>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 xml:space="preserve">K.-J. Lee, E.-S. Shin, H.-S. Yang, J.-H. Kim, P.-U. Ko, I.-R. Kim, S.-H. Lee, K.-H. Moon and J.-W. Kim</t>
  </si>
  <si>
    <t xml:space="preserve">10.1109/VLSIC.2007.4342713</t>
  </si>
  <si>
    <t xml:space="preserve">A 0.5V 8bit 10Msps Pipelined ADC in 90nm CMOS</t>
  </si>
  <si>
    <t xml:space="preserve">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</si>
  <si>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 xml:space="preserve">J. Shen and P. Kinget</t>
  </si>
  <si>
    <t xml:space="preserve">10.1109/VLSIC.2007.4342715</t>
  </si>
  <si>
    <t xml:space="preserve">A 1.2-V 77-dB 7.5-MHz Continuous-Time/Discrete-Time Cascaded ΣΔ Modulator</t>
  </si>
  <si>
    <t xml:space="preserve">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</si>
  <si>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 xml:space="preserve">S.D. Kulchycki, R. Trofin, K. Vleugels and B.A. Wooley</t>
  </si>
  <si>
    <t xml:space="preserve">10.1109/VLSIC.2007.4342733</t>
  </si>
  <si>
    <t xml:space="preserve">SDSC, Class-C</t>
  </si>
  <si>
    <t xml:space="preserve">A Low Power Sigma-Delta Modulator Using Class- C Inverter</t>
  </si>
  <si>
    <t xml:space="preserve">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</si>
  <si>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 xml:space="preserve">Y. Chae and G. Han</t>
  </si>
  <si>
    <t xml:space="preserve">10.1109/VLSIC.2007.4342734</t>
  </si>
  <si>
    <t xml:space="preserve">A Split 2-0 MASH with Dual Digital Error Correction</t>
  </si>
  <si>
    <t xml:space="preserve">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</si>
  <si>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 xml:space="preserve">Z. Zhang*, J. Steensgaard**, G.C. Temes* and J.-Y. Wu***</t>
  </si>
  <si>
    <t xml:space="preserve">10.1109/VLSIC.2007.4342735</t>
  </si>
  <si>
    <t xml:space="preserve">Ext. Counting</t>
  </si>
  <si>
    <t xml:space="preserve">A High-Resolution Low-Power Oversampling ADC with Extended-Range for Bio- Sensor Arrays</t>
  </si>
  <si>
    <t xml:space="preserve">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</si>
  <si>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r>
      <rPr>
        <sz val="10"/>
        <color rgb="FF000000"/>
        <rFont val="Arial"/>
        <family val="2"/>
        <charset val="1"/>
      </rPr>
      <t xml:space="preserve">A. Agah*</t>
    </r>
    <r>
      <rPr>
        <vertAlign val="superscript"/>
        <sz val="10"/>
        <color rgb="FF000000"/>
        <rFont val="Arial"/>
        <family val="2"/>
        <charset val="1"/>
      </rPr>
      <t xml:space="preserve">,</t>
    </r>
    <r>
      <rPr>
        <sz val="10"/>
        <color rgb="FF000000"/>
        <rFont val="Arial"/>
        <family val="2"/>
        <charset val="1"/>
      </rPr>
      <t xml:space="preserve">**, K. Vleugels***, P.B. Griffin*, M. Ronaghi**, J.D. Plummer* and B.A. Wooley*</t>
    </r>
  </si>
  <si>
    <t xml:space="preserve">10.1109/VLSIC.2007.4342736</t>
  </si>
  <si>
    <t xml:space="preserve">A 10-Bit 20MHz 38mW 950MHz CT ΣΔ ADC with a 5-Bit Noise-Shaping VCO-Based Quantizer and DEM Circuit in 0.13u CMOS</t>
  </si>
  <si>
    <t xml:space="preserve">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</si>
  <si>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 xml:space="preserve">M.Z. Straayer and M.H. Perrott</t>
  </si>
  <si>
    <t xml:space="preserve">10.1109/VLSIC.2007.4342737</t>
  </si>
  <si>
    <t xml:space="preserve">A 1.2V 30mW 8b 800MS/s Time-Interleaved ADC in 65nm CMOS</t>
  </si>
  <si>
    <t xml:space="preserve">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</si>
  <si>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 xml:space="preserve">W.-H. Tu, T.-H. Kang</t>
  </si>
  <si>
    <t xml:space="preserve">10.1109/VLSIC.2008.4585956</t>
  </si>
  <si>
    <t xml:space="preserve">A 1.2V 250mW 14b 100MS/s Digitally Calibrated Pipeline ADC in 90nm CMOS</t>
  </si>
  <si>
    <t xml:space="preserve">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</si>
  <si>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 xml:space="preserve">H. Van de Vel, B. Buter, H. van der Ploeg, M. Vertregt, G. Geelen, E. Paulus</t>
  </si>
  <si>
    <t xml:space="preserve">10.1109/VLSIC.2008.4585957</t>
  </si>
  <si>
    <t xml:space="preserve">A Low Power 6-bit Flash ADC with Reference Voltage and Common-Mode Calibration</t>
  </si>
  <si>
    <t xml:space="preserve">A low power 6-bit ADC that uses reference voltage and common-mode calibration to improve linearity and reduce power dissipation is presented. The ADC occupies 0.13mm² in 65nm CMOS. The ADC dissipates 4mW at 100MS/s and 12mW at 800MS/s from a 1.2V supply</t>
  </si>
  <si>
    <t xml:space="preserve">C.-Y. Chen, M. Le, K.Y. Kim</t>
  </si>
  <si>
    <t xml:space="preserve">10.1109/JSSC.2009.2014701</t>
  </si>
  <si>
    <t xml:space="preserve">A 7.6 mW 1.75 GS/s 5 Bit Flash A/D Converter In 90nm Digital CMOS</t>
  </si>
  <si>
    <t xml:space="preserve">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</si>
  <si>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 xml:space="preserve">B. Verbruggen, P. Wambacq, M. Kuijk*, G. Van der Plas</t>
  </si>
  <si>
    <t xml:space="preserve">10.1109/VLSIC.2008.4585933</t>
  </si>
  <si>
    <t xml:space="preserve">A 6-bit 5-GSample/s Nyquist A/D Converter in 65nm CMOS</t>
  </si>
  <si>
    <t xml:space="preserve">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</si>
  <si>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 xml:space="preserve">M. Choi, J. Lee, J. Lee, H. Son</t>
  </si>
  <si>
    <t xml:space="preserve">10.1109/VLSIC.2008.4585934</t>
  </si>
  <si>
    <t xml:space="preserve">A 10.3GS/s 6bit (5.1 ENOB at Nyquist) Time-Interleaved/Pipelined ADC Using Open-Loop Amplifiers and Digital Calibration in 90nm CMOS</t>
  </si>
  <si>
    <t xml:space="preserve">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</si>
  <si>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 xml:space="preserve">A. Nazemi, C. Grace, L. Lewyn, B. Kobeissy, O. Agazzi, P. Voois, C. Abidin, G. Eaton, M. Kargar, C. Marquez, S. Ramprasad, F. Bollo*, V. Posse, S. Wang, G. Asmanis</t>
  </si>
  <si>
    <t xml:space="preserve">10.1109/VLSIC.2008.4585935</t>
  </si>
  <si>
    <t xml:space="preserve">A 0.7-V 100-dB 870-μW Digital Audio Σ Δ Modulator</t>
  </si>
  <si>
    <t xml:space="preserve">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</si>
  <si>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 xml:space="preserve">H. Park, K. Nam, D. Su, K. Vleugels, B. Wooley</t>
  </si>
  <si>
    <t xml:space="preserve">10.1109/VLSIC.2008.4585997</t>
  </si>
  <si>
    <t xml:space="preserve">A 2.1mW/3.2mW Delay-Compensated GSM/WCDMA Σ Δ Analog-Digital Converter</t>
  </si>
  <si>
    <t xml:space="preserve">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</si>
  <si>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 xml:space="preserve">M. Vadipour, C. Chen, A. Yazdi, M. Nariman, T. Li, P. Kilcoyne, H. Darabi</t>
  </si>
  <si>
    <t xml:space="preserve">10.1109/VLSIC.2008.4585998</t>
  </si>
  <si>
    <t xml:space="preserve">A 14b 23MS/s 48mW Resetting Σ Δ ADC with 87dB SFDR 11.7b ENOB &amp; 0.5mm² Area</t>
  </si>
  <si>
    <t xml:space="preserve">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</si>
  <si>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 xml:space="preserve">C. Lee, M. Flynn</t>
  </si>
  <si>
    <t xml:space="preserve">10.1109/VLSIC.2008.4585999</t>
  </si>
  <si>
    <t xml:space="preserve">Data at fin=10MHz</t>
  </si>
  <si>
    <t xml:space="preserve">A 9.4-bit, 50-MS/s, 1.44-mW Pipelined ADC Using Dynamic Residue Amplification</t>
  </si>
  <si>
    <t xml:space="preserve">An ultra-low power pipelined ADC is realized by replacing conventional op-amp circuits with dynamic source-follower gain stages. The presented 90-nm CMOS converter operates at 50MS/s and achieves an SNDR of 49.4dB while dissipating 1.44mW from a 1.2-V supply</t>
  </si>
  <si>
    <t xml:space="preserve">J. Hu, N. Dolev, B. Murmann</t>
  </si>
  <si>
    <t xml:space="preserve">10.1109/VLSIC.2008.4586012</t>
  </si>
  <si>
    <t xml:space="preserve">A Fully-Differential Zero-Crossing-Based 1.2V 10b 26MS/s Pipelined ADC in 65nm CMOS</t>
  </si>
  <si>
    <t xml:space="preserve">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</si>
  <si>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 xml:space="preserve">S.-K. Shin, Y.-S. You, S.-H. Lee, K.-H. Moon, J.-W. Kim, L. Brooks*, H.-S. Lee</t>
  </si>
  <si>
    <t xml:space="preserve">10.1109/VLSIC.2008.4586013</t>
  </si>
  <si>
    <t xml:space="preserve">A 12b 50MS/s 10.2mA 0.18μm CMOS Nyquist ADC with a Fully Differential Class-AB Switched OP-AMP</t>
  </si>
  <si>
    <t xml:space="preserve">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</si>
  <si>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 xml:space="preserve">H.-C. Choi, Y.-J. Kim, M.-H. Lee, Y.-L. Kim, S.-H. Lee</t>
  </si>
  <si>
    <t xml:space="preserve">10.1109/VLSIC.2008.4586014</t>
  </si>
  <si>
    <t xml:space="preserve">A different use of the term "switched-opamp"</t>
  </si>
  <si>
    <t xml:space="preserve">A Process-Scalable Low-Power Charge-Domain 13-bit Pipeline ADC</t>
  </si>
  <si>
    <t xml:space="preserve">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</si>
  <si>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 xml:space="preserve">M. Anthony, E. Kohler, J. Kurtze, L. Kushner, G. Sollner, Kenet Inc.</t>
  </si>
  <si>
    <t xml:space="preserve">10.1109/VLSIC.2008.4586015</t>
  </si>
  <si>
    <t xml:space="preserve">A 5th-Order Delta-Sigma Modulator with Single-Opamp Resonator</t>
  </si>
  <si>
    <t xml:space="preserve">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</si>
  <si>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 xml:space="preserve">Kazuo Matsukawa, Yosuke Mitani, Masao Takayama, Koji Obata, Shiro Dosho and Akira Matsuzawa</t>
  </si>
  <si>
    <t xml:space="preserve">?</t>
  </si>
  <si>
    <t xml:space="preserve">https://ieeexplore.ieee.org/document/5205306</t>
  </si>
  <si>
    <t xml:space="preserve">A 500kHz-10MHz Multimode Power-Performance Scalable 83-to-67dB DR CTΔΣ in 90 nm Digital CMOS with Flexible Analog Core Circuitry </t>
  </si>
  <si>
    <t xml:space="preserve">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</si>
  <si>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 xml:space="preserve">Pieter Crombez, Geert Van der Plas, Michiel Steyaert and Jan Craninckx</t>
  </si>
  <si>
    <t xml:space="preserve">https://ieeexplore.ieee.org/document/5205307</t>
  </si>
  <si>
    <t xml:space="preserve">Technology portable, 0.04mm2, Ghz-rate ΔΣ modulators in 65nm and 45nm CMOS</t>
  </si>
  <si>
    <t xml:space="preserve">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</si>
  <si>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 xml:space="preserve">Robert H.M. van Veldhoven, Nicolo Nizza, Lucien J. Breems</t>
  </si>
  <si>
    <t xml:space="preserve">https://ieeexplore.ieee.org/document/5205308</t>
  </si>
  <si>
    <t xml:space="preserve">A 79dB 80MHz 8X-OSR Hybrid Delta-Sigma/Pipeline ADC</t>
  </si>
  <si>
    <t xml:space="preserve">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</si>
  <si>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 xml:space="preserve">O. Rajaee, T. Musah, S. Takeuchi, M. Aniya, K. Hamashita, P. Hanumolu, and U. Moon</t>
  </si>
  <si>
    <t xml:space="preserve">https://ieeexplore.ieee.org/document/5205309</t>
  </si>
  <si>
    <t xml:space="preserve">A 0.92mW 10-bit 50-MS/s SAR ADC in 0.13μm CMOS Process</t>
  </si>
  <si>
    <t xml:space="preserve">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</si>
  <si>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 xml:space="preserve">Chun-Cheng Liu, Soon-Jyh Chang, Guan-Ying Huang, Yin-Zu Lin</t>
  </si>
  <si>
    <t xml:space="preserve">https://ieeexplore.ieee.org/document/5205343</t>
  </si>
  <si>
    <t xml:space="preserve">A 6-bit 50-MS/s Threshold Configuring SAR ADC in 90-nm Digital CMOS</t>
  </si>
  <si>
    <t xml:space="preserve">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</si>
  <si>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 xml:space="preserve">Pierluigi Nuzzo, Claudio Nani, Costantino Armiento, Alberto Sangiovanni-Vincentelli, Jan Craninckx and Geert Van der Plas</t>
  </si>
  <si>
    <t xml:space="preserve">https://ieeexplore.ieee.org/document/5205344</t>
  </si>
  <si>
    <t xml:space="preserve">A 12b 11MS/s Successive Approximation ADC with two comparators in 0.13μm CMOS</t>
  </si>
  <si>
    <t xml:space="preserve">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</si>
  <si>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 xml:space="preserve">Joshua J. Kang and Michael P. Flynn</t>
  </si>
  <si>
    <t xml:space="preserve">https://ieeexplore.ieee.org/document/5205345</t>
  </si>
  <si>
    <t xml:space="preserve">A 1.3uW 0.6V 8.7-ENOB Successive Approximation ADC in a 0.18um CMOS</t>
  </si>
  <si>
    <t xml:space="preserve">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</si>
  <si>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 xml:space="preserve">Seon-Kyoo Lee, Seung-Jin Park, Yunjae Suh, Hong-June Park, and Jae-Yoon Sim</t>
  </si>
  <si>
    <t xml:space="preserve">https://ieeexplore.ieee.org/document/5205346</t>
  </si>
  <si>
    <t xml:space="preserve">A self-background calibrated 6b 2.7GS/s ADC with cascade-calibrated folding-interpolating architecture</t>
  </si>
  <si>
    <t xml:space="preserve">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</si>
  <si>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 xml:space="preserve">Nakajima, Yuji ; Sakaguchi, Akemi ; Ohkido, Toshio ; Matsumoto, Tetsuya ; Yotsuyanagi, Michio ; </t>
  </si>
  <si>
    <t xml:space="preserve">A 7.5-GS/s 3.8-ENOB 52-mW flash ADC with clock duty cycle control in 65nm CMOS</t>
  </si>
  <si>
    <t xml:space="preserve">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</si>
  <si>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 xml:space="preserve">Hayun Chung, Alexander Rylyakov, Zeynep Toprak Deniz, John Bulzacchelli, Gu-Yeon Wei, Daniel Friedman</t>
  </si>
  <si>
    <t xml:space="preserve">https://ieeexplore.ieee.org/document/5205316</t>
  </si>
  <si>
    <t xml:space="preserve">VCO, BP</t>
  </si>
  <si>
    <t xml:space="preserve">A 1.5-GHz 63dB SNR 20mW direct RF sampling bandpass VCO-based ADC in 65nm CMOS</t>
  </si>
  <si>
    <t xml:space="preserve">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</si>
  <si>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 xml:space="preserve">Yoon, Young-Gyu ; Cho, SeongHwan ;</t>
  </si>
  <si>
    <t xml:space="preserve">https://ieeexplore.ieee.org/document/5205317</t>
  </si>
  <si>
    <t xml:space="preserve">Data for 20MHz BW, power for SDC core only</t>
  </si>
  <si>
    <t xml:space="preserve">A dual-channel 10b 80MS/s pipeline ADC with 0.16mm² area in 65nm CMOS</t>
  </si>
  <si>
    <t xml:space="preserve">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</si>
  <si>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 xml:space="preserve">Yu, Xinyu ; Lin, Fang ; Li, Kevin ; Ranganathan, Sumant ; Kwan, Tom ; </t>
  </si>
  <si>
    <t xml:space="preserve">https://ieeexplore.ieee.org/document/5205318</t>
  </si>
  <si>
    <t xml:space="preserve">A 2.8-to-8.5mW GSM/Bluetooth/UMTS/DVB-H/WLAN Fully Reconfigurable CTΔΣ with 200kHz to 20MHz BW for 4G Radios in 90nm Digital CMOS</t>
  </si>
  <si>
    <t xml:space="preserve">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</si>
  <si>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 xml:space="preserve">Y. Ke, P. Gao, J. Craninckx*, G. Van der Plas*, G. Gielen, K.U. Leuven, Belgium, *IMEC, Belgium</t>
  </si>
  <si>
    <t xml:space="preserve">10.1109/VLSIC.2010.5560317</t>
  </si>
  <si>
    <t xml:space="preserve">BT mode</t>
  </si>
  <si>
    <t xml:space="preserve">UMTS mode</t>
  </si>
  <si>
    <t xml:space="preserve">DVB-H mode</t>
  </si>
  <si>
    <t xml:space="preserve">WLAN mode</t>
  </si>
  <si>
    <t xml:space="preserve">A 0.02mm² 65nm CMOS 30MHz BW All-Digital Differential VCO-Based ADC with 64dB SNDR</t>
  </si>
  <si>
    <t xml:space="preserve">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</si>
  <si>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 xml:space="preserve">J. Daniels, W. Dehaene, M. Steyaert, Andreas Wiesbauer*, K.U. Leuven, Belgium, *Infineon Technologies, Austria</t>
  </si>
  <si>
    <t xml:space="preserve">10.1109/VLSIC.2010.5560314</t>
  </si>
  <si>
    <t xml:space="preserve">Differential mode</t>
  </si>
  <si>
    <t xml:space="preserve">A 12-GS/s 81-mW 5-Bit Time-Interleaved Flash ADC with Background Timing Skew Calibration</t>
  </si>
  <si>
    <t xml:space="preserve">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</si>
  <si>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 xml:space="preserve">M. El-Chammas, B. Murmann, Stanford University, USA</t>
  </si>
  <si>
    <t xml:space="preserve">10.1109/VLSIC.2010.5560315</t>
  </si>
  <si>
    <t xml:space="preserve">A CMOS 6-Bit 16-GS/s Time-Interleaved ADC with Digital Background Calibration</t>
  </si>
  <si>
    <t xml:space="preserve">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</si>
  <si>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 xml:space="preserve">C.-C. Huang, C.-Y. Wang, J.-T. Wu, National Chiao Tung University, Taiwan</t>
  </si>
  <si>
    <t xml:space="preserve">10.1109/VLSIC.2010.5560312</t>
  </si>
  <si>
    <t xml:space="preserve">A Zero-Crossing Based 12b 100MS/s Pipelined ADC with Decision Boundary Gap Estimation Calibration</t>
  </si>
  <si>
    <t xml:space="preserve">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</si>
  <si>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 xml:space="preserve">J. Chu, L. Brooks*, H.-S. Lee, Massachusetts Institute of Technology, *Ubixum, Inc., USA</t>
  </si>
  <si>
    <t xml:space="preserve">10.1109/VLSIC.2010.5560285</t>
  </si>
  <si>
    <t xml:space="preserve">A 12b 50MS/s 3.5mW SAR Assisted 2-Stage Pipeline ADC</t>
  </si>
  <si>
    <t xml:space="preserve">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</si>
  <si>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 xml:space="preserve">C. Lee, M. Flynn, University of Michigan, USA</t>
  </si>
  <si>
    <t xml:space="preserve">10.1109/VLSIC.2010.5560243</t>
  </si>
  <si>
    <t xml:space="preserve">A 1V 11fJ/Conversion-Step 10bit 10MS/s Asynchronous SAR ADC in 0.18μm CMOS</t>
  </si>
  <si>
    <t xml:space="preserve">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</si>
  <si>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 xml:space="preserve">C.-C. Liu, S.-J. Chang, G.-Y. Huang, Y.-Z. Lin, C.-M. Huang*, National Cheng Kung University, Taiwan, *Himax Technologies, Inc., Taiwan</t>
  </si>
  <si>
    <t xml:space="preserve">10.1109/VLSIC.2010.5560283</t>
  </si>
  <si>
    <t xml:space="preserve">A 9-bit 150-MS/s 1.53-mW Subranged SAR ADC in 90-nm CMOS</t>
  </si>
  <si>
    <t xml:space="preserve">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</si>
  <si>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 xml:space="preserve">Y.-Z. Lin, C.-C. Liu, G.-Y. Huang, Y.-T. Shyu, S.-J. Chang, National Cheng Kung University, Taiwan</t>
  </si>
  <si>
    <t xml:space="preserve">10.1109/VLSIC.2010.5560246</t>
  </si>
  <si>
    <t xml:space="preserve">A 12-ENOB 6X-OSR Noise-Shaped Pipelined ADC Utilizing a 9-bit Linear Front-End</t>
  </si>
  <si>
    <t xml:space="preserve">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</si>
  <si>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 xml:space="preserve">O. Rajaee and U. Moon</t>
  </si>
  <si>
    <t xml:space="preserve">https://ieeexplore.ieee.org/document/5986411</t>
  </si>
  <si>
    <t xml:space="preserve">Power includes digital</t>
  </si>
  <si>
    <t xml:space="preserve">A 32nm, 1.05V, BIST Enabled, 10-40MHz, 11-9 Bit, 0.13mm² Digitized Integrator MASH ΔΣ ADC</t>
  </si>
  <si>
    <t xml:space="preserve">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</si>
  <si>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 xml:space="preserve">B. R. Carlton, H. Lakdawala, E. Alpman, J. Rizk, Y.W. Li, B. Perez-Esparza, V. Rivera, C.F. Nieva, E. Gordon, P. Hackney, C.-H. Jan, I.A. Young and K. Soumyanath</t>
  </si>
  <si>
    <t xml:space="preserve">https://ieeexplore.ieee.org/document/5986412</t>
  </si>
  <si>
    <t xml:space="preserve">Numbers for BW=20MHz</t>
  </si>
  <si>
    <t xml:space="preserve">A Continuous-Time, Jitter Insensitive ∑∆ Modulator Using a Digitally Linearized Gm-C Integrator with Embedded SC Feedback DAC</t>
  </si>
  <si>
    <t xml:space="preserve">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</si>
  <si>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 xml:space="preserve">D. Kim, T. Matsuura and B. Murmann</t>
  </si>
  <si>
    <t xml:space="preserve">https://ieeexplore.ieee.org/document/5986413</t>
  </si>
  <si>
    <t xml:space="preserve">A 48-dB DR 80-MHz BW 8.88-GS/s Bandpass ∆∑ ADC for RF Digitization with Integrated PLL and Polyphase Decimation Filter in 40nm CMOS</t>
  </si>
  <si>
    <t xml:space="preserve">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</si>
  <si>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 xml:space="preserve">E. Martens, A. Bourdoux, A. Couvreur, P. Van Wesemael, G. Van der Plas, J. Craninckx and J. Ryckaert</t>
  </si>
  <si>
    <t xml:space="preserve">https://ieeexplore.ieee.org/document/5986414</t>
  </si>
  <si>
    <t xml:space="preserve">Bandpass</t>
  </si>
  <si>
    <t xml:space="preserve">A 2.8 mW ∆∑ ADC with 83 dB DR and 1.92 MHz BW Using FIR Outer Feedback and TIA-Based Integrator</t>
  </si>
  <si>
    <t xml:space="preserve">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</si>
  <si>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 xml:space="preserve">J. Gealow, M. Ashburn, C.-H. Lou, S. Ho, P. Riehl, A. Shabra, J. Silva and Q. Yu</t>
  </si>
  <si>
    <t xml:space="preserve">https://ieeexplore.ieee.org/document/5986415</t>
  </si>
  <si>
    <t xml:space="preserve">A 12b 3GS/s Pipeline ADC with 500mW and 0.4 mm² in 40nm Digital CMOS</t>
  </si>
  <si>
    <t xml:space="preserve">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</si>
  <si>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 xml:space="preserve">C.-Y. Chen and J. Wu</t>
  </si>
  <si>
    <t xml:space="preserve">https://ieeexplore.ieee.org/document/5986066</t>
  </si>
  <si>
    <t xml:space="preserve">An 11b 300MS/s 0.24pJ/Conversion-Step Double-Sampling Pipelined ADC with On-Chip Full Digital Calibration for All Nonidealities Including Memory Effects</t>
  </si>
  <si>
    <t xml:space="preserve">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</si>
  <si>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 xml:space="preserve">T. Miki, T. Morie, T. Ozeki and S. Dosho</t>
  </si>
  <si>
    <t xml:space="preserve">https://ieeexplore.ieee.org/document/5986067</t>
  </si>
  <si>
    <t xml:space="preserve">A 22-mW 7b 1.3-GS/s Pipeline ADC with 1-Bit/Stage Folding Converter Architecture</t>
  </si>
  <si>
    <t xml:space="preserve">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</si>
  <si>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 xml:space="preserve">T. Yamase, H. Uchida and H. Noguchi</t>
  </si>
  <si>
    <t xml:space="preserve">https://ieeexplore.ieee.org/document/5986068</t>
  </si>
  <si>
    <t xml:space="preserve">A 10b 320 MS/s 40 mW Open-Loop Interpolated Pipeline ADC</t>
  </si>
  <si>
    <t xml:space="preserve">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</si>
  <si>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 xml:space="preserve">M. Miyahara, H. Lee, D. Paik and A. Matsuzawa</t>
  </si>
  <si>
    <t xml:space="preserve">https://ieeexplore.ieee.org/document/5986069</t>
  </si>
  <si>
    <t xml:space="preserve">Data for fin=100MHz, ADC breaks beyond this frequency</t>
  </si>
  <si>
    <t xml:space="preserve">A 16-mW 8-Bit 1-GS/s Subranging ADC in 55nm CMOS</t>
  </si>
  <si>
    <t xml:space="preserve">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</si>
  <si>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 xml:space="preserve">Y.-H. Chung and J.-T. Wu</t>
  </si>
  <si>
    <t xml:space="preserve">https://ieeexplore.ieee.org/document/5986070</t>
  </si>
  <si>
    <t xml:space="preserve">A 96-Channel Full Data Rate Direct Neural Interface in 0.13µm CMOS</t>
  </si>
  <si>
    <t xml:space="preserve">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</si>
  <si>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 xml:space="preserve">R.M. Walker, H. Gao, P. Nuyujukian, K. Makinwa, K.V. Shenoy, T. Meng and B. Murmann</t>
  </si>
  <si>
    <t xml:space="preserve">https://ieeexplore.ieee.org/document/5986078</t>
  </si>
  <si>
    <t xml:space="preserve">BioBolt: A Minimally-Invasive Neural Interface for Wireless Epidural Recording by Intra-Skin Communication</t>
  </si>
  <si>
    <t xml:space="preserve">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</si>
  <si>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 xml:space="preserve">S.-I. Chang, K. AlAshmouny, M. McCormick, Y.-C. Chen and E. Yoon</t>
  </si>
  <si>
    <t xml:space="preserve">https://ieeexplore.ieee.org/document/5986079</t>
  </si>
  <si>
    <t xml:space="preserve">A 0.5V 1.1MS/sec 6.3fJ/conversion-step SAR-ADC with Tri-Level Comparator in 40nm CMOS</t>
  </si>
  <si>
    <t xml:space="preserve">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</si>
  <si>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 xml:space="preserve">A. Shikata, R. Sekimoto, T. Kuroda and H. Ishikuro</t>
  </si>
  <si>
    <t xml:space="preserve">https://ieeexplore.ieee.org/document/5986444</t>
  </si>
  <si>
    <t xml:space="preserve">A 1-V, 8b, 40MS/s, 113µW Charge-Recycling SAR ADC with a 14µW Asynchronous Controller</t>
  </si>
  <si>
    <t xml:space="preserve">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</si>
  <si>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 xml:space="preserve">J.-H. Tsai, Y.-J. Chen, M.-H. Shen and P.-C. Huang</t>
  </si>
  <si>
    <t xml:space="preserve">https://ieeexplore.ieee.org/document/5986445</t>
  </si>
  <si>
    <t xml:space="preserve">Digitally Synthesized Stochastic Flash ADC Using Only Standard Digital Cells</t>
  </si>
  <si>
    <t xml:space="preserve">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</si>
  <si>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 xml:space="preserve">S. Weaver, B. Hershberg and U.-K. Moon</t>
  </si>
  <si>
    <t xml:space="preserve">https://ieeexplore.ieee.org/document/5986446</t>
  </si>
  <si>
    <t xml:space="preserve">Single-Slope, TI</t>
  </si>
  <si>
    <t xml:space="preserve">A Reconfigurable 1GSps to 250MSps, 7-bit to 9-bit Highly Time-Interleaved Counter ADC in 0.13µm CMOS</t>
  </si>
  <si>
    <t xml:space="preserve">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</si>
  <si>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 xml:space="preserve">S. Danesh, J. Hurwitz, K. Findlater, D. Renshaw and R. Henderson</t>
  </si>
  <si>
    <t xml:space="preserve">https://ieeexplore.ieee.org/document/5986447</t>
  </si>
  <si>
    <t xml:space="preserve">A 71dB SFDR Open Loop VCO-Based ADC Using 2-Level PWM Modulation</t>
  </si>
  <si>
    <t xml:space="preserve">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</si>
  <si>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 xml:space="preserve">S. Rao, B. Young, A. Elshazly, W. Yin, N. Sasidhar and P.K. Hanumolu</t>
  </si>
  <si>
    <t xml:space="preserve">https://ieeexplore.ieee.org/document/5986448</t>
  </si>
  <si>
    <t xml:space="preserve">A 6b 3GS/s 11mW Fully Dynamic Flash ADC in 40nm CMOS with Reduced Number of Comparators</t>
  </si>
  <si>
    <t xml:space="preserve">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</si>
  <si>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 xml:space="preserve">Y.-S. Shu</t>
  </si>
  <si>
    <t xml:space="preserve">10.1109/VLSIC.2012.6243772</t>
  </si>
  <si>
    <t xml:space="preserve">Event Driven</t>
  </si>
  <si>
    <t xml:space="preserve">An Event-Driven, Alias-Free ADC with Signal-Dependent Resolution</t>
  </si>
  <si>
    <t xml:space="preserve">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</si>
  <si>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 xml:space="preserve">C. Weltin-Wu, Y. Tsividis</t>
  </si>
  <si>
    <t xml:space="preserve">10.1109/VLSIC.2012.6243773</t>
  </si>
  <si>
    <t xml:space="preserve">A 10-Bit 1-GHz 33-mW CMOS ADC</t>
  </si>
  <si>
    <t xml:space="preserve">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</si>
  <si>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 xml:space="preserve">B.D. Sahoo, B. Razavi</t>
  </si>
  <si>
    <t xml:space="preserve">10.1109/VLSIC.2012.6243774</t>
  </si>
  <si>
    <t xml:space="preserve">A 61.5dB SNDR Pipelined ADC Using Simple Highly-Scalable Ring Amplifiers</t>
  </si>
  <si>
    <t xml:space="preserve">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</si>
  <si>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 xml:space="preserve">B. Hershberg, S. Weaver, K. Sobue, S. Takeuchi, K. Hamashita, U.-K. Moon</t>
  </si>
  <si>
    <t xml:space="preserve">10.1109/VLSIC.2012.6243775</t>
  </si>
  <si>
    <t xml:space="preserve">A 2.8GS/s 44.6mW Time-Interleaved ADC Achieving 50.9dB SNDR and 3dB Effective Resolution Bandwidth of 1.5GHz in 65nm CMOS</t>
  </si>
  <si>
    <t xml:space="preserve">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</si>
  <si>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 xml:space="preserve">D. Stepanovic, B. Nikolic</t>
  </si>
  <si>
    <t xml:space="preserve">10.1109/VLSIC.2012.6243801</t>
  </si>
  <si>
    <t xml:space="preserve">SAR TI</t>
  </si>
  <si>
    <t xml:space="preserve">A 3.8mW 8b 1GS/s 2b/cycle Interleaving SAR ADC with Compact DAC Structure</t>
  </si>
  <si>
    <t xml:space="preserve">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</si>
  <si>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 xml:space="preserve">C.-H. Chan, Y. Zhu, S.-W. Sin, S.-P. U, R. Martins</t>
  </si>
  <si>
    <t xml:space="preserve">10.1109/VLSIC.2012.6243802</t>
  </si>
  <si>
    <t xml:space="preserve">A 4.5-mW 8-b 750-MS/s 2-b/Step Asynchronous Subranged SAR ADC in 28-nm CMOS Technology</t>
  </si>
  <si>
    <t xml:space="preserve">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</si>
  <si>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 xml:space="preserve">Y.-C. Lien</t>
  </si>
  <si>
    <t xml:space="preserve">10.1109/VLSIC.2012.6243803</t>
  </si>
  <si>
    <t xml:space="preserve">A 34fJ 10b 500 MS/s Partial-Interleaving Pipelined SAR ADC</t>
  </si>
  <si>
    <t xml:space="preserve">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</si>
  <si>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 xml:space="preserve">Y. Zhu, C.-H. Chan, S.-W. Sin, S.-P. U, R. Martins</t>
  </si>
  <si>
    <t xml:space="preserve">10.1109/VLSIC.2012.6243804</t>
  </si>
  <si>
    <t xml:space="preserve">A 3.2fJ/c.-s. 0.35V 10b 100KS/s SAR ADC in 90nm CMOS</t>
  </si>
  <si>
    <t xml:space="preserve">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</si>
  <si>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 xml:space="preserve">H.-Y. Tai, H.-W. Chen, H.-S. Chen</t>
  </si>
  <si>
    <t xml:space="preserve">10.1109/VLSIC.2012.6243805</t>
  </si>
  <si>
    <t xml:space="preserve">A 10 MHz BW 50 fJ/conv. Continuous Time ΔΣ Modulator with High-order Single Opamp Integrator using Optimization-based Design Method</t>
  </si>
  <si>
    <t xml:space="preserve">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</si>
  <si>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 xml:space="preserve">K. Matsukawa, K. Obata, Y. Mitani, S. Dosho</t>
  </si>
  <si>
    <t xml:space="preserve">10.1109/VLSIC.2012.6243839</t>
  </si>
  <si>
    <t xml:space="preserve">Data for Modulator B</t>
  </si>
  <si>
    <t xml:space="preserve">A 5MHz BW 70.7dB SNDR Noise-Shaped Two-Step Quantizer Based ΔƩ ADC</t>
  </si>
  <si>
    <t xml:space="preserve">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</si>
  <si>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 xml:space="preserve">T. Oh, N. Maghari, U.-K.Moon</t>
  </si>
  <si>
    <t xml:space="preserve">10.1109/VLSIC.2012.6243840</t>
  </si>
  <si>
    <t xml:space="preserve">An 85dB SFDR 67dB SNDR 8OSR 240MS/s ΣΔ ADC with Nonlinear Memory Error Calibration</t>
  </si>
  <si>
    <t xml:space="preserve">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</si>
  <si>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 xml:space="preserve">S.-C. Lee, B. Elies, Y. Chiu</t>
  </si>
  <si>
    <t xml:space="preserve">10.1109/VLSIC.2012.6243841</t>
  </si>
  <si>
    <t xml:space="preserve">Recorded power does not include digital post-processor estimate</t>
  </si>
  <si>
    <t xml:space="preserve">A Reconfigurable Mostly-Digital ΔΣ ADC with a Worst-Case FOM of 160dB</t>
  </si>
  <si>
    <r>
      <rPr>
        <sz val="10"/>
        <color rgb="FF000000"/>
        <rFont val="Arial"/>
        <family val="2"/>
        <charset val="1"/>
      </rPr>
      <t xml:space="preserve">A 0.075 mm</t>
    </r>
    <r>
      <rPr>
        <vertAlign val="superscript"/>
        <sz val="10"/>
        <color rgb="FF000000"/>
        <rFont val="Arial"/>
        <family val="2"/>
        <charset val="1"/>
      </rPr>
      <t xml:space="preserve">2</t>
    </r>
    <r>
      <rPr>
        <sz val="10"/>
        <color rgb="FF000000"/>
        <rFont val="Arial"/>
        <family val="2"/>
        <charset val="1"/>
      </rPr>
      <t xml:space="preserve"> 65 nm CMOS VCO-based ΔΣ modulator ADC that operates from a single 0.9-1.2 V supply is presented. Its sample-rate, f</t>
    </r>
    <r>
      <rPr>
        <vertAlign val="subscript"/>
        <sz val="10"/>
        <color rgb="FF000000"/>
        <rFont val="Arial"/>
        <family val="2"/>
        <charset val="1"/>
      </rPr>
      <t xml:space="preserve">s</t>
    </r>
    <r>
      <rPr>
        <sz val="10"/>
        <color rgb="FF000000"/>
        <rFont val="Arial"/>
        <family val="2"/>
        <charset val="1"/>
      </rPr>
      <t xml:space="preserve">, is tunable from 1.3-2.4 GHz over which the SNDR spans 70-75 dB, the bandwidth spans 5-37.5 MHz, and the minimum SNDR + 10 log(bandwidth/power dissipation) figure of merit (FOM) is 160 dB.</t>
    </r>
  </si>
  <si>
    <t xml:space="preserve">10.1109/VLSIC.2012.6243842</t>
  </si>
  <si>
    <t xml:space="preserve">Used data for highest BW</t>
  </si>
  <si>
    <t xml:space="preserve">A 75.1dB SNDR 840MS/s CT DS Modulator with 30MHz Bandwidth and 46.4fJ/conv FOM in 55nm CMOS</t>
  </si>
  <si>
    <t xml:space="preserve">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</si>
  <si>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 xml:space="preserve">Chi-Lun Lo, Chen-Yen Ho, Hung-Chieh Tsai, Yu-Hsin Lin</t>
  </si>
  <si>
    <t xml:space="preserve">https://ieeexplore.ieee.org/document/6578719</t>
  </si>
  <si>
    <t xml:space="preserve">A 69dB SNDR, 25MHz BW, 800MS/s Continuous-Time Bandpass ΔΣ ADC Using DAC Duty Cycle Control for Low Power and Reconfigurability</t>
  </si>
  <si>
    <t xml:space="preserve">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</si>
  <si>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 xml:space="preserve">Hyungil Chae and Michael P. Flynn</t>
  </si>
  <si>
    <t xml:space="preserve">https://ieeexplore.ieee.org/abstract/document/6578720</t>
  </si>
  <si>
    <t xml:space="preserve">A 66dB SNDR 15MHz BW SAR Assisted ΔΣ ADC in 22nm Tri-gate CMOS</t>
  </si>
  <si>
    <t xml:space="preserve">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</si>
  <si>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 xml:space="preserve">C.C. Lee, E. Alpman, S. Weaver, C.-Y. Lu and J. Rizk</t>
  </si>
  <si>
    <t xml:space="preserve">https://ieeexplore.ieee.org/document/6578721</t>
  </si>
  <si>
    <t xml:space="preserve">A 379nW 58.5dB SNDR VCO-Based ΔΣ Modulator for Bio-Potential Monitoring</t>
  </si>
  <si>
    <t xml:space="preserve">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</si>
  <si>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 xml:space="preserve">Y.-D. Chang, C.-H. Weng, T.-H. Lin and C.-K. Wang</t>
  </si>
  <si>
    <t xml:space="preserve">https://ieeexplore.ieee.org/document/6578722</t>
  </si>
  <si>
    <t xml:space="preserve">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</si>
  <si>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</si>
  <si>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 xml:space="preserve">S. Rao, K. Reddy, B. Young and P.K. Hanumolu</t>
  </si>
  <si>
    <t xml:space="preserve">https://ieeexplore.ieee.org/document/6578723</t>
  </si>
  <si>
    <t xml:space="preserve">A 5.4GS/s 12b 500mW Pipeline ADC in 28nm CMOS</t>
  </si>
  <si>
    <t xml:space="preserve">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</si>
  <si>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 xml:space="preserve">J. Wu, A. (W.-T.) Chou, C.-H. Yang, Y. Ding, Y.-J. Ko, S.-T. Lin, W. Liu, C.-M. Hsiao, M.-H. Hsieh, C.-C. Huang, J.-J. Hung, K.Y. Kim, M. Le, T. Li, W.-T. Shih, A. Shrivastava, Y.-C. Yang, C.-Y. Chen and H.-S. Huang</t>
  </si>
  <si>
    <t xml:space="preserve">https://ieeexplore.ieee.org/document/6578730</t>
  </si>
  <si>
    <t xml:space="preserve">Reported HF performance was genarated by subtracting jitter. The data listed here is from the conference talk, with jitter included.</t>
  </si>
  <si>
    <t xml:space="preserve">A 75.9dB-SNDR 2.96mW 29fJ/Conv-Step Ringamp-Only Pipelined ADC</t>
  </si>
  <si>
    <t xml:space="preserve">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</si>
  <si>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 xml:space="preserve">B. Hershberg and U.-K. Moon</t>
  </si>
  <si>
    <t xml:space="preserve">https://ieeexplore.ieee.org/document/6578731</t>
  </si>
  <si>
    <t xml:space="preserve">Only fin=1MHz data reported, but unlikely that anything degrades significantly at 10MHz</t>
  </si>
  <si>
    <t xml:space="preserve">A 70MS/s 69.3dB SNDR 38.2fJ/Conversion-Step Time-Based Pipelined ADC</t>
  </si>
  <si>
    <t xml:space="preserve">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</si>
  <si>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 xml:space="preserve">T. Oh, H. Venkatram and U.-K. Moon</t>
  </si>
  <si>
    <t xml:space="preserve">https://ieeexplore.ieee.org/document/6578732</t>
  </si>
  <si>
    <t xml:space="preserve">A 12-Bit, 200-MS/s, 11.5-mW Pipeline ADC Using a Pulsed Bucket Brigade Front-End</t>
  </si>
  <si>
    <t xml:space="preserve">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</si>
  <si>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 xml:space="preserve">N. Dolev, M. Kramer and B. Murmann</t>
  </si>
  <si>
    <t xml:space="preserve">https://ieeexplore.ieee.org/document/6578733</t>
  </si>
  <si>
    <t xml:space="preserve">A 10-Bit 800-MHz 19-mW CMOS ADC</t>
  </si>
  <si>
    <t xml:space="preserve">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</si>
  <si>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t xml:space="preserve">Shiuh-hua Wood Chiang, Hyuk Sun, and Behzad Razavi</t>
  </si>
  <si>
    <t xml:space="preserve">https://ieeexplore.ieee.org/document/6578734</t>
  </si>
  <si>
    <t xml:space="preserve">A 35mW 8 b 8.8 GS/s SAR ADC with Low-Power Capacitive Reference Buffers in 32 nm Digital SOI CMOS</t>
  </si>
  <si>
    <t xml:space="preserve">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</si>
  <si>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 xml:space="preserve">Lukas Kull, Thomas Toifl,Martin Schmatz, Pier Andrea Francese, ChristianMenolfi, Matthias Braendli, Marcel Kossel, ThomasMorf, TokeMeyer Andersen, Yusuf Leblebici</t>
  </si>
  <si>
    <t xml:space="preserve">https://ieeexplore.ieee.org/document/6578686</t>
  </si>
  <si>
    <t xml:space="preserve">An 8.5mW 5GS/s 6b Flash ADC with Dynamic Offset Calibration in 32nm CMOS SOI</t>
  </si>
  <si>
    <t xml:space="preserve">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</si>
  <si>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 xml:space="preserve">V.H.-C. Chen and L. Pileggi</t>
  </si>
  <si>
    <t xml:space="preserve">https://ieeexplore.ieee.org/document/6578688</t>
  </si>
  <si>
    <t xml:space="preserve">A 0.0058mm^2  7.0 ENOB 24MS/s 17fJ/conv. Threshold Configuring SAR ADC with Source Voltage Shifting and InterpolationTechnique</t>
  </si>
  <si>
    <t xml:space="preserve">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</si>
  <si>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 xml:space="preserve">K. Yoshioka, A. Shikata, R. Sekimoto, T. Kuroda and H. Ishikuro</t>
  </si>
  <si>
    <t xml:space="preserve">https://ieeexplore.ieee.org/document/6578689</t>
  </si>
  <si>
    <t xml:space="preserve">A 2.1 mW 11b 410 MS/s Dynamic Pipelined SAR ADC with Background Calibration in 28nm Digital CMOS</t>
  </si>
  <si>
    <t xml:space="preserve">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</si>
  <si>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 xml:space="preserve">B. Verbruggen, M. Iriguchi, M. de la Guia Solaz, G. Glorieux, K. Deguchi, B. Malki, and J. Craninckx</t>
  </si>
  <si>
    <t xml:space="preserve">https://ieeexplore.ieee.org/document/6578690</t>
  </si>
  <si>
    <t xml:space="preserve">A 6b 10GS/s TI-SAR ADC with Embedded 2-Tap FFE/1-Tap DFE in 65nm CMOS</t>
  </si>
  <si>
    <t xml:space="preserve">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</si>
  <si>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 xml:space="preserve">E.Z. Tabasy, A. Shafik, K. Lee, S. Hoyos and S. Palermo</t>
  </si>
  <si>
    <t xml:space="preserve">https://ieeexplore.ieee.org/document/6578692</t>
  </si>
  <si>
    <t xml:space="preserve">Includes FFE/DFE</t>
  </si>
  <si>
    <t xml:space="preserve">An 18 b 5 MS/s SAR ADC with 100.2 dB Dynamic Range</t>
  </si>
  <si>
    <t xml:space="preserve">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</si>
  <si>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 xml:space="preserve">Alan Bannon, Christopher Peter Hurrell, Derek Hummerston and Colin Lyden</t>
  </si>
  <si>
    <t xml:space="preserve">10.1109/VLSIC.2014.6858371</t>
  </si>
  <si>
    <t xml:space="preserve">10Vpp input swing, no HF data</t>
  </si>
  <si>
    <t xml:space="preserve">A 0.4V 2.02fJ/Conversion-step 10-bit Hybrid SAR ADC with Time-domain Quantizer in 90nm CMOS</t>
  </si>
  <si>
    <t xml:space="preserve">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</si>
  <si>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 xml:space="preserve">Yan-Jiun Chen, Chih-Cheng Hsieh</t>
  </si>
  <si>
    <t xml:space="preserve">10.1109/VLSIC.2014.6858372</t>
  </si>
  <si>
    <t xml:space="preserve">A 48 fJ/CS, 74 dB SNDR, 87 dB SFDR, 85 dB THD, 30 MS/s Pipelined ADC Using Hybrid Dynamic Amplifier</t>
  </si>
  <si>
    <t xml:space="preserve">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</si>
  <si>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 xml:space="preserve">Hariprasath Venkatram, Taehwan Oh, Kazuki Sobue, Koichi Hamashita, Un-Ku Moon</t>
  </si>
  <si>
    <t xml:space="preserve">10.1109/VLSIC.2014.6858373</t>
  </si>
  <si>
    <t xml:space="preserve">7-bit 0.8-1.2GS/s Dynamic Architecture and Frequency Scaling Subrange ADC with Binary-Search/Flash Live Configuring Technique</t>
  </si>
  <si>
    <t xml:space="preserve">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</si>
  <si>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 xml:space="preserve">Kentaro Yoshioka, Ryo Saito, Takumi Danjo, Sanroku Tsukamoto, Hiroki Ishikuro</t>
  </si>
  <si>
    <t xml:space="preserve">10.1109/VLSIC.2014.6858374</t>
  </si>
  <si>
    <t xml:space="preserve">Data for 820 MS/s</t>
  </si>
  <si>
    <t xml:space="preserve">75dB DR 50MHz BW 3rd Order CT-ΔΣ Modulator Using VCO-Based Integrators</t>
  </si>
  <si>
    <t xml:space="preserve">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</si>
  <si>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 xml:space="preserve">Brian Young, Karthik Reddy, Sachin Rao, Amr Elshazly, Tejasvi Anand, and Pavan Kumar Hanumolu</t>
  </si>
  <si>
    <t xml:space="preserve">10.1109/VLSIC.2014.6858395</t>
  </si>
  <si>
    <t xml:space="preserve">A 23mW, 73dB Dynamic Range, 80MHz BW Continuous-Time Delta-Sigma Modulator in 20nm CMOS</t>
  </si>
  <si>
    <t xml:space="preserve">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</si>
  <si>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 xml:space="preserve">Stacy Ho, Chi-Lun Lo, Zhiyu Ru, Jialin Zhao</t>
  </si>
  <si>
    <t xml:space="preserve">10.1109/VLSIC.2014.6858396</t>
  </si>
  <si>
    <t xml:space="preserve">A 97.3 dB SNR, 600 kHz BW, 31mW Multibit Continuous Time ΔΣ ADC</t>
  </si>
  <si>
    <t xml:space="preserve">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</si>
  <si>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 xml:space="preserve">Abhishek Bandyopadhyay, Robert Adams, Khiem Nguyen, Paul Baginski, Daviud Lamb, Thomas Tansley</t>
  </si>
  <si>
    <t xml:space="preserve">10.1109/VLSIC.2014.6858397</t>
  </si>
  <si>
    <t xml:space="preserve">An 8.5MHz 67.2dB SNDR CTDSM with ELD Compensation Embedded Twin-T SAB and Circular TDC-based Quantizer in 90nm CMOS</t>
  </si>
  <si>
    <t xml:space="preserve">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</si>
  <si>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 xml:space="preserve">Chan-Hsiang Weng, Tzu-An Wei, Erkan Alpman, Chang-Tsung Fu, Yi-Ting Tseng, and Tsung-Hsien Lin</t>
  </si>
  <si>
    <t xml:space="preserve">10.1109/VLSIC.2014.6858398</t>
  </si>
  <si>
    <t xml:space="preserve">A 70 dB SNDR 200 MS/s 2.3 mW dynamic pipelined SAR ADC in 28nm digital CMOS</t>
  </si>
  <si>
    <t xml:space="preserve">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</si>
  <si>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 xml:space="preserve">Bob Verbruggen, Kazuaki Deguchi, Badr Malki, Jan Craninckx</t>
  </si>
  <si>
    <t xml:space="preserve">10.1109/VLSIC.2014.6858451</t>
  </si>
  <si>
    <t xml:space="preserve">A 12-bit 210-MS/s 5.3-mW Pipelined-SAR ADC with a Passive Residue Transfer Technique</t>
  </si>
  <si>
    <t xml:space="preserve">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</si>
  <si>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 xml:space="preserve">Chin-Yu Lin and Tai-Cheng Lee</t>
  </si>
  <si>
    <t xml:space="preserve">10.1109/VLSIC.2014.6858452</t>
  </si>
  <si>
    <t xml:space="preserve">An 11.5-ENOB 100-MS/s 8mW Dual-Reference SAR ADC in 28nm CMOS</t>
  </si>
  <si>
    <t xml:space="preserve">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</si>
  <si>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 xml:space="preserve">Michael Inerfield, Abhishek Kamath, Feng Su, Jason Hu, Xinyu Yu, Victor Fong, Omar Alnaggar, Fang Lin and Tom Kwan</t>
  </si>
  <si>
    <t xml:space="preserve">10.1109/VLSIC.2014.6858453</t>
  </si>
  <si>
    <t xml:space="preserve">Excluding references</t>
  </si>
  <si>
    <t xml:space="preserve">A 12b 160MS/s Synchronous Two-Step SAR ADC Achieving 20.7fJ/step FoM with Opportunistic Digital Background Calibration</t>
  </si>
  <si>
    <t xml:space="preserve">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</si>
  <si>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 xml:space="preserve">Yuan Zhou, Benwei Xu, and Yun Chiu</t>
  </si>
  <si>
    <t xml:space="preserve">10.1109/VLSIC.2014.6858454</t>
  </si>
  <si>
    <t xml:space="preserve">A 120nW 8b Sub-Ranging SAR ADC with Signal-Dependent Charge Recycling for Biomedical Applications</t>
  </si>
  <si>
    <t xml:space="preserve">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</si>
  <si>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 xml:space="preserve">S. Jeong, W. Jung, D. Jeon, O. Berenfeld, H. Oral, G. Kruger, D. Blaauw and D. Sylvester</t>
  </si>
  <si>
    <t xml:space="preserve">10.1109/VLSIC.2015.7231327</t>
  </si>
  <si>
    <t xml:space="preserve">A 12b 70MS/s SAR ADC with Digital Startup Calibration in 14nm CMOS</t>
  </si>
  <si>
    <t xml:space="preserve">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</si>
  <si>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 xml:space="preserve">C. C. Lee, C.-Y. Lu, R. Narayanaswamy and J. B. Rizk</t>
  </si>
  <si>
    <t xml:space="preserve">10.1109/VLSIC.2015.7231328</t>
  </si>
  <si>
    <t xml:space="preserve">A 9.35-ENOB, 14.8 fJ/Conv.-Step Fully-Passive Noise-Shaping SAR ADC</t>
  </si>
  <si>
    <t xml:space="preserve">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</si>
  <si>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 xml:space="preserve">Z. Chen, M. Miyahara and A. Matsuzawa</t>
  </si>
  <si>
    <t xml:space="preserve">10.1109/VLSIC.2015.7231329</t>
  </si>
  <si>
    <t xml:space="preserve">SAR, VCO</t>
  </si>
  <si>
    <t xml:space="preserve">A 12-Bit 200-MS/s 3.4-mW CMOS ADC with 0.85-V Supply</t>
  </si>
  <si>
    <t xml:space="preserve">A SAR ADC incorporates two VCOs and a TDC as a multi-bit quantizer to improve the conversion speed. Using background calibration and realized in 45-nm technology, the ADC exhibits an SNDR of 68 dB and an FOM of 8 fJ per conversion step at Nyquist.</t>
  </si>
  <si>
    <t xml:space="preserve">J. P. Mathew, L. Kong and B. Razavi</t>
  </si>
  <si>
    <t xml:space="preserve">10.1109/VLSIC.2015.7231330</t>
  </si>
  <si>
    <t xml:space="preserve">Two-Step, binary search, TI</t>
  </si>
  <si>
    <t xml:space="preserve">A 25GS/s 6b TI Binary Search ADC with Soft-Decision Selection in 65nm CMOS</t>
  </si>
  <si>
    <t xml:space="preserve">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</si>
  <si>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 xml:space="preserve">S. Cai, E. Z. Tabasy, A. Shafik, S. Kiran, S. Hoyos and S. Palermo</t>
  </si>
  <si>
    <t xml:space="preserve">10.1109/VLSIC.2015.7231248</t>
  </si>
  <si>
    <t xml:space="preserve">Asynchronous</t>
  </si>
  <si>
    <t xml:space="preserve">A 3-10fJ/Conv-Step 0.0032mm² Error-Shaping Alias-Free Asynchronous ADC</t>
  </si>
  <si>
    <t xml:space="preserve">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</si>
  <si>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 xml:space="preserve">S. Patil, A. Ratiu, D. Morche and Y. Tsividis</t>
  </si>
  <si>
    <t xml:space="preserve">10.1109/VLSIC.2015.7231249</t>
  </si>
  <si>
    <t xml:space="preserve">A 6b 46GS/s ADC with &gt;23GHz BW and Sparkle-Code Error Correction</t>
  </si>
  <si>
    <t xml:space="preserve">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</si>
  <si>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 xml:space="preserve">Y. Duan and E. Alon</t>
  </si>
  <si>
    <t xml:space="preserve">10.1109/VLSIC.2015.7231250</t>
  </si>
  <si>
    <t xml:space="preserve">A 75 MHz BW 68dB DR CT-ΣΔ Modulator with Single Amplifier Biquad Filter and a Broadband Low-Power Common-Gate Summing Technique</t>
  </si>
  <si>
    <t xml:space="preserve">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</si>
  <si>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 xml:space="preserve">C. Briseno-Vidrios, A. Edward, A. Shafik, S. Palermo and J. Silva-Martinez</t>
  </si>
  <si>
    <t xml:space="preserve">10.1109/VLSIC.2015.7231277</t>
  </si>
  <si>
    <t xml:space="preserve">A 54mW 1.2GS/s 71.5dB SNDR 50MHz BW VCO-Based CT ΔΣ ADC Using Dual Phase/Frequency Feedback in 65nm CMOS</t>
  </si>
  <si>
    <t xml:space="preserve">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</si>
  <si>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 xml:space="preserve">K. Reddy, S. Dey, S. Rao, B. Young, P. Prabha and P. K. Hanumolu</t>
  </si>
  <si>
    <t xml:space="preserve">10.1109/VLSIC.2015.7231278</t>
  </si>
  <si>
    <t xml:space="preserve">A 7.2 mW 75.3 dB SNDR 10 MHz BW CT Delta-Sigma Modulator Using Gm-C-Based Noise-Shaped Quantizer and Digital Integrator</t>
  </si>
  <si>
    <t xml:space="preserve">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</si>
  <si>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 xml:space="preserve">T. Kim, C. Han and N. Maghari</t>
  </si>
  <si>
    <t xml:space="preserve">10.1109/VLSIC.2015.7231279</t>
  </si>
  <si>
    <t xml:space="preserve">A 16nm FinFet 19/39MHz 78/72dB DR Noise-Injected Aggregated CTSDM ADC for Configurable LTE Advanced CCA/NCCA Application</t>
  </si>
  <si>
    <t xml:space="preserve">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</si>
  <si>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 xml:space="preserve">T.-K. Kao, P. Chen, J.-Y. Tsai and P.-C. Chiu</t>
  </si>
  <si>
    <t xml:space="preserve">10.1109/VLSIC.2015.7231280</t>
  </si>
  <si>
    <t xml:space="preserve">A 10/20/30/40 MHz Feed-Forward FIR DAC Continuous-Time ΔΣ ADC with Robust Blocker Performance for Radio Receivers</t>
  </si>
  <si>
    <t xml:space="preserve">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</si>
  <si>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 xml:space="preserve">S. Loeda, J. Harrison, F. Pourchet and A. Adams</t>
  </si>
  <si>
    <t xml:space="preserve">10.1109/VLSIC.2015.7231281</t>
  </si>
  <si>
    <t xml:space="preserve">Data for 40MHz</t>
  </si>
  <si>
    <t xml:space="preserve">A 0.7 V 256 μW ΔΣ Modulator with Passive RC Integrators Achieving 76 dB DR in 2 MHz BW</t>
  </si>
  <si>
    <t xml:space="preserve">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</si>
  <si>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 xml:space="preserve">J. L. A. de Melo, J. Goes and N. Paulino</t>
  </si>
  <si>
    <t xml:space="preserve">10.1109/VLSIC.2015.7231294</t>
  </si>
  <si>
    <t xml:space="preserve">A 13-ENOB, 5 MHz BW, 3.16 mW Multi-Bit Continuous-Time ΔΣ ADC in 28 nm CMOS with Excess-Loop-Delay Compensation Embedded in SAR Quantizer</t>
  </si>
  <si>
    <t xml:space="preserve">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</si>
  <si>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 xml:space="preserve">G. Wei, P. Shettigar, F. Su, X. Yu and T. Kwan</t>
  </si>
  <si>
    <t xml:space="preserve">10.1109/VLSIC.2015.7231295</t>
  </si>
  <si>
    <t xml:space="preserve">A Low-Power Gm-C-Based CT-ΔΣ Audio-Band ADC in 1.1V 65nm CMOS</t>
  </si>
  <si>
    <t xml:space="preserve">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</si>
  <si>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 xml:space="preserve">I. Ahmed, J. Cherry, A. Hasan, A. Nafee, D. Halupka, Y. Allasasmeh and M. Snelgrove</t>
  </si>
  <si>
    <t xml:space="preserve">10.1109/VLSIC.2015.7231296</t>
  </si>
  <si>
    <t xml:space="preserve">A 97.99 dB SNDR, 2 kHz BW, 37.1 μW Noise-Shaping SAR ADC with Dynamic Element Matching and Modulation Dither Effect</t>
  </si>
  <si>
    <t xml:space="preserve">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</si>
  <si>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 xml:space="preserve">K. Obata, K. Matsukawa, T. Miki, Y. Tsukamoto and K. Sushihara</t>
  </si>
  <si>
    <t xml:space="preserve">10.1109/VLSIC.2016.7573463</t>
  </si>
  <si>
    <t xml:space="preserve">Incremental, Ext. Counting</t>
  </si>
  <si>
    <t xml:space="preserve">A 35μW 96.8dB SNDR 1 kHz BW Multi-Step Incremental ADC Using Multi-Slope Extended Counting with a Single Integrator</t>
  </si>
  <si>
    <t xml:space="preserve">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</si>
  <si>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 xml:space="preserve">Y. Zhang, C.-H. Chen, T. He and G. C. Temes</t>
  </si>
  <si>
    <t xml:space="preserve">10.1109/VLSIC.2016.7573464</t>
  </si>
  <si>
    <t xml:space="preserve">A 18.5‐fJ/step VCO‐Based 0‐1 MASH DS ADC with Digital Background Calibration</t>
  </si>
  <si>
    <t xml:space="preserve">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</si>
  <si>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 xml:space="preserve">A. Sanyal, N. Sun</t>
  </si>
  <si>
    <t xml:space="preserve">10.1109/VLSIC.2016.7573465</t>
  </si>
  <si>
    <t xml:space="preserve">A 13.3mW 60MHz Bandwidth, 76dB DR 6GS/s CTDS M with Time Interleaved FIR Feedback</t>
  </si>
  <si>
    <t xml:space="preserve">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</si>
  <si>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 xml:space="preserve">A.Jain, S.Pavan</t>
  </si>
  <si>
    <t xml:space="preserve">10.1109/VLSIC.2016.7573466</t>
  </si>
  <si>
    <t xml:space="preserve">A 56Gb/s PAM4 Wireline Transceiver using a 32-way Time-Interleaved SAR ADC in 16nm FinFET</t>
  </si>
  <si>
    <t xml:space="preserve">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</si>
  <si>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 xml:space="preserve">Yohan Frans, Mohamed Elzeftawi, Hiva Hedayati, Jay Im, Vassili Kireev, Toan Pham, Jaewook Shin, Parag Upadhyaya, Lei Zhou, Santiago Asuncion, Chris Borrelli, Geoff Zhang, Hongtao Zhang, Ken Chang</t>
  </si>
  <si>
    <t xml:space="preserve">10.1109/VLSIC.2016.7573474</t>
  </si>
  <si>
    <t xml:space="preserve">Multi-modal Smart Bio-sensing SoC Platform with &gt;80dB SNR 35μA PPG RX Chain</t>
  </si>
  <si>
    <t xml:space="preserve">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</si>
  <si>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 xml:space="preserve">Ajit Sharma, Seung Bae Lee, Arup Polley, Sriram Narayanan, Wen Li, Terry Sculley, Srinath Ramaswamy</t>
  </si>
  <si>
    <t xml:space="preserve">10.1109/VLSIC.2016.7573488</t>
  </si>
  <si>
    <t xml:space="preserve">A 16-channel Noise-Shaping Machine Learning Analog-Digital Interface</t>
  </si>
  <si>
    <t xml:space="preserve">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</si>
  <si>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 xml:space="preserve">Fred N. Buhler, Adam E. Mendrela, Yong Lim, Jeffrey A. Fredenburg and Michael P. Flynn</t>
  </si>
  <si>
    <t xml:space="preserve">10.1109/VLSIC.2016.7573509</t>
  </si>
  <si>
    <t xml:space="preserve">A 12-bit 1.6 GS/s Interleaved SAR ADC with Dual Reference Shifting and Interpolation Achieving 17.8 fJ/conv-step in 65nm CMOS</t>
  </si>
  <si>
    <t xml:space="preserve">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</si>
  <si>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 xml:space="preserve">Jae-Won Nam, Mohsen Hassanpourghadi, Aoyang Zhang, and Mike Shuo-Wei Chen</t>
  </si>
  <si>
    <t xml:space="preserve">10.1109/VLSIC.2016.7573516</t>
  </si>
  <si>
    <t xml:space="preserve">A 14.6mW 12b 800MS/s 4×Time-Interleaved Pipelined SAR ADC achieving 60.8dB SNDR with Nyquist input and sampling timing skew of 60fsrms without calibration</t>
  </si>
  <si>
    <t xml:space="preserve">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</si>
  <si>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 xml:space="preserve">Yuan-Ching Lien</t>
  </si>
  <si>
    <t xml:space="preserve">10.1109/VLSIC.2016.7573517</t>
  </si>
  <si>
    <t xml:space="preserve">An Oscillator Collapse-Based Comparator with Application in a 74.1dB SNDR, 20KS/s 15b SAR ADC</t>
  </si>
  <si>
    <t xml:space="preserve">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</si>
  <si>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 xml:space="preserve">Minseob Shim, Seokhyeon Jeong, Paul Myers, Suyoung Bang, Chulwoo Kim, Dennis Sylvester, David Blaauw and Wanyeong Jung</t>
  </si>
  <si>
    <t xml:space="preserve">10.1109/VLSIC.2016.7573518</t>
  </si>
  <si>
    <t xml:space="preserve">A 0.44fJ/conversion-step 11b 600KS/s SAR ADC with Semi-Resting DAC</t>
  </si>
  <si>
    <t xml:space="preserve">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</si>
  <si>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 xml:space="preserve">10.1109/VLSIC.2016.7573519</t>
  </si>
  <si>
    <t xml:space="preserve">A 125 mW 8.5-11.5 Gb/s Serial Link Transceiver with a Dual Path 6-bit ADC/5-tap DFE Receiver and a 4-tap FFE Transmitter in 28 nm CMOS</t>
  </si>
  <si>
    <t xml:space="preserve">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</si>
  <si>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 xml:space="preserve">Bharath Raghavan, Aida Varzaghani, Lakshmi Rao, Henry Park, Xiaochen Yang, Zhi Huang, Yu Chen, Rama Kattamuri, Chunhui Wu, Bo Zhang, Jun Cao, Afshin Momtaz, and Namik Kocaman</t>
  </si>
  <si>
    <t xml:space="preserve">10.1109/VLSIC.2016.7573521</t>
  </si>
  <si>
    <t xml:space="preserve">A 23mW 24GS/s 6b Time-Interleaved Hybrid Two-Step ADC in 28nm CMOS</t>
  </si>
  <si>
    <t xml:space="preserve">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</si>
  <si>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 xml:space="preserve">Benwei Xu, Yuan Zhou, and Yun Chiu</t>
  </si>
  <si>
    <t xml:space="preserve">10.1109/VLSIC.2016.7573535</t>
  </si>
  <si>
    <t xml:space="preserve">A 8.2-mW 10-b 1.6-GS/s 4× TI SAR ADC with Fast Reference Charge Neutralization and Background Timing-Skew Calibration in 16-nm CMOS</t>
  </si>
  <si>
    <t xml:space="preserve">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</si>
  <si>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Ying-Zu Lin, Chih-Hou Tsai, Shan-Chih Tsou, Chao-Hsin Lu</t>
  </si>
  <si>
    <t xml:space="preserve">10.1109/VLSIC.2016.7573536</t>
  </si>
  <si>
    <t xml:space="preserve">A 14-bit 2.5GS/s and 5GS/s RF Sampling ADC with Background Calibration and Dither</t>
  </si>
  <si>
    <t xml:space="preserve">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</si>
  <si>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 xml:space="preserve">Ahmed M.A. Ali, Huseyin Dinc, Paritosh Bhoraskar, Scott Puckett, Andy Morgan, Ning Zhu, Qicheng Yu, Chris Dillon, Bryce Gray, Jon Lanford, Matt McShea, Ushma Mehta, Scott Bardsley, Peter Derounian, Ryan Bunch, Ralph Moore and Gerry Taylor</t>
  </si>
  <si>
    <t xml:space="preserve">10.1109/VLSIC.2016.7573537</t>
  </si>
  <si>
    <t xml:space="preserve">A 4.2mW 10MHz BW 74.4dB SNDR Fourth-Order CT DSM with Second-Order Digital Noise Coupling Utilizing an 8b SAR ADC</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</si>
  <si>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</si>
  <si>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 xml:space="preserve">I.-H. Jang, M.-J. Seo, M.-Y. Kim, J.-K. Lee, S.-Y. Baek, S.-W. Kwon, M. Choi, H.-J. Ko and S.-T. Ryu</t>
  </si>
  <si>
    <t xml:space="preserve">10.23919/VLSIC.2017.8008537</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</si>
  <si>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</si>
  <si>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</si>
  <si>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S. Li and N. Sun</t>
  </si>
  <si>
    <t xml:space="preserve">10.23919/VLSIC.2017.8008538</t>
  </si>
  <si>
    <t xml:space="preserve">A 5GS/s 156MHz BW 70dB DR Continuous-Time Sigma-Delta Modulator with TimeInterleaved Reference Data-Weighted Averaging </t>
  </si>
  <si>
    <t xml:space="preserve">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</si>
  <si>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 xml:space="preserve">M. B. Dayanik, D. Weyer and M. P. Flynn</t>
  </si>
  <si>
    <t xml:space="preserve">10.23919/VLSIC.2017.8008539</t>
  </si>
  <si>
    <t xml:space="preserve">A 55μW 93.1dB-DR 20kHz-BW Single-Bit CT ΔΣ Modulator with Negative R-Assisted Integrator Achieving 178.7dB FoM in 65nm CMOS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</si>
  <si>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</si>
  <si>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 xml:space="preserve">M. Jang, S. Lee and Y. Chae</t>
  </si>
  <si>
    <t xml:space="preserve">10.23919/VLSIC.2017.8008540</t>
  </si>
  <si>
    <t xml:space="preserve">A 16nm 69dB SNDR 300MSps ADC with Capacitive Reference Stabilization</t>
  </si>
  <si>
    <t xml:space="preserve">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</si>
  <si>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 xml:space="preserve">E. Martens, B. Hershberg and J. Craninckx</t>
  </si>
  <si>
    <t xml:space="preserve">10.23919/VLSIC.2017.8008559</t>
  </si>
  <si>
    <t xml:space="preserve">A 9.1 ENOB 21.7fJ/conversion-step 10b 500MS/s Single-Channel Pipelined SAR ADC with a Current-Mode Fine ADC in 28nm CMOS</t>
  </si>
  <si>
    <t xml:space="preserve">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</si>
  <si>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 xml:space="preserve">K.-J. Moon, H.-W. Kang, D.-S. Jo, M.-Y. Kim, S.-Y. Baek, M. Choi, H.-J. Ko and S.-T. Ryu</t>
  </si>
  <si>
    <t xml:space="preserve">10.23919/VLSIC.2017.8008560</t>
  </si>
  <si>
    <t xml:space="preserve">A Single-Channel, 600Msps, 12bit, Ringamp-Based Pipelined ADC in 28nm CMOS</t>
  </si>
  <si>
    <t xml:space="preserve">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</si>
  <si>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 xml:space="preserve">J. Lagos, B. Hershberg, E. Martens, P. Wambacq and J. Craninckx</t>
  </si>
  <si>
    <t xml:space="preserve">10.23919/VLSIC.2017.8008561</t>
  </si>
  <si>
    <t xml:space="preserve">A Calibration-Free 2.3 mW 73.2 dB SNDR 15b 100 MS/s Four-Stage Fully Differential Ring Amplifier Based SAR-Assisted Pipeline ADC</t>
  </si>
  <si>
    <t xml:space="preserve">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</si>
  <si>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 xml:space="preserve">Y. Lim and M. P. Flynn</t>
  </si>
  <si>
    <t xml:space="preserve">10.23919/VLSIC.2017.8008562</t>
  </si>
  <si>
    <t xml:space="preserve">A 2.4-mW 25-MHz BW 300-MS/s Passive Noise Shaping SAR ADC with Noise Quantizer Technique in 14-nm CMOS</t>
  </si>
  <si>
    <t xml:space="preserve">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</si>
  <si>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 xml:space="preserve">Y.-Z. Lin, C.-H. Tsai, S.-C. Tsou, R.-X. Chu and C.-H. Lu</t>
  </si>
  <si>
    <t xml:space="preserve">10.23919/VLSIC.2017.8008491</t>
  </si>
  <si>
    <t xml:space="preserve">A 13b-ENOB 173dB-FoM 2nd -Order NS SAR ADC with Passive Integrators</t>
  </si>
  <si>
    <t xml:space="preserve">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</si>
  <si>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 xml:space="preserve">W. Guo, H. Zhuang and N. Sun</t>
  </si>
  <si>
    <t xml:space="preserve">10.23919/VLSIC.2017.8008492</t>
  </si>
  <si>
    <t xml:space="preserve">A 510nW 12-bit 200kS/s SAR-Assisted SAR ADC Using a Re-Switching Technique</t>
  </si>
  <si>
    <t xml:space="preserve">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</si>
  <si>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 xml:space="preserve">Y.-S. Hu, K.-Y. Lin and H.-S. Chen</t>
  </si>
  <si>
    <t xml:space="preserve">10.23919/VLSIC.2017.8008493</t>
  </si>
  <si>
    <t xml:space="preserve">A 107 dB SFDR, 80 kS/s Nyquist-Rate SAR ADC Using a Hybrid Capacitive and Incremental ΣΔ DAC</t>
  </si>
  <si>
    <t xml:space="preserve">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</si>
  <si>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 xml:space="preserve">A. AlMarashli, J. Anders, J. Becker and M. Ortmanns</t>
  </si>
  <si>
    <t xml:space="preserve">10.23919/VLSIC.2017.8008494</t>
  </si>
  <si>
    <t xml:space="preserve">A 12b 61dB SNDR 300MS/s SAR ADC with Inverter-Based Preamplifier and Common-Mode-Regulation DAC in 14nm CMOS FinFET</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</si>
  <si>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</si>
  <si>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D. Luu, L. Kull, T. Toifl, C. Menolfi, M. Braendli, P. A. Francese, T. Morf, M. Kossel, H. Yueksel, A. Cevrero, I. Ozkaya and Q. Huang</t>
  </si>
  <si>
    <t xml:space="preserve">10.23919/VLSIC.2017.8008506</t>
  </si>
  <si>
    <t xml:space="preserve">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</si>
  <si>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</si>
  <si>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L. Luo, S. Chen, M. Zhou and T. Ye</t>
  </si>
  <si>
    <t xml:space="preserve">10.23919/VLSIC.2017.8008507</t>
  </si>
  <si>
    <t xml:space="preserve">An 18-Bit 2MS/s Pipelined SAR ADC Utilizing a Sampling Distortion Cancellation Circuit with -107dB THD at 100kHz</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</si>
  <si>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</si>
  <si>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 xml:space="preserve">D. Hummerston and P. Hurrell</t>
  </si>
  <si>
    <t xml:space="preserve">10.23919/VLSIC.2017.8008508</t>
  </si>
  <si>
    <t xml:space="preserve">Insufficient data, not clear what fin, SNDR is</t>
  </si>
  <si>
    <t xml:space="preserve">A 16-Bit 16MS/s SAR ADC with On-Chip Calibration in 55nm CMOS</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</si>
  <si>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</si>
  <si>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J. Shen, A. Shikata, L. Fernando, N. Guthrie, B. Chen, M. Maddox, N. Mascarenhas, R. Kapusta and M. Coln</t>
  </si>
  <si>
    <t xml:space="preserve">10.23919/VLSIC.2017.8008509</t>
  </si>
  <si>
    <t xml:space="preserve">A 2GS/s 8b Flash ADC Based on Remainder Number System in 65nm CMOS</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</si>
  <si>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</si>
  <si>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 xml:space="preserve">S. Zhu, B. Wu, Y. Cai and Y. Chiu</t>
  </si>
  <si>
    <t xml:space="preserve">10.23919/VLSIC.2017.8008510</t>
  </si>
  <si>
    <t xml:space="preserve">A 12-bit 31.1uW 1MS/s SAR ADC with On-Chip Input-Signal-Independent Calibration Achieving 100.4dB SFDR using 256fF Sampling Capacitance</t>
  </si>
  <si>
    <t xml:space="preserve">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</si>
  <si>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 xml:space="preserve">Junhua Shen, Akira Shikata, Anping Liu, and Frederick Chalifoux</t>
  </si>
  <si>
    <t xml:space="preserve">10.1109/VLSIC.2018.8502325</t>
  </si>
  <si>
    <t xml:space="preserve">Area includes cal.</t>
  </si>
  <si>
    <t xml:space="preserve">A 0.5-1.1V 10b Adaptive Bypassing SAR ADC Utilizing Oscillation Cycle Information of VCO-based Comparator</t>
  </si>
  <si>
    <t xml:space="preserve">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</si>
  <si>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 xml:space="preserve">Zhaoming Ding, Xiong Zhou, Qiang Li</t>
  </si>
  <si>
    <t xml:space="preserve">10.1109/VLSIC.2018.8502440</t>
  </si>
  <si>
    <t xml:space="preserve">Subranging, Time-Based</t>
  </si>
  <si>
    <t xml:space="preserve">A 2.3-mW, 950-MHz, 8-bit Fully-Time-Based Subranging ADC Using Highly-Linear Dynamic VTC</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</si>
  <si>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</si>
  <si>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 xml:space="preserve">Kenichi Ohhata</t>
  </si>
  <si>
    <t xml:space="preserve">10.1109/VLSIC.2018.8502316</t>
  </si>
  <si>
    <t xml:space="preserve">Two-step, SAR</t>
  </si>
  <si>
    <t xml:space="preserve">A &gt;3GHz ERBW 1.1GS/s 8b Two-Step SAR ADC with Recursive-Weight DAC</t>
  </si>
  <si>
    <t xml:space="preserve">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</si>
  <si>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 xml:space="preserve">H. Chen, X. Zhot, Q. Yu, F. Zhang, Q. Li</t>
  </si>
  <si>
    <t xml:space="preserve">10.1109/VLSIC.2018.8502370</t>
  </si>
  <si>
    <t xml:space="preserve">A 13bit 5GS/s ADC with time-interleaved chopping calibration in 16nm FinFET</t>
  </si>
  <si>
    <t xml:space="preserve">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</si>
  <si>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 xml:space="preserve">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</si>
  <si>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 xml:space="preserve">10.1109/VLSIC.2018.8502306</t>
  </si>
  <si>
    <t xml:space="preserve">Power &amp; area includes cal.</t>
  </si>
  <si>
    <t xml:space="preserve">A 1.2V 68μW 98.2dB-DR Audio Continuous-Time Delta-Sigma Modulator</t>
  </si>
  <si>
    <t xml:space="preserve">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</si>
  <si>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 xml:space="preserve">Changwook Lee, MoonHyung Jang, and Youngcheol Chae</t>
  </si>
  <si>
    <t xml:space="preserve">10.1109/VLSIC.2018.8502318</t>
  </si>
  <si>
    <t xml:space="preserve">A 0.029mm² 17-fJ/Conv.-Step CT ΔΣ ADC With 2nd-Order Noise-Shaping SAR Quantizer</t>
  </si>
  <si>
    <t xml:space="preserve">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</si>
  <si>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 xml:space="preserve">Jiaxin Liu, Shaolan Li, Wenjuan Guo, Guangjun Wen and Nan Sun</t>
  </si>
  <si>
    <t xml:space="preserve">10.1109/VLSIC.2018.8502424</t>
  </si>
  <si>
    <t xml:space="preserve">SDSC, Pipe, SAR</t>
  </si>
  <si>
    <t xml:space="preserve">A 77dB SNDR 12.5MHz Bandwidth 0-1 MASH ΣΔ ADC Based on the Pipelined-SAR Structure</t>
  </si>
  <si>
    <t xml:space="preserve">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</si>
  <si>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 xml:space="preserve">Yan Song, Yan Zhu, Chi-Hang Chan, Li Geng and Rui Paulo Martins</t>
  </si>
  <si>
    <t xml:space="preserve">10.1109/VLSIC.2018.8502382</t>
  </si>
  <si>
    <t xml:space="preserve">Two-Step, Incremental, Ext. Counting</t>
  </si>
  <si>
    <t xml:space="preserve">A 1.25MS/s Two-Step Incremental ADC with 100dB DR and 110dB SFDR</t>
  </si>
  <si>
    <t xml:space="preserve">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</si>
  <si>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 xml:space="preserve">Takato Katayama, Shiko Miyashita, Kazuki Sobue, Koichi Hamashita</t>
  </si>
  <si>
    <t xml:space="preserve">10.1109/VLSIC.2018.8502298</t>
  </si>
  <si>
    <t xml:space="preserve">SDSC, Incremental</t>
  </si>
  <si>
    <t xml:space="preserve">A 550μW 20kHz BW 100.8dB SNDR Linear-Exponential Multi-Bit Incremental Converter with 256-cycles in 65nm CMOS</t>
  </si>
  <si>
    <t xml:space="preserve">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</si>
  <si>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 xml:space="preserve">Biao Wang, Sai-Weng Sin, Seng-Pan U, Franco Maloberti, R. P. Martins</t>
  </si>
  <si>
    <t xml:space="preserve">10.1109/VLSIC.2018.8502384</t>
  </si>
  <si>
    <t xml:space="preserve">A 6.5μW 92.3dB-DR Biopotential-Recording Front-End with 360mVpp Linear Input Range</t>
  </si>
  <si>
    <t xml:space="preserve">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</si>
  <si>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 xml:space="preserve">Jun-Suk Bang, Hyuntak Jeon, Minkyu Je, Gyu-Hyeong Cho</t>
  </si>
  <si>
    <t xml:space="preserve">10.1109/VLSIC.2018.8502264</t>
  </si>
  <si>
    <t xml:space="preserve">A 10-bit 20-40 GS/s ADC with 37 dB SNDR at 40 GHz Input using First Order Sampling Bandwidth Calibration</t>
  </si>
  <si>
    <t xml:space="preserve">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</si>
  <si>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 xml:space="preserve">Lukas Kull, Danny Luu, Christian Menolfi, Thomas Morf, Pier Andrea Francese, Matthias Braendli, Marcel Kossel, Alessandro Cevrero, Ilter Ozkaya, Thomas Toifl</t>
  </si>
  <si>
    <t xml:space="preserve">10.1109/VLSIC.2018.8502268</t>
  </si>
  <si>
    <t xml:space="preserve">A 75.8dB-SNDR Pipeline SAR ADC with 2nd-order Interstage Gain Error Shaping</t>
  </si>
  <si>
    <t xml:space="preserve">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</si>
  <si>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 xml:space="preserve">C.-K. Hsu and N. Sun</t>
  </si>
  <si>
    <t xml:space="preserve">10.23919/VLSIC.2019.8778032</t>
  </si>
  <si>
    <t xml:space="preserve">An Amplifier-Less Calibration-Free SAR ADC Achieving &gt;100dB SNDR for Multi-Channel ECG Acquisition with 667mVpp Linear Input Range</t>
  </si>
  <si>
    <t xml:space="preserve">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</si>
  <si>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 xml:space="preserve">W.-H. Huang, S.-H. Wu, Z.-X. Chen and Y.-S. Shu</t>
  </si>
  <si>
    <t xml:space="preserve">10.23919/VLSIC.2019.8777944</t>
  </si>
  <si>
    <t xml:space="preserve">A 40nm CMOS 12b 200MS/s Single-Amplifier Dual-Residue Pipelined-SAR ADC</t>
  </si>
  <si>
    <t xml:space="preserve">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</si>
  <si>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 xml:space="preserve">M.-J. Seo, Y.-D. Kim, J.-H. Chung and S.-T. Ryu</t>
  </si>
  <si>
    <t xml:space="preserve">10.23919/VLSIC.2019.8778005</t>
  </si>
  <si>
    <t xml:space="preserve">A 0.2 - 8 MS/s 10b flexible SAR ADC Achieving 0.35 - 2.5 fJ/Conv-Step and Using Self-Quenched Dynamic Bias Comparator</t>
  </si>
  <si>
    <t xml:space="preserve">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</si>
  <si>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 xml:space="preserve">H. S. Bindra, A.-J. Annema, S. M. Louwsma and B. Nauta</t>
  </si>
  <si>
    <t xml:space="preserve">10.23919/VLSIC.2019.8778093</t>
  </si>
  <si>
    <t xml:space="preserve">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</si>
  <si>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</si>
  <si>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 xml:space="preserve">M. Guo, J. Mao, S-W. Sin, H. Wei and R. P. Martins</t>
  </si>
  <si>
    <t xml:space="preserve">10.23919/VLSIC.2019.8778077</t>
  </si>
  <si>
    <t xml:space="preserve">SAR, Single-Slope</t>
  </si>
  <si>
    <t xml:space="preserve">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</si>
  <si>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</si>
  <si>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 xml:space="preserve">J. Li, Z. Chen, M. Tan, D. van Willigen, C. Chen, Z.-Y. Chang, E. Noothout, N. de Jong, M. Verweij, and M. Pertijs</t>
  </si>
  <si>
    <t xml:space="preserve">10.23919/VLSIC.2019.8778200</t>
  </si>
  <si>
    <t xml:space="preserve">Area includes amplifiers</t>
  </si>
  <si>
    <t xml:space="preserve">A Low Power Continuous-Time Zoom ADC for Audio Applications</t>
  </si>
  <si>
    <t xml:space="preserve">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</si>
  <si>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 xml:space="preserve">B. Gonen, S. Karmakar, R. van Veldhoven and K. A. A. Makinwa</t>
  </si>
  <si>
    <t xml:space="preserve">10.23919/VLSIC.2019.8778021</t>
  </si>
  <si>
    <t xml:space="preserve">A 24mW Chopped CTDSM Achieving 103.5dB SNDR and 107.5dB DR in a 250kHz Bandwidth</t>
  </si>
  <si>
    <t xml:space="preserve">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</si>
  <si>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 xml:space="preserve">R. Theertham, P. Koottala, S. Billa and S. Pavan</t>
  </si>
  <si>
    <t xml:space="preserve">10.23919/VLSIC.2019.8778026</t>
  </si>
  <si>
    <t xml:space="preserve">A 71.4dB SNDR 30MHz BW Continuous-Time Delta-Sigma Modulator Using a Time-Interleaved Noise-Shaping Quantizer in 12-nm CMOS</t>
  </si>
  <si>
    <t xml:space="preserve">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</si>
  <si>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 xml:space="preserve">C.-H. Weng, T.-A. Wei, H.-Y. Hsieh, S.-H. Wu and T.-Y. Wang</t>
  </si>
  <si>
    <t xml:space="preserve">10.23919/VLSIC.2019.8777949</t>
  </si>
  <si>
    <t xml:space="preserve">A 3.2mW SAR-assisted CTΔΣ ADC with 77.5dB SNDR and 40MHz BW in 28nm CMOS</t>
  </si>
  <si>
    <t xml:space="preserve">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</si>
  <si>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 xml:space="preserve">P. Cenci, M. Bolatkale, R. Rutten, M. Ganzerli, G. Lassche, K. A. Makinwa and L. Breems</t>
  </si>
  <si>
    <t xml:space="preserve">10.23919/VLSIC.2019.8778176</t>
  </si>
  <si>
    <t xml:space="preserve">A 56Gb/s Long Reach Fully Adaptive Wireline PAM-4 Transceiver in 7nm FinFET</t>
  </si>
  <si>
    <t xml:space="preserve">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</si>
  <si>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 xml:space="preserve">D. Pfaff, S. Moazzeni, L. Gao, M.-C. Chuang, X.-J. Wang, C. Palusa, R. Abbott, R. Ramirez, A. Maher, M.-C. Huang, C.-C. Lin, F. Kuo, W.-L. Chen, T. Y. Goh and K. Hsieh</t>
  </si>
  <si>
    <t xml:space="preserve">10.23919/VLSIC.2019.8778051</t>
  </si>
  <si>
    <t xml:space="preserve">CD1.1</t>
  </si>
  <si>
    <t xml:space="preserve">A 1MS/s to 1GS/s Ringamp-Based Pipelined ADC with Fully Dynamic Reference Regulation and Stochastic Scope-on-Chip Background Monitoring in 16nm</t>
  </si>
  <si>
    <t xml:space="preserve">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</si>
  <si>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 xml:space="preserve">Benjamin Hershberg, Nereo Markulic, Jorge Lagos, Ewout Martens, Davide Dermit, Jan Craninckx</t>
  </si>
  <si>
    <t xml:space="preserve">10.1109/VLSICircuits18222.2020.9162788</t>
  </si>
  <si>
    <t xml:space="preserve">CD1.2</t>
  </si>
  <si>
    <t xml:space="preserve">A 10-bit 100MS/s SAR ADC with Always-on Reference Ripple Cancellation</t>
  </si>
  <si>
    <t xml:space="preserve">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</si>
  <si>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 xml:space="preserve">Xiyuan Tang, Yi Shen, Xin Xin, Shubin Liu, Jueping Cai, Zhangming Zhu, and Nan Sun</t>
  </si>
  <si>
    <t xml:space="preserve">10.1109/VLSICircuits18222.2020.9162786</t>
  </si>
  <si>
    <t xml:space="preserve">CD1.3</t>
  </si>
  <si>
    <t xml:space="preserve">SAR, Flash</t>
  </si>
  <si>
    <t xml:space="preserve">An 8b 1GS/s 2.55mW SAR-Flash ADC with Complementary Dynamic Amplifiers</t>
  </si>
  <si>
    <t xml:space="preserve">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</si>
  <si>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 xml:space="preserve">Dong-Ryeol Oh, Kyoung-Jun Moon, Won-Mook Lim, Ye-Dam Kim, Eun-Ji An and Seung-Tak Ryu</t>
  </si>
  <si>
    <t xml:space="preserve">10.1109/VLSICircuits18222.2020.9163064</t>
  </si>
  <si>
    <t xml:space="preserve">CD2.1</t>
  </si>
  <si>
    <t xml:space="preserve">A 440μW, 109.8dB DR, 106.5dB SNDR Discrete-Time Zoom ADC with a 20kHz BW</t>
  </si>
  <si>
    <t xml:space="preserve">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</si>
  <si>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Efraïm Eland, Shoubhik Karmakar, Burak Gönen, Robert van Veldhoven, and Kofi Makinwa</t>
  </si>
  <si>
    <t xml:space="preserve">10.1109/VLSICircuits18222.2020.9162856</t>
  </si>
  <si>
    <t xml:space="preserve">CD2.2</t>
  </si>
  <si>
    <t xml:space="preserve">A 5MHz-BW, 86.1dB-SNDR 4X Time-Interleaved Second-Order ΔΣ Modulator with Digital Feedforward Extrapolation in 28nm</t>
  </si>
  <si>
    <t xml:space="preserve">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</si>
  <si>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 xml:space="preserve">Dongyang Jiang, Liang Qi, Sai-Weng Sin, Franco Maloberti, and R.P. Martins</t>
  </si>
  <si>
    <t xml:space="preserve">10.1109/VLSICircuits18222.2020.9162798</t>
  </si>
  <si>
    <t xml:space="preserve">CD2.3</t>
  </si>
  <si>
    <t xml:space="preserve">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</si>
  <si>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</si>
  <si>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 xml:space="preserve">Kai Xing, Wei Wang, Yan Zhu, Chi-Hang Chan, and Rui Paulo Martins</t>
  </si>
  <si>
    <t xml:space="preserve">10.1109/VLSICircuits18222.2020.9162797</t>
  </si>
  <si>
    <t xml:space="preserve">CD2.4</t>
  </si>
  <si>
    <t xml:space="preserve">A 1GS/s Reconfigurable BW 2nd-Order Noise-Shaping Hybrid Voltage-Time Two-Step ADC Achieving 170.9dB FoMs</t>
  </si>
  <si>
    <t xml:space="preserve">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</si>
  <si>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 xml:space="preserve">Yifan Lyu, Filip Tevernier</t>
  </si>
  <si>
    <t xml:space="preserve">10.1109/VLSICircuits18222.2020.9162805</t>
  </si>
  <si>
    <t xml:space="preserve">CD2.5</t>
  </si>
  <si>
    <t xml:space="preserve">A SAR ADC with Reduced kT/C Noise by Decoupling Noise PSD and BW</t>
  </si>
  <si>
    <t xml:space="preserve">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</si>
  <si>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 xml:space="preserve">Zhelu Li, Arnab Dutta, Abhishek Mukherjee, Xiyuan Tang, Linxiao Shen, Lenian He, and Nan Sun</t>
  </si>
  <si>
    <t xml:space="preserve">10.1109/VLSICircuits18222.2020.9162846</t>
  </si>
  <si>
    <t xml:space="preserve">CW2.3</t>
  </si>
  <si>
    <t xml:space="preserve">Time-Based, TI</t>
  </si>
  <si>
    <t xml:space="preserve">Open-Source Synthesizable Analog Blocks for High-Speed Link Designs: 20GS/s 5b ENOB Analog-to-Digital Converter and 5GHz Phase Interpolator</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</si>
  <si>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</si>
  <si>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Sung-Jin Kim, Zachary Myers, Steven Herbst, ByongChan Lim, Mark Horowitz</t>
  </si>
  <si>
    <t xml:space="preserve">10.1109/VLSICircuits18222.2020.9162800</t>
  </si>
  <si>
    <t xml:space="preserve">C14-1</t>
  </si>
  <si>
    <t xml:space="preserve">A 0.6V 86.5dB-DR 40kHz-BW Inverter-Based Continuous-Time Delta-Sigma Modulator with PVT-Robust Body-Biasing Technique</t>
  </si>
  <si>
    <t xml:space="preserve">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</si>
  <si>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 xml:space="preserve">S. Lee, S. Park, Y. Kim and Y. Chae</t>
  </si>
  <si>
    <t xml:space="preserve">10.23919/VLSICircuits52068.2021.9492519</t>
  </si>
  <si>
    <t xml:space="preserve">C14-2</t>
  </si>
  <si>
    <t xml:space="preserve">OTA-free 1-1 MASH ADC Using Fully Passive Noise Shaping SAR &amp; VCO ADC</t>
  </si>
  <si>
    <t xml:space="preserve">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</si>
  <si>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 xml:space="preserve">S. T. Chandrasekaran, S. P. Bhanushali, S. Pietri and A. Sanyal</t>
  </si>
  <si>
    <t xml:space="preserve">10.23919/VLSICircuits52068.2021.9492344</t>
  </si>
  <si>
    <t xml:space="preserve">C14-3</t>
  </si>
  <si>
    <t xml:space="preserve">A 300MHz-BW 38mW 37dB/40dB SNDR/DR Frequency-Interleaving Continuous-Time Bandpass Delta-Sigma ADC in 28nm CMOS</t>
  </si>
  <si>
    <t xml:space="preserve">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</si>
  <si>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 xml:space="preserve">R. Lu and M. P. Flynn</t>
  </si>
  <si>
    <t xml:space="preserve">10.23919/VLSICircuits52068.2021.9492383</t>
  </si>
  <si>
    <t xml:space="preserve">C15-1</t>
  </si>
  <si>
    <t xml:space="preserve">A 10.0 ENOB, 6.2 fJ/conv.-step, 500 MS/s Ringamp-Based Pipelined-SAR ADC with Background Calibration and Dynamic Reference Regulation in 16nm CMOS</t>
  </si>
  <si>
    <t xml:space="preserve">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</si>
  <si>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 xml:space="preserve">J. Lagos, N. Markulic, B. Hershberg, D. Dermit, M. Shrivas, E. Martens and J. Craninckx</t>
  </si>
  <si>
    <t xml:space="preserve">10.23919/VLSICircuits52068.2021.9492354</t>
  </si>
  <si>
    <t xml:space="preserve">C15-2</t>
  </si>
  <si>
    <t xml:space="preserve">A 20GS/s 8b Time-Interleaved Time-Domain ADC with Input-Independent Background Timing Skew Calibration</t>
  </si>
  <si>
    <t xml:space="preserve">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</si>
  <si>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 xml:space="preserve">M. Zhang, Y. Zhu, C.-H. Chan and R. P. Martins</t>
  </si>
  <si>
    <t xml:space="preserve">10.23919/VLSICircuits52068.2021.9492436</t>
  </si>
  <si>
    <t xml:space="preserve">C15-3</t>
  </si>
  <si>
    <t xml:space="preserve">A Compact 8-bit, 8 GS/s 8xTI SAR ADC in 16nm with 45dB SNDR and 5 GHz ERBW</t>
  </si>
  <si>
    <t xml:space="preserve">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</si>
  <si>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 xml:space="preserve">E. Martens, D. Dermit, M. Shrivas, S. Nagata and J. Craninckx</t>
  </si>
  <si>
    <t xml:space="preserve">10.23919/VLSICircuits52068.2021.9492512</t>
  </si>
  <si>
    <t xml:space="preserve">C15-4</t>
  </si>
  <si>
    <t xml:space="preserve">An Auxiliary-Channel-Sharing Background Distortion and Gain Calibration Achieving &gt;8dB SFDR Improvement over 4th Nyquist Zone in 1GS/s ADC</t>
  </si>
  <si>
    <t xml:space="preserve">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</si>
  <si>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 xml:space="preserve">L. Wei, Z. Zheng, N. Markulic, J. Lagos, E. Martens, Y. Zhu, C. Chan, J. Craninckx and R. P. Martins</t>
  </si>
  <si>
    <t xml:space="preserve">10.23919/VLSICircuits52068.2021.9492336</t>
  </si>
  <si>
    <t xml:space="preserve">C19-2</t>
  </si>
  <si>
    <t xml:space="preserve">A Self-Powered Wireless Gas Sensor Node Based on Photovoltaic Energy Harvesting</t>
  </si>
  <si>
    <t xml:space="preserve">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</si>
  <si>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 xml:space="preserve">Phan Dang Hung, Yechan Park, Soon-Jae Kweon, Taeju Lee, Hyuntak Jeon, Seok-Tae Koh, Incheol Cho, Jun-Bo Yoon, Inkyu Park, Chul Kim, Sohmyung Ha, and Minkyu Je</t>
  </si>
  <si>
    <t xml:space="preserve">10.23919/VLSICircuits52068.2021.9492499</t>
  </si>
  <si>
    <t xml:space="preserve">C06-1</t>
  </si>
  <si>
    <t xml:space="preserve">A 600mVPP-Input-Range 94.5dB-SNDR NS-SAR-Nested DSM with 4th-Order Truncation-Error Shaping and Input-Impedance Boosting for Biosignal Acquisition</t>
  </si>
  <si>
    <t xml:space="preserve">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</si>
  <si>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 xml:space="preserve"> K. Jeong, G. Yun, S. Ha, M. Je</t>
  </si>
  <si>
    <t xml:space="preserve">10.1109/VLSITechnologyandCir46769.2022.9830401</t>
  </si>
  <si>
    <t xml:space="preserve">C06-2</t>
  </si>
  <si>
    <t xml:space="preserve">An 81.6dB SNDR 15.625MHz BW 3rd Order CT SDM with a True TI NS Quantizer</t>
  </si>
  <si>
    <t xml:space="preserve">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</si>
  <si>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 xml:space="preserve">S. Lee, T. Kang, S. Song, K. Kwon, M. Flynn</t>
  </si>
  <si>
    <t xml:space="preserve">10.1109/VLSITechnologyandCir46769.2022.9830207</t>
  </si>
  <si>
    <t xml:space="preserve">C06-3</t>
  </si>
  <si>
    <t xml:space="preserve">A 100kHz-Bandwidth 98.3dB-SNDR Noise-Shaping SAR ADC with Improved Mismatch Error Shaping and Speed-Up Techniques</t>
  </si>
  <si>
    <t xml:space="preserve">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</si>
  <si>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 xml:space="preserve">K. Hasebe, S. Etou, D. Miyazaki, T. Iguchi, Y. Yagishita, M. Takasaki, T. Nogamida, H. Watanabe, T. Matsumoto, Y. Katayama</t>
  </si>
  <si>
    <t xml:space="preserve">10.1109/VLSITechnologyandCir46769.2022.9830166</t>
  </si>
  <si>
    <t xml:space="preserve">C06-4</t>
  </si>
  <si>
    <t xml:space="preserve">SAR, Two-Step</t>
  </si>
  <si>
    <t xml:space="preserve">A First-Order Continuous-Time Noise-Shaping SAR ADC with Duty-Cycled Integrator</t>
  </si>
  <si>
    <t xml:space="preserve">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</si>
  <si>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 xml:space="preserve">H. Li, Y. Shen, E. Cantatore, P. Harpe</t>
  </si>
  <si>
    <t xml:space="preserve">10.1109/VLSITechnologyandCir46769.2022.9830373</t>
  </si>
  <si>
    <t xml:space="preserve">C10-2</t>
  </si>
  <si>
    <t xml:space="preserve">A 50 MS/s 65 dB-SNDR Pipelined SAR ADC using Capacitively Degenerated Two-Stage Dynamic Amplifier</t>
  </si>
  <si>
    <t xml:space="preserve">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</si>
  <si>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 xml:space="preserve">H. Yoon, T. Kim, Y. Kwon, Y. Chae</t>
  </si>
  <si>
    <t xml:space="preserve">10.1109/VLSITechnologyandCir46769.2022.9830300</t>
  </si>
  <si>
    <t xml:space="preserve">C10-3</t>
  </si>
  <si>
    <t xml:space="preserve">A 0.56mW 63.6dB SNDR 250MS/s SAR ADC in 8nm FinFET</t>
  </si>
  <si>
    <t xml:space="preserve">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</si>
  <si>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 xml:space="preserve">J. Lee, Y. Lim, J. Lee, T. Jang, K. Kang, J. Cho, S. Oh</t>
  </si>
  <si>
    <t xml:space="preserve">10.1109/VLSITechnologyandCir46769.2022.9830180</t>
  </si>
  <si>
    <t xml:space="preserve">C10-4</t>
  </si>
  <si>
    <t xml:space="preserve">A 9.8-fJ/conv.-step FoMW 8b 2.5-GS/s Single-Channel CDAC-Assisted Subranging ADC with Reference-Embedded Comparators</t>
  </si>
  <si>
    <t xml:space="preserve">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</si>
  <si>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 xml:space="preserve">J-C Wang, B-Y Li, T-H Kuo</t>
  </si>
  <si>
    <t xml:space="preserve">10.1109/VLSITechnologyandCir46769.2022.9830239</t>
  </si>
  <si>
    <t xml:space="preserve">C10-5</t>
  </si>
  <si>
    <t xml:space="preserve">RaM-SAR: A Low Energy and Area Overhead, 11.3fJ/conv.-step 12b 25MS/s Secure Random-Mapping SAR ADC with Power and EM Side-channel Attacks Resilience</t>
  </si>
  <si>
    <t xml:space="preserve">This paper presents a 12b 25MS/s 11.3fJ/conv.-step. secure random-mapping SAR ADC with power/EM side-channel attack resilience. A prototype in 65nm CMOS demonstrates significant improvement for 12.5× higher bandwidth and 4.8× better energy-efficiency over prior works.</t>
  </si>
  <si>
    <t xml:space="preserve">R. Chen, H. Wang, A. Chandrakasan, H-S Lee</t>
  </si>
  <si>
    <t xml:space="preserve">10.1109/VLSITechnologyandCir46769.2022.9830365</t>
  </si>
  <si>
    <t xml:space="preserve">C18-4</t>
  </si>
  <si>
    <t xml:space="preserve">A 0.4mm3 Battery-Less Crystal-Less Neural-Recording SoC Achieving 1.6cm Backscattering Range with 2mm×2mm On-Chip Antenna</t>
  </si>
  <si>
    <t xml:space="preserve">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</si>
  <si>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 xml:space="preserve">C. Yang, Y. Zhang, Z. Chang, Z. Li, T. Zheng, Y. Luo, S. Zhang, K. Xu, G. Pan, B. Zhao</t>
  </si>
  <si>
    <t xml:space="preserve">10.1109/VLSITechnologyandCir46769.2022.9830235</t>
  </si>
  <si>
    <t xml:space="preserve">C19-1</t>
  </si>
  <si>
    <t xml:space="preserve">An 8-bit 56GS/s 64x Time-Interleaved ADC with Bootstrapped Sampler and Class‑AB Buffer in 4nm CMOS</t>
  </si>
  <si>
    <t xml:space="preserve">A 56 GS/s 8-bit 16x4 SAR ADC in 4nm CMOS is demonstrated. The ADC uses a novel bootstrapping technique and a class-AB follower. The ENOB is 6.5 at low frequency and stays above 5.2 up to Nyquist. The bandwidth is higher than 27 GHz and the efficiency is 47 fJ/conv.step.</t>
  </si>
  <si>
    <t xml:space="preserve">A. Yonar, P. Francese, M. Braendli, M. Kossel, T. Morf, J. Proesel, S. Rylov, H. Ainspan, M. Cochet, Z. Deniz, T. Dickson, T. Beukema, C. Baks, M. Beakes, J. Bulzacchelli, Y-H Choi, B-J Yoo, H. Ahn, D-H Lim, G. Kang, S-H Park, M. Meghelli, H-G Rhew, D. Friedman, M. Choi, M. Soyuer, J. Shin</t>
  </si>
  <si>
    <t xml:space="preserve">10.1109/VLSITechnologyandCir46769.2022.9830308</t>
  </si>
  <si>
    <t xml:space="preserve">A 6.0mW 3.8GS/s 7b VTC/TDC-Assisted Interleaved SAR ADC with 13GHz ERBW</t>
  </si>
  <si>
    <t xml:space="preserve">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</si>
  <si>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 xml:space="preserve">A. Whitcombe, C. Lee, A. Kuriparambil Thekkumpate, S. Kundu, J. Timbadiya, A. Agrawal, B. Carlton, P. Sagazio, S. Pellerano, C. Hull</t>
  </si>
  <si>
    <t xml:space="preserve">10.1109/VLSITechnologyandCir46769.2022.9830329</t>
  </si>
  <si>
    <t xml:space="preserve">C19-3</t>
  </si>
  <si>
    <t xml:space="preserve">SAR, Pipe, TI</t>
  </si>
  <si>
    <t xml:space="preserve">A 12-bit 10GS/s 16-Channel Time-Interleaved ADC with a Digital Processing Timing-Skew Background Calibration in 5nm FinFET</t>
  </si>
  <si>
    <t xml:space="preserve">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</si>
  <si>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 xml:space="preserve">K-J Moon, D-R Oh, Y-H Park, K-H Lee, S-J Park, S-N Lee, H-C Hwang, H-C Shin, Y-J Cho, M. Choi, J-S Shin</t>
  </si>
  <si>
    <t xml:space="preserve">10.1109/VLSITechnologyandCir46769.2022.9830208</t>
  </si>
  <si>
    <t xml:space="preserve">Area estimated</t>
  </si>
  <si>
    <t xml:space="preserve">C19-4</t>
  </si>
  <si>
    <t xml:space="preserve">TI</t>
  </si>
  <si>
    <t xml:space="preserve">A Relative-Prime Rotation Based Fully On-Chip Background Skew Calibration for Time-Interleaved ADCs</t>
  </si>
  <si>
    <t xml:space="preserve">An on-chip background skew calibration technique for time interleaved (TI) ADCs with relative-prime rotation (RPR) based autocorrelation computation is presented, with which more flexible choice of number of channels and no residual skew accumulation are realized.</t>
  </si>
  <si>
    <t xml:space="preserve">D-J Chang, S-T Ryu</t>
  </si>
  <si>
    <t xml:space="preserve">10.1109/VLSITechnologyandCir46769.2022.9830416</t>
  </si>
  <si>
    <t xml:space="preserve">C4-1</t>
  </si>
  <si>
    <t xml:space="preserve">Pipe, CT</t>
  </si>
  <si>
    <t xml:space="preserve">A 6.4-GS/s 1-GHz BW Continuous-Time Pipelined ADC with Time-Interleaved Sub-ADC-DAC Achieving 61.7-dB SNDR in 16-nm FinFET</t>
  </si>
  <si>
    <t xml:space="preserve">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</si>
  <si>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 xml:space="preserve">R. Mittal, H. Shibata, S. Patil, E. Krommenhoek, P. Shrestha, G. Manganaro, A. P. Chandrakasan, H.-S. Lee</t>
  </si>
  <si>
    <t xml:space="preserve">10.23919/VLSITechnologyandCir57934.2023.10185279</t>
  </si>
  <si>
    <t xml:space="preserve">VSUP not stated</t>
  </si>
  <si>
    <t xml:space="preserve">C4-2</t>
  </si>
  <si>
    <t xml:space="preserve">A 0.024mm2 84.2dB-SNDR 1MHz-BW 3rd-Order VCO-Based CTDSM with NS-SAR Quantizer (NSQ VCO CTDSM)</t>
  </si>
  <si>
    <t xml:space="preserve">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</si>
  <si>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 xml:space="preserve">H.-W. Chen, S. Lee, M. Flynn</t>
  </si>
  <si>
    <t xml:space="preserve">10.23919/VLSITechnologyandCir57934.2023.10185345</t>
  </si>
  <si>
    <t xml:space="preserve">C4-3</t>
  </si>
  <si>
    <t xml:space="preserve">A 6GHz Multi-Path Multi-Frequency Chopping CTΔΣ Modulator Achieving 122dBFS SFDR from 150kHz to 120MHz BW</t>
  </si>
  <si>
    <t xml:space="preserve">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</si>
  <si>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 xml:space="preserve">S. Javvaji, M. Bolatkale, S. Bajoria, R. Rutten, B. O. Essink, K. Beijens, K. Makinwa, L. Breems</t>
  </si>
  <si>
    <t xml:space="preserve">10.23919/VLSITechnologyandCir57934.2023.10185356</t>
  </si>
  <si>
    <t xml:space="preserve">VSUP not stated, SFDR excludes HD</t>
  </si>
  <si>
    <t xml:space="preserve">C4-4</t>
  </si>
  <si>
    <t xml:space="preserve">A 4.4 GS/s 220 MHz ΣΔ ADC with a Linearized Back-Gate Controlled GmC Filter</t>
  </si>
  <si>
    <t xml:space="preserve">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</si>
  <si>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 xml:space="preserve">J. Edler, M. Runge, S. Linnhoff and F. Gerfers</t>
  </si>
  <si>
    <t xml:space="preserve">10.23919/VLSITechnologyandCir57934.2023.10185281</t>
  </si>
  <si>
    <t xml:space="preserve">A 2GS/s 11b 8x Interleaved ADC with 9.2 ENOB and 69.9dB SFDR in 28nm CMOS</t>
  </si>
  <si>
    <t xml:space="preserve">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</si>
  <si>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 xml:space="preserve">L. Ricci, L. Scaletti, G. Bé, M. Rocco, L. Bertulessi, S. Levantino, A. Lacaita, C. Samori, A. Bonfanti</t>
  </si>
  <si>
    <t xml:space="preserve">10.23919/VLSITechnologyandCir57934.2023.10185370</t>
  </si>
  <si>
    <t xml:space="preserve">Power includes cal.</t>
  </si>
  <si>
    <t xml:space="preserve">A 79.5dB-SNDR Pipelined-SAR ADC with a Linearity-Shifting 32× Dynamic Amplifier and Mounted-Over-Die Bypass Capacitors</t>
  </si>
  <si>
    <t xml:space="preserve">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</si>
  <si>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 xml:space="preserve">M. Zhang, Y. Cao, Y. Zhu, C.-H. Chan, R. P. Martins</t>
  </si>
  <si>
    <t xml:space="preserve">10.23919/VLSITechnologyandCir57934.2023.10185416</t>
  </si>
  <si>
    <t xml:space="preserve">A 150-MS/s Fully Dynamic SAR-Assisted Pipeline ADC Using a Floating Ring Amplifier and Gain-Enhancing Miller Negative-C</t>
  </si>
  <si>
    <t xml:space="preserve">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</si>
  <si>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 xml:space="preserve">S. Song, T. Kang, S. Lee, M. P. Flynn</t>
  </si>
  <si>
    <t xml:space="preserve">10.23919/VLSITechnologyandCir57934.2023.10185377</t>
  </si>
  <si>
    <t xml:space="preserve">C14-4</t>
  </si>
  <si>
    <t xml:space="preserve">A 0.75V 0.016mm2 12ENOB 7nm CMOS Cyclic ADC with 1.5bit Passive Amplification Stage and Dynamic Capacitance Scaling</t>
  </si>
  <si>
    <t xml:space="preserve">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</si>
  <si>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 xml:space="preserve">T. Oshima, K. Yamamoto, G. Ono</t>
  </si>
  <si>
    <t xml:space="preserve">10.23919/VLSITechnologyandCir57934.2023.10185426</t>
  </si>
  <si>
    <t xml:space="preserve">C18-1</t>
  </si>
  <si>
    <t xml:space="preserve">Level Crossing</t>
  </si>
  <si>
    <t xml:space="preserve">A 3-320 fJ/Conv.step Continuous Time Level Crossing ADC with Dynamic Self-Biasing Comparators Achieving 61.4 dB-SNDR</t>
  </si>
  <si>
    <t xml:space="preserve">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</si>
  <si>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 xml:space="preserve">M. Timmermans, M. Fattori, P. Harpe, Y.-H. Liu, E. Cantatore</t>
  </si>
  <si>
    <t xml:space="preserve">10.23919/VLSITechnologyandCir57934.2023.10185322</t>
  </si>
  <si>
    <t xml:space="preserve">Power for fin=16kHz</t>
  </si>
  <si>
    <t xml:space="preserve">C18-2</t>
  </si>
  <si>
    <t xml:space="preserve">A 24-OSR to Simplify Anti-Aliasing Filter 2MHz-BW 83dB-DR 3rd-Order DT-DSM Using FIA-Based Integrator and Noise-Shaping SAR Combined Digital Noise-Coupling Quantizer</t>
  </si>
  <si>
    <t xml:space="preserve">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</si>
  <si>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 xml:space="preserve">M. Fukazawa, T. Matsui</t>
  </si>
  <si>
    <t xml:space="preserve">10.23919/VLSITechnologyandCir57934.2023.10185310</t>
  </si>
  <si>
    <t xml:space="preserve">C18-3</t>
  </si>
  <si>
    <t xml:space="preserve">SAR, SDSC, TI</t>
  </si>
  <si>
    <t xml:space="preserve">A 2.5mW 12MHz-BW 69dB SNDR Passive Bandpass ΔΣ ADC with Highpass Noise-Shaping SAR Quantizers</t>
  </si>
  <si>
    <t xml:space="preserve">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</si>
  <si>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 xml:space="preserve">S. Oh, S. Park, Y. Jung, J. Koo, D. Cho, S. Ha, M. Je</t>
  </si>
  <si>
    <t xml:space="preserve">10.23919/VLSITechnologyandCir57934.2023.10185342</t>
  </si>
  <si>
    <t xml:space="preserve">Jitter</t>
  </si>
  <si>
    <t xml:space="preserve">snr=-20log(2*pi*sigma*f)</t>
  </si>
  <si>
    <t xml:space="preserve">f</t>
  </si>
  <si>
    <t xml:space="preserve">SNR</t>
  </si>
  <si>
    <t xml:space="preserve">FOMW</t>
  </si>
  <si>
    <t xml:space="preserve">fomw=p/fsnyq/2^ENOB</t>
  </si>
  <si>
    <t xml:space="preserve">sndr</t>
  </si>
  <si>
    <t xml:space="preserve">p_fs [pJ]</t>
  </si>
  <si>
    <t xml:space="preserve">FOMS</t>
  </si>
  <si>
    <t xml:space="preserve">foms=sndr+10log(fsnyq/2/p)</t>
  </si>
  <si>
    <t xml:space="preserve">Extraction of 5 best data points to date:</t>
  </si>
  <si>
    <t xml:space="preserve">FOMW,hf</t>
  </si>
  <si>
    <t xml:space="preserve">FOMW,hf/fsnyq</t>
  </si>
  <si>
    <t xml:space="preserve">FOMS,hf</t>
  </si>
  <si>
    <t xml:space="preserve">ISSCC</t>
  </si>
  <si>
    <t xml:space="preserve">VLSI</t>
  </si>
  <si>
    <t xml:space="preserve">Overall</t>
  </si>
  <si>
    <t xml:space="preserve">AVG</t>
  </si>
  <si>
    <t xml:space="preserve">FOMW,hf corner frequency:</t>
  </si>
  <si>
    <t xml:space="preserve">FOMS,hf corner frequency:</t>
  </si>
  <si>
    <t xml:space="preserve">Now use this info to create plot envelopes, assuming first order roll-off beyond corner:</t>
  </si>
  <si>
    <t xml:space="preserve">log(f/Hz)</t>
  </si>
  <si>
    <t xml:space="preserve">Envelope</t>
  </si>
</sst>
</file>

<file path=xl/styles.xml><?xml version="1.0" encoding="utf-8"?>
<styleSheet xmlns="http://schemas.openxmlformats.org/spreadsheetml/2006/main">
  <numFmts count="14">
    <numFmt numFmtId="164" formatCode="General"/>
    <numFmt numFmtId="165" formatCode="0.00"/>
    <numFmt numFmtId="166" formatCode="@"/>
    <numFmt numFmtId="167" formatCode="0"/>
    <numFmt numFmtId="168" formatCode="0.0000"/>
    <numFmt numFmtId="169" formatCode="0.00E+00"/>
    <numFmt numFmtId="170" formatCode="0.0"/>
    <numFmt numFmtId="171" formatCode="0.000"/>
    <numFmt numFmtId="172" formatCode="0.000E+00"/>
    <numFmt numFmtId="173" formatCode="0.00\.E+00"/>
    <numFmt numFmtId="174" formatCode="0.00000"/>
    <numFmt numFmtId="175" formatCode="General"/>
    <numFmt numFmtId="176" formatCode="0.E+00"/>
    <numFmt numFmtId="177" formatCode="#,##0"/>
  </numFmts>
  <fonts count="21">
    <font>
      <sz val="1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name val="Arial"/>
      <family val="2"/>
      <charset val="1"/>
    </font>
    <font>
      <b val="true"/>
      <u val="single"/>
      <sz val="10"/>
      <name val="Arial"/>
      <family val="2"/>
      <charset val="1"/>
    </font>
    <font>
      <b val="true"/>
      <sz val="10"/>
      <color rgb="FF000000"/>
      <name val="Arial"/>
      <family val="2"/>
      <charset val="1"/>
    </font>
    <font>
      <u val="single"/>
      <sz val="10"/>
      <color rgb="FF0000FF"/>
      <name val="Arial"/>
      <family val="2"/>
      <charset val="1"/>
    </font>
    <font>
      <sz val="10"/>
      <color rgb="FF333333"/>
      <name val="Verdana"/>
      <family val="2"/>
      <charset val="1"/>
    </font>
    <font>
      <sz val="10"/>
      <color rgb="FFFF0000"/>
      <name val="Arial"/>
      <family val="2"/>
      <charset val="1"/>
    </font>
    <font>
      <vertAlign val="superscript"/>
      <sz val="10"/>
      <name val="Arial"/>
      <family val="2"/>
      <charset val="1"/>
    </font>
    <font>
      <vertAlign val="superscript"/>
      <sz val="10"/>
      <color rgb="FF000000"/>
      <name val="Arial"/>
      <family val="2"/>
      <charset val="1"/>
    </font>
    <font>
      <vertAlign val="subscript"/>
      <sz val="10"/>
      <color rgb="FF000000"/>
      <name val="Arial"/>
      <family val="2"/>
      <charset val="1"/>
    </font>
    <font>
      <sz val="10"/>
      <color rgb="FF231F20"/>
      <name val="Arial"/>
      <family val="2"/>
      <charset val="1"/>
    </font>
    <font>
      <b val="true"/>
      <sz val="10"/>
      <color rgb="FFC00000"/>
      <name val="Arial"/>
      <family val="2"/>
      <charset val="1"/>
    </font>
    <font>
      <sz val="16"/>
      <color rgb="FF000000"/>
      <name val="Arial"/>
      <family val="2"/>
    </font>
    <font>
      <b val="true"/>
      <sz val="20"/>
      <color rgb="FF000000"/>
      <name val="Arial"/>
      <family val="2"/>
    </font>
    <font>
      <sz val="12.85"/>
      <color rgb="FF000000"/>
      <name val="Arial"/>
      <family val="2"/>
    </font>
    <font>
      <sz val="12"/>
      <color rgb="FF000000"/>
      <name val="Arial"/>
      <family val="2"/>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fals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readingOrder="1"/>
      <protection locked="false" hidden="false"/>
    </xf>
    <xf numFmtId="164" fontId="5" fillId="0" borderId="0" xfId="0" applyFont="true" applyBorder="false" applyAlignment="true" applyProtection="true">
      <alignment horizontal="general" vertical="center" textRotation="0" wrapText="true" indent="0" shrinkToFit="false"/>
      <protection locked="fals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tru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70" fontId="5"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70"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8" fillId="0" borderId="0" xfId="22"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20" applyFont="false" applyBorder="true" applyAlignment="true" applyProtection="true">
      <alignment horizontal="left"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true" applyProtection="false">
      <alignment horizontal="center" vertical="bottom" textRotation="0" wrapText="false" indent="0" shrinkToFit="false"/>
      <protection locked="true" hidden="false"/>
    </xf>
    <xf numFmtId="170" fontId="8" fillId="0" borderId="0" xfId="0" applyFont="true" applyBorder="fals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9" fontId="8" fillId="0" borderId="0" xfId="0" applyFont="tru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70"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fill" vertical="bottom" textRotation="0" wrapText="false" indent="0" shrinkToFit="false"/>
      <protection locked="true" hidden="false"/>
    </xf>
    <xf numFmtId="168" fontId="4" fillId="0" borderId="0" xfId="0" applyFont="true" applyBorder="false" applyAlignment="true" applyProtection="false">
      <alignment horizontal="left" vertical="bottom" textRotation="0" wrapText="false" indent="0" shrinkToFit="false"/>
      <protection locked="true" hidden="false"/>
    </xf>
    <xf numFmtId="167" fontId="8" fillId="0" borderId="0" xfId="21" applyFont="true" applyBorder="false" applyAlignment="true" applyProtection="false">
      <alignment horizontal="center" vertical="bottom" textRotation="0" wrapText="false" indent="0" shrinkToFit="false"/>
      <protection locked="true" hidden="false"/>
    </xf>
    <xf numFmtId="170" fontId="4" fillId="0" borderId="0" xfId="21" applyFont="true" applyBorder="false" applyAlignment="true" applyProtection="false">
      <alignment horizontal="left" vertical="bottom" textRotation="0" wrapText="false" indent="0" shrinkToFit="false"/>
      <protection locked="true" hidden="false"/>
    </xf>
    <xf numFmtId="166" fontId="4" fillId="0" borderId="0" xfId="21" applyFont="true" applyBorder="false" applyAlignment="true" applyProtection="false">
      <alignment horizontal="center" vertical="bottom" textRotation="0" wrapText="false" indent="0" shrinkToFit="false"/>
      <protection locked="true" hidden="false"/>
    </xf>
    <xf numFmtId="166" fontId="4" fillId="0" borderId="0" xfId="21" applyFont="true" applyBorder="false" applyAlignment="true" applyProtection="false">
      <alignment horizontal="left" vertical="bottom" textRotation="0" wrapText="false" indent="0" shrinkToFit="false"/>
      <protection locked="true" hidden="false"/>
    </xf>
    <xf numFmtId="167" fontId="4" fillId="0" borderId="0" xfId="21"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0" fontId="4"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fals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8"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71" fontId="6" fillId="0" borderId="0" xfId="0" applyFont="true" applyBorder="fals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70" fontId="11"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6" fontId="6" fillId="0" borderId="0" xfId="0" applyFont="true" applyBorder="false" applyAlignment="true" applyProtection="false">
      <alignment horizontal="left" vertical="top" textRotation="0" wrapText="false" indent="0" shrinkToFit="false"/>
      <protection locked="true" hidden="false"/>
    </xf>
    <xf numFmtId="169" fontId="6" fillId="0"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70" fontId="4" fillId="0" borderId="0" xfId="0" applyFont="true" applyBorder="false" applyAlignment="true" applyProtection="false">
      <alignment horizontal="right" vertical="bottom" textRotation="0" wrapText="false" indent="0" shrinkToFit="false"/>
      <protection locked="true" hidden="false"/>
    </xf>
    <xf numFmtId="172" fontId="6" fillId="0" borderId="0" xfId="0" applyFont="true" applyBorder="false" applyAlignment="true" applyProtection="false">
      <alignment horizontal="right"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70" fontId="6"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left" vertical="bottom" textRotation="0" wrapText="tru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true" applyProtection="false">
      <alignment horizontal="right" vertical="bottom" textRotation="0" wrapText="false" indent="0" shrinkToFit="false"/>
      <protection locked="true" hidden="false"/>
    </xf>
    <xf numFmtId="173" fontId="0" fillId="0" borderId="0" xfId="0" applyFont="true" applyBorder="false" applyAlignment="true" applyProtection="false">
      <alignment horizontal="center"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false" applyAlignment="true" applyProtection="false">
      <alignment horizontal="center" vertical="bottom" textRotation="0" wrapText="false" indent="0" shrinkToFit="false"/>
      <protection locked="true" hidden="false"/>
    </xf>
    <xf numFmtId="173" fontId="6"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general" vertical="bottom" textRotation="0" wrapText="true" indent="0" shrinkToFit="false"/>
      <protection locked="true" hidden="false"/>
    </xf>
    <xf numFmtId="169" fontId="8" fillId="0" borderId="0" xfId="22"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readingOrder="1"/>
      <protection locked="false" hidden="false"/>
    </xf>
    <xf numFmtId="175" fontId="9" fillId="0" borderId="0" xfId="20" applyFont="false" applyBorder="tru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readingOrder="1"/>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top" textRotation="0" wrapText="true" indent="0" shrinkToFit="false"/>
      <protection locked="true" hidden="false"/>
    </xf>
    <xf numFmtId="166"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9"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_Sheet1" xfId="21"/>
    <cellStyle name="Normal_Sheet4" xfId="22"/>
    <cellStyle name="*unknown*" xfId="20" builtinId="8"/>
  </cellStyles>
  <dxfs count="6">
    <dxf>
      <fill>
        <patternFill>
          <bgColor rgb="FF92D050"/>
        </patternFill>
      </fill>
    </dxf>
    <dxf>
      <font>
        <color rgb="FF9C0006"/>
      </font>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78787"/>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7CE"/>
      <rgbColor rgb="FF3366FF"/>
      <rgbColor rgb="FF33CCCC"/>
      <rgbColor rgb="FF92D050"/>
      <rgbColor rgb="FFFFCC00"/>
      <rgbColor rgb="FFFF9900"/>
      <rgbColor rgb="FFFF6600"/>
      <rgbColor rgb="FF666699"/>
      <rgbColor rgb="FF969696"/>
      <rgbColor rgb="FF003366"/>
      <rgbColor rgb="FF00B050"/>
      <rgbColor rgb="FF003300"/>
      <rgbColor rgb="FF231F2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68056765840906"/>
          <c:y val="0.0424141686249785"/>
          <c:w val="0.798248889995435"/>
          <c:h val="0.772511033415487"/>
        </c:manualLayout>
      </c:layout>
      <c:scatterChart>
        <c:scatterStyle val="lineMarker"/>
        <c:varyColors val="0"/>
        <c:ser>
          <c:idx val="0"/>
          <c:order val="0"/>
          <c:tx>
            <c:strRef>
              <c:f>"ISSCC 2023"</c:f>
              <c:strCache>
                <c:ptCount val="1"/>
                <c:pt idx="0">
                  <c:v>ISSCC 2023</c:v>
                </c:pt>
              </c:strCache>
            </c:strRef>
          </c:tx>
          <c:spPr>
            <a:solidFill>
              <a:srgbClr val="953735"/>
            </a:solidFill>
            <a:ln w="25560">
              <a:noFill/>
            </a:ln>
          </c:spPr>
          <c:marker>
            <c:symbol val="square"/>
            <c:size val="8"/>
            <c:spPr>
              <a:solidFill>
                <a:srgbClr val="953735"/>
              </a:solidFill>
            </c:spPr>
          </c:marker>
          <c:dPt>
            <c:idx val="9"/>
            <c:marker>
              <c:symbol val="x"/>
              <c:size val="8"/>
              <c:spPr>
                <a:solidFill>
                  <a:srgbClr val="953735"/>
                </a:solidFill>
              </c:spPr>
            </c:marker>
          </c:dPt>
          <c:dLbls>
            <c:dLbl>
              <c:idx val="9"/>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ISSCC!$X$395:$X$411</c:f>
              <c:numCache>
                <c:formatCode>General</c:formatCode>
                <c:ptCount val="17"/>
                <c:pt idx="0">
                  <c:v>60.16</c:v>
                </c:pt>
                <c:pt idx="1">
                  <c:v>51.4</c:v>
                </c:pt>
                <c:pt idx="2">
                  <c:v>60.4</c:v>
                </c:pt>
                <c:pt idx="3">
                  <c:v>91.3</c:v>
                </c:pt>
                <c:pt idx="4">
                  <c:v>77.2</c:v>
                </c:pt>
                <c:pt idx="5">
                  <c:v>92.2</c:v>
                </c:pt>
                <c:pt idx="6">
                  <c:v>70.15</c:v>
                </c:pt>
                <c:pt idx="7">
                  <c:v>51.8</c:v>
                </c:pt>
                <c:pt idx="8">
                  <c:v>39.3</c:v>
                </c:pt>
                <c:pt idx="9">
                  <c:v>46.5</c:v>
                </c:pt>
                <c:pt idx="10">
                  <c:v>62.5</c:v>
                </c:pt>
                <c:pt idx="11">
                  <c:v>38.33</c:v>
                </c:pt>
                <c:pt idx="12">
                  <c:v>45.9</c:v>
                </c:pt>
                <c:pt idx="13">
                  <c:v>36.4</c:v>
                </c:pt>
                <c:pt idx="14">
                  <c:v>30.75</c:v>
                </c:pt>
                <c:pt idx="15">
                  <c:v>99.1</c:v>
                </c:pt>
                <c:pt idx="16">
                  <c:v>84.2</c:v>
                </c:pt>
              </c:numCache>
            </c:numRef>
          </c:xVal>
          <c:yVal>
            <c:numRef>
              <c:f>ISSCC!$AD$395:$AD$411</c:f>
              <c:numCache>
                <c:formatCode>General</c:formatCode>
                <c:ptCount val="17"/>
                <c:pt idx="0">
                  <c:v>4.19444444444444</c:v>
                </c:pt>
                <c:pt idx="1">
                  <c:v>5.34615384615385</c:v>
                </c:pt>
                <c:pt idx="2">
                  <c:v>13.5</c:v>
                </c:pt>
                <c:pt idx="3">
                  <c:v>785.833333333333</c:v>
                </c:pt>
                <c:pt idx="4">
                  <c:v>40.6</c:v>
                </c:pt>
                <c:pt idx="5">
                  <c:v>533.333333333333</c:v>
                </c:pt>
                <c:pt idx="6">
                  <c:v>22.6</c:v>
                </c:pt>
                <c:pt idx="7">
                  <c:v>6.44642857142857</c:v>
                </c:pt>
                <c:pt idx="8">
                  <c:v>1.52</c:v>
                </c:pt>
                <c:pt idx="9">
                  <c:v>31.25</c:v>
                </c:pt>
                <c:pt idx="10">
                  <c:v>10.6</c:v>
                </c:pt>
                <c:pt idx="11">
                  <c:v>1.45777777777778</c:v>
                </c:pt>
                <c:pt idx="12">
                  <c:v>1.11111111111111</c:v>
                </c:pt>
                <c:pt idx="13">
                  <c:v>3.17</c:v>
                </c:pt>
                <c:pt idx="14">
                  <c:v>2.1</c:v>
                </c:pt>
                <c:pt idx="15">
                  <c:v>4645</c:v>
                </c:pt>
                <c:pt idx="16">
                  <c:v>1040</c:v>
                </c:pt>
              </c:numCache>
            </c:numRef>
          </c:yVal>
          <c:smooth val="0"/>
        </c:ser>
        <c:ser>
          <c:idx val="1"/>
          <c:order val="1"/>
          <c:tx>
            <c:strRef>
              <c:f>"VLSI 2023"</c:f>
              <c:strCache>
                <c:ptCount val="1"/>
                <c:pt idx="0">
                  <c:v>VLSI 2023</c:v>
                </c:pt>
              </c:strCache>
            </c:strRef>
          </c:tx>
          <c:spPr>
            <a:solidFill>
              <a:srgbClr val="1f497d"/>
            </a:solidFill>
            <a:ln w="28440">
              <a:noFill/>
            </a:ln>
          </c:spPr>
          <c:marker>
            <c:symbol val="diamond"/>
            <c:size val="10"/>
            <c:spPr>
              <a:solidFill>
                <a:srgbClr val="1f497d"/>
              </a:solidFill>
            </c:spPr>
          </c:marker>
          <c:dPt>
            <c:idx val="2"/>
            <c:marker>
              <c:symbol val="diamond"/>
              <c:size val="10"/>
              <c:spPr>
                <a:solidFill>
                  <a:srgbClr val="1f497d"/>
                </a:solidFill>
              </c:spPr>
            </c:marker>
          </c:dPt>
          <c:dLbls>
            <c:dLbl>
              <c:idx val="2"/>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VLSI!$X$257:$X$267</c:f>
              <c:numCache>
                <c:formatCode>General</c:formatCode>
                <c:ptCount val="11"/>
                <c:pt idx="0">
                  <c:v>60</c:v>
                </c:pt>
                <c:pt idx="1">
                  <c:v>84.2</c:v>
                </c:pt>
                <c:pt idx="2">
                  <c:v>72.8</c:v>
                </c:pt>
                <c:pt idx="3">
                  <c:v>62</c:v>
                </c:pt>
                <c:pt idx="4">
                  <c:v>57.3</c:v>
                </c:pt>
                <c:pt idx="5">
                  <c:v>76.9</c:v>
                </c:pt>
                <c:pt idx="6">
                  <c:v>67.9</c:v>
                </c:pt>
                <c:pt idx="7">
                  <c:v>74</c:v>
                </c:pt>
                <c:pt idx="8">
                  <c:v>61.4</c:v>
                </c:pt>
                <c:pt idx="9">
                  <c:v>79.9</c:v>
                </c:pt>
                <c:pt idx="10">
                  <c:v>58</c:v>
                </c:pt>
              </c:numCache>
            </c:numRef>
          </c:xVal>
          <c:yVal>
            <c:numRef>
              <c:f>VLSI!$AD$257:$AD$267</c:f>
              <c:numCache>
                <c:formatCode>General</c:formatCode>
                <c:ptCount val="11"/>
                <c:pt idx="0">
                  <c:v>120</c:v>
                </c:pt>
                <c:pt idx="1">
                  <c:v>810</c:v>
                </c:pt>
                <c:pt idx="2">
                  <c:v>479.166666666667</c:v>
                </c:pt>
                <c:pt idx="3">
                  <c:v>50</c:v>
                </c:pt>
                <c:pt idx="4">
                  <c:v>59.3</c:v>
                </c:pt>
                <c:pt idx="5">
                  <c:v>25.8333333333333</c:v>
                </c:pt>
                <c:pt idx="6">
                  <c:v>11.4666666666667</c:v>
                </c:pt>
                <c:pt idx="7">
                  <c:v>215</c:v>
                </c:pt>
                <c:pt idx="8">
                  <c:v>309.375</c:v>
                </c:pt>
                <c:pt idx="9">
                  <c:v>260</c:v>
                </c:pt>
                <c:pt idx="10">
                  <c:v>250</c:v>
                </c:pt>
              </c:numCache>
            </c:numRef>
          </c:yVal>
          <c:smooth val="0"/>
        </c:ser>
        <c:ser>
          <c:idx val="2"/>
          <c:order val="2"/>
          <c:tx>
            <c:strRef>
              <c:f>"ISSCC 1997-2022"</c:f>
              <c:strCache>
                <c:ptCount val="1"/>
                <c:pt idx="0">
                  <c:v>ISSCC 1997-2022</c:v>
                </c:pt>
              </c:strCache>
            </c:strRef>
          </c:tx>
          <c:spPr>
            <a:solidFill>
              <a:srgbClr val="000000"/>
            </a:solidFill>
            <a:ln w="28440">
              <a:noFill/>
            </a:ln>
          </c:spPr>
          <c:marker>
            <c:symbol val="circl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ISSCC!$X$2:$X$394</c:f>
              <c:numCache>
                <c:formatCode>General</c:formatCode>
                <c:ptCount val="393"/>
                <c:pt idx="0">
                  <c:v>56.542</c:v>
                </c:pt>
                <c:pt idx="1">
                  <c:v>64</c:v>
                </c:pt>
                <c:pt idx="2">
                  <c:v>53.532</c:v>
                </c:pt>
                <c:pt idx="3">
                  <c:v>58.4</c:v>
                </c:pt>
                <c:pt idx="4">
                  <c:v>84.9</c:v>
                </c:pt>
                <c:pt idx="5">
                  <c:v>89</c:v>
                </c:pt>
                <c:pt idx="6">
                  <c:v>81</c:v>
                </c:pt>
                <c:pt idx="7">
                  <c:v>75</c:v>
                </c:pt>
                <c:pt idx="8">
                  <c:v>44.1</c:v>
                </c:pt>
                <c:pt idx="9">
                  <c:v>62</c:v>
                </c:pt>
                <c:pt idx="10">
                  <c:v>110</c:v>
                </c:pt>
                <c:pt idx="11">
                  <c:v>96</c:v>
                </c:pt>
                <c:pt idx="12">
                  <c:v>75</c:v>
                </c:pt>
                <c:pt idx="13">
                  <c:v>62</c:v>
                </c:pt>
                <c:pt idx="14">
                  <c:v>65.4</c:v>
                </c:pt>
                <c:pt idx="15">
                  <c:v>55</c:v>
                </c:pt>
                <c:pt idx="16">
                  <c:v>58</c:v>
                </c:pt>
                <c:pt idx="17">
                  <c:v>67</c:v>
                </c:pt>
                <c:pt idx="18">
                  <c:v>43.3</c:v>
                </c:pt>
                <c:pt idx="19">
                  <c:v>31</c:v>
                </c:pt>
                <c:pt idx="20">
                  <c:v>29.2</c:v>
                </c:pt>
                <c:pt idx="21">
                  <c:v>88</c:v>
                </c:pt>
                <c:pt idx="22">
                  <c:v>84</c:v>
                </c:pt>
                <c:pt idx="23">
                  <c:v>71</c:v>
                </c:pt>
                <c:pt idx="24">
                  <c:v>63.5</c:v>
                </c:pt>
                <c:pt idx="25">
                  <c:v>66</c:v>
                </c:pt>
                <c:pt idx="26">
                  <c:v>71</c:v>
                </c:pt>
                <c:pt idx="27">
                  <c:v>48.716</c:v>
                </c:pt>
                <c:pt idx="28">
                  <c:v>54.134</c:v>
                </c:pt>
                <c:pt idx="29">
                  <c:v>58.7</c:v>
                </c:pt>
                <c:pt idx="30">
                  <c:v>34.87</c:v>
                </c:pt>
                <c:pt idx="31">
                  <c:v>27.5</c:v>
                </c:pt>
                <c:pt idx="32">
                  <c:v>75</c:v>
                </c:pt>
                <c:pt idx="33">
                  <c:v>66</c:v>
                </c:pt>
                <c:pt idx="34">
                  <c:v>70</c:v>
                </c:pt>
                <c:pt idx="35">
                  <c:v>64</c:v>
                </c:pt>
                <c:pt idx="36">
                  <c:v>44.3</c:v>
                </c:pt>
                <c:pt idx="37">
                  <c:v>73.1</c:v>
                </c:pt>
                <c:pt idx="38">
                  <c:v>89</c:v>
                </c:pt>
                <c:pt idx="39">
                  <c:v>84</c:v>
                </c:pt>
                <c:pt idx="40">
                  <c:v>77</c:v>
                </c:pt>
                <c:pt idx="41">
                  <c:v>70</c:v>
                </c:pt>
                <c:pt idx="42">
                  <c:v>51</c:v>
                </c:pt>
                <c:pt idx="43">
                  <c:v>84</c:v>
                </c:pt>
                <c:pt idx="44">
                  <c:v>87</c:v>
                </c:pt>
                <c:pt idx="45">
                  <c:v>35</c:v>
                </c:pt>
                <c:pt idx="46">
                  <c:v>35.773</c:v>
                </c:pt>
                <c:pt idx="47">
                  <c:v>57.12</c:v>
                </c:pt>
                <c:pt idx="48">
                  <c:v>67</c:v>
                </c:pt>
                <c:pt idx="49">
                  <c:v>72.8</c:v>
                </c:pt>
                <c:pt idx="50">
                  <c:v>74</c:v>
                </c:pt>
                <c:pt idx="51">
                  <c:v>39.084</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29.452</c:v>
                </c:pt>
                <c:pt idx="78">
                  <c:v>30</c:v>
                </c:pt>
                <c:pt idx="79">
                  <c:v>58.2276</c:v>
                </c:pt>
                <c:pt idx="80">
                  <c:v>52</c:v>
                </c:pt>
                <c:pt idx="81">
                  <c:v>67</c:v>
                </c:pt>
                <c:pt idx="82">
                  <c:v>72.796</c:v>
                </c:pt>
                <c:pt idx="83">
                  <c:v>79</c:v>
                </c:pt>
                <c:pt idx="84">
                  <c:v>63</c:v>
                </c:pt>
                <c:pt idx="85">
                  <c:v>72</c:v>
                </c:pt>
                <c:pt idx="86">
                  <c:v>77.01</c:v>
                </c:pt>
                <c:pt idx="87">
                  <c:v>50.9</c:v>
                </c:pt>
                <c:pt idx="88">
                  <c:v>81</c:v>
                </c:pt>
                <c:pt idx="89">
                  <c:v>76</c:v>
                </c:pt>
                <c:pt idx="90">
                  <c:v>72</c:v>
                </c:pt>
                <c:pt idx="91">
                  <c:v>65</c:v>
                </c:pt>
                <c:pt idx="92">
                  <c:v>45.8</c:v>
                </c:pt>
                <c:pt idx="93">
                  <c:v>46.91</c:v>
                </c:pt>
                <c:pt idx="94">
                  <c:v>51</c:v>
                </c:pt>
                <c:pt idx="95">
                  <c:v>45.4</c:v>
                </c:pt>
                <c:pt idx="96">
                  <c:v>47.512</c:v>
                </c:pt>
                <c:pt idx="97">
                  <c:v>20</c:v>
                </c:pt>
                <c:pt idx="98">
                  <c:v>31</c:v>
                </c:pt>
                <c:pt idx="99">
                  <c:v>72</c:v>
                </c:pt>
                <c:pt idx="100">
                  <c:v>74</c:v>
                </c:pt>
                <c:pt idx="101">
                  <c:v>75</c:v>
                </c:pt>
                <c:pt idx="102">
                  <c:v>73.6</c:v>
                </c:pt>
                <c:pt idx="103">
                  <c:v>72.6</c:v>
                </c:pt>
                <c:pt idx="104">
                  <c:v>55.94</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57.746</c:v>
                </c:pt>
                <c:pt idx="132">
                  <c:v>54.6</c:v>
                </c:pt>
                <c:pt idx="133">
                  <c:v>62.562</c:v>
                </c:pt>
                <c:pt idx="134">
                  <c:v>54</c:v>
                </c:pt>
                <c:pt idx="135">
                  <c:v>65</c:v>
                </c:pt>
                <c:pt idx="136">
                  <c:v>66</c:v>
                </c:pt>
                <c:pt idx="137">
                  <c:v>57.2</c:v>
                </c:pt>
                <c:pt idx="138">
                  <c:v>67</c:v>
                </c:pt>
                <c:pt idx="139">
                  <c:v>23.8</c:v>
                </c:pt>
                <c:pt idx="140">
                  <c:v>33.8</c:v>
                </c:pt>
                <c:pt idx="141">
                  <c:v>22</c:v>
                </c:pt>
                <c:pt idx="142">
                  <c:v>20</c:v>
                </c:pt>
                <c:pt idx="143">
                  <c:v>33</c:v>
                </c:pt>
                <c:pt idx="144">
                  <c:v>52</c:v>
                </c:pt>
                <c:pt idx="145">
                  <c:v>69</c:v>
                </c:pt>
                <c:pt idx="146">
                  <c:v>63</c:v>
                </c:pt>
                <c:pt idx="147">
                  <c:v>82</c:v>
                </c:pt>
                <c:pt idx="148">
                  <c:v>82</c:v>
                </c:pt>
                <c:pt idx="149">
                  <c:v>46.308</c:v>
                </c:pt>
                <c:pt idx="150">
                  <c:v>83</c:v>
                </c:pt>
                <c:pt idx="151">
                  <c:v>51.4</c:v>
                </c:pt>
                <c:pt idx="152">
                  <c:v>56.542</c:v>
                </c:pt>
                <c:pt idx="153">
                  <c:v>57</c:v>
                </c:pt>
                <c:pt idx="154">
                  <c:v>55</c:v>
                </c:pt>
                <c:pt idx="155">
                  <c:v>40.288</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78.1</c:v>
                </c:pt>
                <c:pt idx="190">
                  <c:v>79.07</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c:v>
                </c:pt>
                <c:pt idx="224">
                  <c:v>60.6</c:v>
                </c:pt>
                <c:pt idx="225">
                  <c:v>25.84</c:v>
                </c:pt>
                <c:pt idx="226">
                  <c:v>76.8</c:v>
                </c:pt>
                <c:pt idx="227">
                  <c:v>57</c:v>
                </c:pt>
                <c:pt idx="228">
                  <c:v>56</c:v>
                </c:pt>
                <c:pt idx="229">
                  <c:v>61.96</c:v>
                </c:pt>
                <c:pt idx="230">
                  <c:v>54.2</c:v>
                </c:pt>
                <c:pt idx="231">
                  <c:v>58.348</c:v>
                </c:pt>
                <c:pt idx="232">
                  <c:v>70.4</c:v>
                </c:pt>
                <c:pt idx="233">
                  <c:v>29.2</c:v>
                </c:pt>
                <c:pt idx="234">
                  <c:v>73.6</c:v>
                </c:pt>
                <c:pt idx="235">
                  <c:v>62.562</c:v>
                </c:pt>
                <c:pt idx="236">
                  <c:v>69.1</c:v>
                </c:pt>
                <c:pt idx="237">
                  <c:v>81.8939994021716</c:v>
                </c:pt>
                <c:pt idx="238">
                  <c:v>119.81628309929</c:v>
                </c:pt>
                <c:pt idx="239">
                  <c:v>54.3</c:v>
                </c:pt>
                <c:pt idx="240">
                  <c:v>73.3</c:v>
                </c:pt>
                <c:pt idx="241">
                  <c:v>51.5454</c:v>
                </c:pt>
                <c:pt idx="242">
                  <c:v>32.462</c:v>
                </c:pt>
                <c:pt idx="243">
                  <c:v>50</c:v>
                </c:pt>
                <c:pt idx="244">
                  <c:v>61</c:v>
                </c:pt>
                <c:pt idx="245">
                  <c:v>39.3</c:v>
                </c:pt>
                <c:pt idx="246">
                  <c:v>51.2</c:v>
                </c:pt>
                <c:pt idx="247">
                  <c:v>71.3</c:v>
                </c:pt>
                <c:pt idx="248">
                  <c:v>69.7</c:v>
                </c:pt>
                <c:pt idx="249">
                  <c:v>55.63</c:v>
                </c:pt>
                <c:pt idx="250">
                  <c:v>59.251</c:v>
                </c:pt>
                <c:pt idx="251">
                  <c:v>66</c:v>
                </c:pt>
                <c:pt idx="252">
                  <c:v>56.3</c:v>
                </c:pt>
                <c:pt idx="253">
                  <c:v>73.1</c:v>
                </c:pt>
                <c:pt idx="254">
                  <c:v>33</c:v>
                </c:pt>
                <c:pt idx="255">
                  <c:v>30.7</c:v>
                </c:pt>
                <c:pt idx="256">
                  <c:v>33.75</c:v>
                </c:pt>
                <c:pt idx="257">
                  <c:v>51.4</c:v>
                </c:pt>
                <c:pt idx="258">
                  <c:v>48</c:v>
                </c:pt>
                <c:pt idx="259">
                  <c:v>37.4</c:v>
                </c:pt>
                <c:pt idx="260">
                  <c:v>74.4</c:v>
                </c:pt>
                <c:pt idx="261">
                  <c:v>72.6</c:v>
                </c:pt>
                <c:pt idx="262">
                  <c:v>68</c:v>
                </c:pt>
                <c:pt idx="263">
                  <c:v>30.2948</c:v>
                </c:pt>
                <c:pt idx="264">
                  <c:v>100.6</c:v>
                </c:pt>
                <c:pt idx="265">
                  <c:v>74.6</c:v>
                </c:pt>
                <c:pt idx="266">
                  <c:v>90.4</c:v>
                </c:pt>
                <c:pt idx="267">
                  <c:v>56.542</c:v>
                </c:pt>
                <c:pt idx="268">
                  <c:v>65.7</c:v>
                </c:pt>
                <c:pt idx="269">
                  <c:v>74.4</c:v>
                </c:pt>
                <c:pt idx="270">
                  <c:v>64</c:v>
                </c:pt>
                <c:pt idx="271">
                  <c:v>57.3</c:v>
                </c:pt>
                <c:pt idx="272">
                  <c:v>70.9</c:v>
                </c:pt>
                <c:pt idx="273">
                  <c:v>64.1</c:v>
                </c:pt>
                <c:pt idx="274">
                  <c:v>57.144</c:v>
                </c:pt>
                <c:pt idx="275">
                  <c:v>56.1</c:v>
                </c:pt>
                <c:pt idx="276">
                  <c:v>30.76</c:v>
                </c:pt>
                <c:pt idx="277">
                  <c:v>46.1</c:v>
                </c:pt>
                <c:pt idx="278">
                  <c:v>51.2</c:v>
                </c:pt>
                <c:pt idx="279">
                  <c:v>36.977</c:v>
                </c:pt>
                <c:pt idx="280">
                  <c:v>75.3</c:v>
                </c:pt>
                <c:pt idx="281">
                  <c:v>77</c:v>
                </c:pt>
                <c:pt idx="282">
                  <c:v>72.2</c:v>
                </c:pt>
                <c:pt idx="283">
                  <c:v>98.5</c:v>
                </c:pt>
                <c:pt idx="284">
                  <c:v>64.8</c:v>
                </c:pt>
                <c:pt idx="285">
                  <c:v>65.33</c:v>
                </c:pt>
                <c:pt idx="286">
                  <c:v>98.3</c:v>
                </c:pt>
                <c:pt idx="287">
                  <c:v>116</c:v>
                </c:pt>
                <c:pt idx="288">
                  <c:v>101</c:v>
                </c:pt>
                <c:pt idx="289">
                  <c:v>34.6</c:v>
                </c:pt>
                <c:pt idx="290">
                  <c:v>64.43</c:v>
                </c:pt>
                <c:pt idx="291">
                  <c:v>55.5</c:v>
                </c:pt>
                <c:pt idx="292">
                  <c:v>56</c:v>
                </c:pt>
                <c:pt idx="293">
                  <c:v>50.6</c:v>
                </c:pt>
                <c:pt idx="294">
                  <c:v>58</c:v>
                </c:pt>
                <c:pt idx="295">
                  <c:v>74</c:v>
                </c:pt>
                <c:pt idx="296">
                  <c:v>57.3</c:v>
                </c:pt>
                <c:pt idx="297">
                  <c:v>66</c:v>
                </c:pt>
                <c:pt idx="298">
                  <c:v>40.05</c:v>
                </c:pt>
                <c:pt idx="299">
                  <c:v>49</c:v>
                </c:pt>
                <c:pt idx="300">
                  <c:v>55</c:v>
                </c:pt>
                <c:pt idx="301">
                  <c:v>48.3</c:v>
                </c:pt>
                <c:pt idx="302">
                  <c:v>58.9</c:v>
                </c:pt>
                <c:pt idx="303">
                  <c:v>79.7</c:v>
                </c:pt>
                <c:pt idx="304">
                  <c:v>80.4</c:v>
                </c:pt>
                <c:pt idx="305">
                  <c:v>71.9</c:v>
                </c:pt>
                <c:pt idx="306">
                  <c:v>63.5</c:v>
                </c:pt>
                <c:pt idx="307">
                  <c:v>50.1</c:v>
                </c:pt>
                <c:pt idx="308">
                  <c:v>70.8</c:v>
                </c:pt>
                <c:pt idx="309">
                  <c:v>61.1</c:v>
                </c:pt>
                <c:pt idx="310">
                  <c:v>37.579</c:v>
                </c:pt>
                <c:pt idx="311">
                  <c:v>37.7</c:v>
                </c:pt>
                <c:pt idx="312">
                  <c:v>79.8</c:v>
                </c:pt>
                <c:pt idx="313">
                  <c:v>93.5</c:v>
                </c:pt>
                <c:pt idx="314">
                  <c:v>79</c:v>
                </c:pt>
                <c:pt idx="315">
                  <c:v>86.6</c:v>
                </c:pt>
                <c:pt idx="316">
                  <c:v>118.1</c:v>
                </c:pt>
                <c:pt idx="317">
                  <c:v>73.57</c:v>
                </c:pt>
                <c:pt idx="318">
                  <c:v>101.5</c:v>
                </c:pt>
                <c:pt idx="319">
                  <c:v>60</c:v>
                </c:pt>
                <c:pt idx="320">
                  <c:v>50.3</c:v>
                </c:pt>
                <c:pt idx="321">
                  <c:v>34.2</c:v>
                </c:pt>
                <c:pt idx="322">
                  <c:v>60.8</c:v>
                </c:pt>
                <c:pt idx="323">
                  <c:v>66.174</c:v>
                </c:pt>
                <c:pt idx="324">
                  <c:v>61.7</c:v>
                </c:pt>
                <c:pt idx="325">
                  <c:v>60.002</c:v>
                </c:pt>
                <c:pt idx="326">
                  <c:v>58.5</c:v>
                </c:pt>
                <c:pt idx="327">
                  <c:v>71.7</c:v>
                </c:pt>
                <c:pt idx="328">
                  <c:v>71</c:v>
                </c:pt>
                <c:pt idx="329">
                  <c:v>60.2</c:v>
                </c:pt>
                <c:pt idx="330">
                  <c:v>88</c:v>
                </c:pt>
                <c:pt idx="331">
                  <c:v>32</c:v>
                </c:pt>
                <c:pt idx="332">
                  <c:v>56.85</c:v>
                </c:pt>
                <c:pt idx="333">
                  <c:v>45.2</c:v>
                </c:pt>
                <c:pt idx="334">
                  <c:v>66.6</c:v>
                </c:pt>
                <c:pt idx="335">
                  <c:v>70.4</c:v>
                </c:pt>
                <c:pt idx="336">
                  <c:v>74</c:v>
                </c:pt>
                <c:pt idx="337">
                  <c:v>76.6</c:v>
                </c:pt>
                <c:pt idx="338">
                  <c:v>64.9</c:v>
                </c:pt>
                <c:pt idx="339">
                  <c:v>72.6</c:v>
                </c:pt>
                <c:pt idx="340">
                  <c:v>78.816</c:v>
                </c:pt>
                <c:pt idx="341">
                  <c:v>39.3</c:v>
                </c:pt>
                <c:pt idx="342">
                  <c:v>101.9</c:v>
                </c:pt>
                <c:pt idx="343">
                  <c:v>99.4</c:v>
                </c:pt>
                <c:pt idx="344">
                  <c:v>90.5</c:v>
                </c:pt>
                <c:pt idx="345">
                  <c:v>87.6</c:v>
                </c:pt>
                <c:pt idx="346">
                  <c:v>83.8</c:v>
                </c:pt>
                <c:pt idx="347">
                  <c:v>75.2</c:v>
                </c:pt>
                <c:pt idx="348">
                  <c:v>67.5</c:v>
                </c:pt>
                <c:pt idx="349">
                  <c:v>91</c:v>
                </c:pt>
                <c:pt idx="350">
                  <c:v>48</c:v>
                </c:pt>
                <c:pt idx="351">
                  <c:v>40.1</c:v>
                </c:pt>
                <c:pt idx="352">
                  <c:v>34.16</c:v>
                </c:pt>
                <c:pt idx="353">
                  <c:v>71.7</c:v>
                </c:pt>
                <c:pt idx="354">
                  <c:v>69</c:v>
                </c:pt>
                <c:pt idx="355">
                  <c:v>58</c:v>
                </c:pt>
                <c:pt idx="356">
                  <c:v>76.2</c:v>
                </c:pt>
                <c:pt idx="357">
                  <c:v>80.4</c:v>
                </c:pt>
                <c:pt idx="358">
                  <c:v>54.134</c:v>
                </c:pt>
                <c:pt idx="359">
                  <c:v>35.1</c:v>
                </c:pt>
                <c:pt idx="360">
                  <c:v>100.6</c:v>
                </c:pt>
                <c:pt idx="361">
                  <c:v>100.9</c:v>
                </c:pt>
                <c:pt idx="362">
                  <c:v>67.5</c:v>
                </c:pt>
                <c:pt idx="363">
                  <c:v>80.9</c:v>
                </c:pt>
                <c:pt idx="364">
                  <c:v>55.3</c:v>
                </c:pt>
                <c:pt idx="365">
                  <c:v>33.4</c:v>
                </c:pt>
                <c:pt idx="366">
                  <c:v>93.3</c:v>
                </c:pt>
                <c:pt idx="367">
                  <c:v>86.66</c:v>
                </c:pt>
                <c:pt idx="368">
                  <c:v>84.8</c:v>
                </c:pt>
                <c:pt idx="369">
                  <c:v>75.7</c:v>
                </c:pt>
                <c:pt idx="370">
                  <c:v>66.32</c:v>
                </c:pt>
                <c:pt idx="371">
                  <c:v>75</c:v>
                </c:pt>
                <c:pt idx="372">
                  <c:v>78.8</c:v>
                </c:pt>
                <c:pt idx="373">
                  <c:v>94.2</c:v>
                </c:pt>
                <c:pt idx="374">
                  <c:v>92.3</c:v>
                </c:pt>
                <c:pt idx="375">
                  <c:v>57.5</c:v>
                </c:pt>
                <c:pt idx="376">
                  <c:v>49.92</c:v>
                </c:pt>
                <c:pt idx="377">
                  <c:v>28.85</c:v>
                </c:pt>
                <c:pt idx="378">
                  <c:v>40.8</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numCache>
            </c:numRef>
          </c:xVal>
          <c:yVal>
            <c:numRef>
              <c:f>ISSCC!$AD$2:$AD$394</c:f>
              <c:numCache>
                <c:formatCode>General</c:formatCode>
                <c:ptCount val="393"/>
                <c:pt idx="0">
                  <c:v>60000</c:v>
                </c:pt>
                <c:pt idx="1">
                  <c:v>6000</c:v>
                </c:pt>
                <c:pt idx="2">
                  <c:v>3400</c:v>
                </c:pt>
                <c:pt idx="3">
                  <c:v>44531.25</c:v>
                </c:pt>
                <c:pt idx="4">
                  <c:v>26000</c:v>
                </c:pt>
                <c:pt idx="5">
                  <c:v>220000</c:v>
                </c:pt>
                <c:pt idx="6">
                  <c:v>275000</c:v>
                </c:pt>
                <c:pt idx="7">
                  <c:v>180000</c:v>
                </c:pt>
                <c:pt idx="8">
                  <c:v>11182.1086261981</c:v>
                </c:pt>
                <c:pt idx="9">
                  <c:v>325000</c:v>
                </c:pt>
                <c:pt idx="10">
                  <c:v>7916666.66666667</c:v>
                </c:pt>
                <c:pt idx="11">
                  <c:v>57500</c:v>
                </c:pt>
                <c:pt idx="12">
                  <c:v>48000</c:v>
                </c:pt>
                <c:pt idx="13">
                  <c:v>1250</c:v>
                </c:pt>
                <c:pt idx="14">
                  <c:v>12500</c:v>
                </c:pt>
                <c:pt idx="15">
                  <c:v>14125</c:v>
                </c:pt>
                <c:pt idx="16">
                  <c:v>16250</c:v>
                </c:pt>
                <c:pt idx="17">
                  <c:v>26500</c:v>
                </c:pt>
                <c:pt idx="18">
                  <c:v>933.333333333333</c:v>
                </c:pt>
                <c:pt idx="19">
                  <c:v>642.857142857143</c:v>
                </c:pt>
                <c:pt idx="20">
                  <c:v>500</c:v>
                </c:pt>
                <c:pt idx="21">
                  <c:v>25125</c:v>
                </c:pt>
                <c:pt idx="22">
                  <c:v>9000</c:v>
                </c:pt>
                <c:pt idx="23">
                  <c:v>18000</c:v>
                </c:pt>
                <c:pt idx="24">
                  <c:v>150000</c:v>
                </c:pt>
                <c:pt idx="25">
                  <c:v>225000</c:v>
                </c:pt>
                <c:pt idx="26">
                  <c:v>128000</c:v>
                </c:pt>
                <c:pt idx="27">
                  <c:v>7800</c:v>
                </c:pt>
                <c:pt idx="28">
                  <c:v>1625</c:v>
                </c:pt>
                <c:pt idx="29">
                  <c:v>3750</c:v>
                </c:pt>
                <c:pt idx="30">
                  <c:v>800</c:v>
                </c:pt>
                <c:pt idx="31">
                  <c:v>660</c:v>
                </c:pt>
                <c:pt idx="32">
                  <c:v>12500</c:v>
                </c:pt>
                <c:pt idx="33">
                  <c:v>20000</c:v>
                </c:pt>
                <c:pt idx="34">
                  <c:v>6615.38461538462</c:v>
                </c:pt>
                <c:pt idx="35">
                  <c:v>17000</c:v>
                </c:pt>
                <c:pt idx="36">
                  <c:v>3125</c:v>
                </c:pt>
                <c:pt idx="37">
                  <c:v>36000</c:v>
                </c:pt>
                <c:pt idx="38">
                  <c:v>118000</c:v>
                </c:pt>
                <c:pt idx="39">
                  <c:v>108000</c:v>
                </c:pt>
                <c:pt idx="40">
                  <c:v>25000</c:v>
                </c:pt>
                <c:pt idx="41">
                  <c:v>27500</c:v>
                </c:pt>
                <c:pt idx="42">
                  <c:v>1350</c:v>
                </c:pt>
                <c:pt idx="43">
                  <c:v>13227.5132275132</c:v>
                </c:pt>
                <c:pt idx="44">
                  <c:v>37500</c:v>
                </c:pt>
                <c:pt idx="45">
                  <c:v>419.230769230769</c:v>
                </c:pt>
                <c:pt idx="46">
                  <c:v>272.727272727273</c:v>
                </c:pt>
                <c:pt idx="47">
                  <c:v>1800</c:v>
                </c:pt>
                <c:pt idx="48">
                  <c:v>5462.96296296296</c:v>
                </c:pt>
                <c:pt idx="49">
                  <c:v>4240</c:v>
                </c:pt>
                <c:pt idx="50">
                  <c:v>21500</c:v>
                </c:pt>
                <c:pt idx="51">
                  <c:v>1150</c:v>
                </c:pt>
                <c:pt idx="52">
                  <c:v>257.575757575758</c:v>
                </c:pt>
                <c:pt idx="53">
                  <c:v>111.111111111111</c:v>
                </c:pt>
                <c:pt idx="54">
                  <c:v>1950</c:v>
                </c:pt>
                <c:pt idx="55">
                  <c:v>533.333333333333</c:v>
                </c:pt>
                <c:pt idx="56">
                  <c:v>600</c:v>
                </c:pt>
                <c:pt idx="57">
                  <c:v>10900</c:v>
                </c:pt>
                <c:pt idx="58">
                  <c:v>75757.5757575758</c:v>
                </c:pt>
                <c:pt idx="59">
                  <c:v>4947.91666666667</c:v>
                </c:pt>
                <c:pt idx="60">
                  <c:v>25500</c:v>
                </c:pt>
                <c:pt idx="61">
                  <c:v>825</c:v>
                </c:pt>
                <c:pt idx="62">
                  <c:v>119542.61954262</c:v>
                </c:pt>
                <c:pt idx="63">
                  <c:v>725</c:v>
                </c:pt>
                <c:pt idx="64">
                  <c:v>20.9090909090909</c:v>
                </c:pt>
                <c:pt idx="65">
                  <c:v>6250</c:v>
                </c:pt>
                <c:pt idx="66">
                  <c:v>1428.57142857143</c:v>
                </c:pt>
                <c:pt idx="67">
                  <c:v>14300</c:v>
                </c:pt>
                <c:pt idx="68">
                  <c:v>16500</c:v>
                </c:pt>
                <c:pt idx="69">
                  <c:v>6250</c:v>
                </c:pt>
                <c:pt idx="70">
                  <c:v>325</c:v>
                </c:pt>
                <c:pt idx="71">
                  <c:v>1375000</c:v>
                </c:pt>
                <c:pt idx="72">
                  <c:v>546.875</c:v>
                </c:pt>
                <c:pt idx="73">
                  <c:v>1666.66666666667</c:v>
                </c:pt>
                <c:pt idx="74">
                  <c:v>28181.8181818182</c:v>
                </c:pt>
                <c:pt idx="75">
                  <c:v>2350</c:v>
                </c:pt>
                <c:pt idx="76">
                  <c:v>1325</c:v>
                </c:pt>
                <c:pt idx="77">
                  <c:v>500</c:v>
                </c:pt>
                <c:pt idx="78">
                  <c:v>155</c:v>
                </c:pt>
                <c:pt idx="79">
                  <c:v>862.5</c:v>
                </c:pt>
                <c:pt idx="80">
                  <c:v>820</c:v>
                </c:pt>
                <c:pt idx="81">
                  <c:v>3866.66666666667</c:v>
                </c:pt>
                <c:pt idx="82">
                  <c:v>14285.7142857143</c:v>
                </c:pt>
                <c:pt idx="83">
                  <c:v>3125</c:v>
                </c:pt>
                <c:pt idx="84">
                  <c:v>6120</c:v>
                </c:pt>
                <c:pt idx="85">
                  <c:v>8000</c:v>
                </c:pt>
                <c:pt idx="86">
                  <c:v>2727.27272727273</c:v>
                </c:pt>
                <c:pt idx="87">
                  <c:v>351.5625</c:v>
                </c:pt>
                <c:pt idx="88">
                  <c:v>3500</c:v>
                </c:pt>
                <c:pt idx="89">
                  <c:v>6818.18181818182</c:v>
                </c:pt>
                <c:pt idx="90">
                  <c:v>30000</c:v>
                </c:pt>
                <c:pt idx="91">
                  <c:v>1035</c:v>
                </c:pt>
                <c:pt idx="92">
                  <c:v>793.125</c:v>
                </c:pt>
                <c:pt idx="93">
                  <c:v>333.333333333333</c:v>
                </c:pt>
                <c:pt idx="94">
                  <c:v>613.636363636364</c:v>
                </c:pt>
                <c:pt idx="95">
                  <c:v>473.333333333333</c:v>
                </c:pt>
                <c:pt idx="96">
                  <c:v>168</c:v>
                </c:pt>
                <c:pt idx="97">
                  <c:v>95</c:v>
                </c:pt>
                <c:pt idx="98">
                  <c:v>16.6666666666667</c:v>
                </c:pt>
                <c:pt idx="99">
                  <c:v>9850</c:v>
                </c:pt>
                <c:pt idx="100">
                  <c:v>11650</c:v>
                </c:pt>
                <c:pt idx="101">
                  <c:v>15600</c:v>
                </c:pt>
                <c:pt idx="102">
                  <c:v>11200</c:v>
                </c:pt>
                <c:pt idx="103">
                  <c:v>9437.5</c:v>
                </c:pt>
                <c:pt idx="104">
                  <c:v>412.5</c:v>
                </c:pt>
                <c:pt idx="105">
                  <c:v>11666.6666666667</c:v>
                </c:pt>
                <c:pt idx="106">
                  <c:v>20833.3333333333</c:v>
                </c:pt>
                <c:pt idx="107">
                  <c:v>525</c:v>
                </c:pt>
                <c:pt idx="108">
                  <c:v>309.278350515464</c:v>
                </c:pt>
                <c:pt idx="109">
                  <c:v>237500</c:v>
                </c:pt>
                <c:pt idx="110">
                  <c:v>12000</c:v>
                </c:pt>
                <c:pt idx="111">
                  <c:v>450000</c:v>
                </c:pt>
                <c:pt idx="112">
                  <c:v>925000</c:v>
                </c:pt>
                <c:pt idx="113">
                  <c:v>275</c:v>
                </c:pt>
                <c:pt idx="114">
                  <c:v>700</c:v>
                </c:pt>
                <c:pt idx="115">
                  <c:v>320</c:v>
                </c:pt>
                <c:pt idx="116">
                  <c:v>150</c:v>
                </c:pt>
                <c:pt idx="117">
                  <c:v>750</c:v>
                </c:pt>
                <c:pt idx="118">
                  <c:v>4088.78504672897</c:v>
                </c:pt>
                <c:pt idx="119">
                  <c:v>4500</c:v>
                </c:pt>
                <c:pt idx="120">
                  <c:v>5000</c:v>
                </c:pt>
                <c:pt idx="121">
                  <c:v>2350</c:v>
                </c:pt>
                <c:pt idx="122">
                  <c:v>934.782608695652</c:v>
                </c:pt>
                <c:pt idx="123">
                  <c:v>500</c:v>
                </c:pt>
                <c:pt idx="124">
                  <c:v>22058.8235294118</c:v>
                </c:pt>
                <c:pt idx="125">
                  <c:v>525000</c:v>
                </c:pt>
                <c:pt idx="126">
                  <c:v>1159.09090909091</c:v>
                </c:pt>
                <c:pt idx="127">
                  <c:v>2454.54545454545</c:v>
                </c:pt>
                <c:pt idx="128">
                  <c:v>6000</c:v>
                </c:pt>
                <c:pt idx="129">
                  <c:v>10000</c:v>
                </c:pt>
                <c:pt idx="130">
                  <c:v>3712.5</c:v>
                </c:pt>
                <c:pt idx="131">
                  <c:v>343.75</c:v>
                </c:pt>
                <c:pt idx="132">
                  <c:v>360</c:v>
                </c:pt>
                <c:pt idx="133">
                  <c:v>750</c:v>
                </c:pt>
                <c:pt idx="134">
                  <c:v>312.5</c:v>
                </c:pt>
                <c:pt idx="135">
                  <c:v>250</c:v>
                </c:pt>
                <c:pt idx="136">
                  <c:v>2240</c:v>
                </c:pt>
                <c:pt idx="137">
                  <c:v>300</c:v>
                </c:pt>
                <c:pt idx="138">
                  <c:v>6700</c:v>
                </c:pt>
                <c:pt idx="139">
                  <c:v>2.016</c:v>
                </c:pt>
                <c:pt idx="140">
                  <c:v>55</c:v>
                </c:pt>
                <c:pt idx="141">
                  <c:v>22.25</c:v>
                </c:pt>
                <c:pt idx="142">
                  <c:v>136.363636363636</c:v>
                </c:pt>
                <c:pt idx="143">
                  <c:v>8.83333333333333</c:v>
                </c:pt>
                <c:pt idx="144">
                  <c:v>250</c:v>
                </c:pt>
                <c:pt idx="145">
                  <c:v>1400</c:v>
                </c:pt>
                <c:pt idx="146">
                  <c:v>1025</c:v>
                </c:pt>
                <c:pt idx="147">
                  <c:v>3600</c:v>
                </c:pt>
                <c:pt idx="148">
                  <c:v>2524.42996742671</c:v>
                </c:pt>
                <c:pt idx="149">
                  <c:v>14.5</c:v>
                </c:pt>
                <c:pt idx="150">
                  <c:v>13200</c:v>
                </c:pt>
                <c:pt idx="151">
                  <c:v>81.25</c:v>
                </c:pt>
                <c:pt idx="152">
                  <c:v>525</c:v>
                </c:pt>
                <c:pt idx="153">
                  <c:v>156.666666666667</c:v>
                </c:pt>
                <c:pt idx="154">
                  <c:v>297.560975609756</c:v>
                </c:pt>
                <c:pt idx="155">
                  <c:v>42.5</c:v>
                </c:pt>
                <c:pt idx="156">
                  <c:v>451.219512195122</c:v>
                </c:pt>
                <c:pt idx="157">
                  <c:v>437.5</c:v>
                </c:pt>
                <c:pt idx="158">
                  <c:v>20.5</c:v>
                </c:pt>
                <c:pt idx="159">
                  <c:v>4.8</c:v>
                </c:pt>
                <c:pt idx="160">
                  <c:v>0.89</c:v>
                </c:pt>
                <c:pt idx="161">
                  <c:v>1.9</c:v>
                </c:pt>
                <c:pt idx="162">
                  <c:v>36</c:v>
                </c:pt>
                <c:pt idx="163">
                  <c:v>2300</c:v>
                </c:pt>
                <c:pt idx="164">
                  <c:v>45</c:v>
                </c:pt>
                <c:pt idx="165">
                  <c:v>1.25714285714286</c:v>
                </c:pt>
                <c:pt idx="166">
                  <c:v>900</c:v>
                </c:pt>
                <c:pt idx="167">
                  <c:v>2375</c:v>
                </c:pt>
                <c:pt idx="168">
                  <c:v>3000</c:v>
                </c:pt>
                <c:pt idx="169">
                  <c:v>697.5</c:v>
                </c:pt>
                <c:pt idx="170">
                  <c:v>5000</c:v>
                </c:pt>
                <c:pt idx="171">
                  <c:v>3125</c:v>
                </c:pt>
                <c:pt idx="172">
                  <c:v>30000</c:v>
                </c:pt>
                <c:pt idx="173">
                  <c:v>435</c:v>
                </c:pt>
                <c:pt idx="174">
                  <c:v>25.6</c:v>
                </c:pt>
                <c:pt idx="175">
                  <c:v>50</c:v>
                </c:pt>
                <c:pt idx="176">
                  <c:v>900</c:v>
                </c:pt>
                <c:pt idx="177">
                  <c:v>113.333333333333</c:v>
                </c:pt>
                <c:pt idx="178">
                  <c:v>4.15</c:v>
                </c:pt>
                <c:pt idx="179">
                  <c:v>22.7272727272727</c:v>
                </c:pt>
                <c:pt idx="180">
                  <c:v>1205.37597685678</c:v>
                </c:pt>
                <c:pt idx="181">
                  <c:v>2.4625</c:v>
                </c:pt>
                <c:pt idx="182">
                  <c:v>50</c:v>
                </c:pt>
                <c:pt idx="183">
                  <c:v>110</c:v>
                </c:pt>
                <c:pt idx="184">
                  <c:v>3080</c:v>
                </c:pt>
                <c:pt idx="185">
                  <c:v>1300</c:v>
                </c:pt>
                <c:pt idx="186">
                  <c:v>198</c:v>
                </c:pt>
                <c:pt idx="187">
                  <c:v>90</c:v>
                </c:pt>
                <c:pt idx="188">
                  <c:v>23.3333333333333</c:v>
                </c:pt>
                <c:pt idx="189">
                  <c:v>2175</c:v>
                </c:pt>
                <c:pt idx="190">
                  <c:v>1130</c:v>
                </c:pt>
                <c:pt idx="191">
                  <c:v>262.5</c:v>
                </c:pt>
                <c:pt idx="192">
                  <c:v>1707.5</c:v>
                </c:pt>
                <c:pt idx="193">
                  <c:v>37.8640776699029</c:v>
                </c:pt>
                <c:pt idx="194">
                  <c:v>3400</c:v>
                </c:pt>
                <c:pt idx="195">
                  <c:v>10125</c:v>
                </c:pt>
                <c:pt idx="196">
                  <c:v>1.18181818181818</c:v>
                </c:pt>
                <c:pt idx="197">
                  <c:v>1888.88888888889</c:v>
                </c:pt>
                <c:pt idx="198">
                  <c:v>45</c:v>
                </c:pt>
                <c:pt idx="199">
                  <c:v>840</c:v>
                </c:pt>
                <c:pt idx="200">
                  <c:v>8400</c:v>
                </c:pt>
                <c:pt idx="201">
                  <c:v>67.1111111111111</c:v>
                </c:pt>
                <c:pt idx="202">
                  <c:v>30.25</c:v>
                </c:pt>
                <c:pt idx="203">
                  <c:v>16.4</c:v>
                </c:pt>
                <c:pt idx="204">
                  <c:v>11.3</c:v>
                </c:pt>
                <c:pt idx="205">
                  <c:v>6.73828125</c:v>
                </c:pt>
                <c:pt idx="206">
                  <c:v>37.5</c:v>
                </c:pt>
                <c:pt idx="207">
                  <c:v>184.615384615385</c:v>
                </c:pt>
                <c:pt idx="208">
                  <c:v>575</c:v>
                </c:pt>
                <c:pt idx="209">
                  <c:v>131.25</c:v>
                </c:pt>
                <c:pt idx="210">
                  <c:v>1250</c:v>
                </c:pt>
                <c:pt idx="211">
                  <c:v>10</c:v>
                </c:pt>
                <c:pt idx="212">
                  <c:v>10.3</c:v>
                </c:pt>
                <c:pt idx="213">
                  <c:v>1024</c:v>
                </c:pt>
                <c:pt idx="214">
                  <c:v>160</c:v>
                </c:pt>
                <c:pt idx="215">
                  <c:v>1392</c:v>
                </c:pt>
                <c:pt idx="216">
                  <c:v>375</c:v>
                </c:pt>
                <c:pt idx="217">
                  <c:v>1400</c:v>
                </c:pt>
                <c:pt idx="218">
                  <c:v>500</c:v>
                </c:pt>
                <c:pt idx="219">
                  <c:v>249.99</c:v>
                </c:pt>
                <c:pt idx="220">
                  <c:v>1833.332875</c:v>
                </c:pt>
                <c:pt idx="221">
                  <c:v>800</c:v>
                </c:pt>
                <c:pt idx="222">
                  <c:v>170</c:v>
                </c:pt>
                <c:pt idx="223">
                  <c:v>208.333333333333</c:v>
                </c:pt>
                <c:pt idx="224">
                  <c:v>166.666666666667</c:v>
                </c:pt>
                <c:pt idx="225">
                  <c:v>20</c:v>
                </c:pt>
                <c:pt idx="226">
                  <c:v>255</c:v>
                </c:pt>
                <c:pt idx="227">
                  <c:v>26.85</c:v>
                </c:pt>
                <c:pt idx="228">
                  <c:v>6.8</c:v>
                </c:pt>
                <c:pt idx="229">
                  <c:v>36.6363636363636</c:v>
                </c:pt>
                <c:pt idx="230">
                  <c:v>74.9375</c:v>
                </c:pt>
                <c:pt idx="231">
                  <c:v>4.36</c:v>
                </c:pt>
                <c:pt idx="232">
                  <c:v>84.6666666666667</c:v>
                </c:pt>
                <c:pt idx="233">
                  <c:v>13.9</c:v>
                </c:pt>
                <c:pt idx="234">
                  <c:v>108.333333333333</c:v>
                </c:pt>
                <c:pt idx="235">
                  <c:v>2.425</c:v>
                </c:pt>
                <c:pt idx="236">
                  <c:v>84</c:v>
                </c:pt>
                <c:pt idx="237">
                  <c:v>15000</c:v>
                </c:pt>
                <c:pt idx="238">
                  <c:v>252000</c:v>
                </c:pt>
                <c:pt idx="239">
                  <c:v>1</c:v>
                </c:pt>
                <c:pt idx="240">
                  <c:v>1133.33333333333</c:v>
                </c:pt>
                <c:pt idx="241">
                  <c:v>12.15</c:v>
                </c:pt>
                <c:pt idx="242">
                  <c:v>24</c:v>
                </c:pt>
                <c:pt idx="243">
                  <c:v>220.833333333333</c:v>
                </c:pt>
                <c:pt idx="244">
                  <c:v>9560</c:v>
                </c:pt>
                <c:pt idx="245">
                  <c:v>2.55</c:v>
                </c:pt>
                <c:pt idx="246">
                  <c:v>12</c:v>
                </c:pt>
                <c:pt idx="247">
                  <c:v>388.75</c:v>
                </c:pt>
                <c:pt idx="248">
                  <c:v>11</c:v>
                </c:pt>
                <c:pt idx="249">
                  <c:v>0.42</c:v>
                </c:pt>
                <c:pt idx="250">
                  <c:v>7.75</c:v>
                </c:pt>
                <c:pt idx="251">
                  <c:v>18.75</c:v>
                </c:pt>
                <c:pt idx="252">
                  <c:v>24.6</c:v>
                </c:pt>
                <c:pt idx="253">
                  <c:v>450</c:v>
                </c:pt>
                <c:pt idx="254">
                  <c:v>7.41111111111111</c:v>
                </c:pt>
                <c:pt idx="255">
                  <c:v>3.475</c:v>
                </c:pt>
                <c:pt idx="256">
                  <c:v>3.2</c:v>
                </c:pt>
                <c:pt idx="257">
                  <c:v>18.9</c:v>
                </c:pt>
                <c:pt idx="258">
                  <c:v>57.4074074074074</c:v>
                </c:pt>
                <c:pt idx="259">
                  <c:v>12.4545454545455</c:v>
                </c:pt>
                <c:pt idx="260">
                  <c:v>1250</c:v>
                </c:pt>
                <c:pt idx="261">
                  <c:v>2570.3125</c:v>
                </c:pt>
                <c:pt idx="262">
                  <c:v>1200</c:v>
                </c:pt>
                <c:pt idx="263">
                  <c:v>7.9</c:v>
                </c:pt>
                <c:pt idx="264">
                  <c:v>2525000</c:v>
                </c:pt>
                <c:pt idx="265">
                  <c:v>780</c:v>
                </c:pt>
                <c:pt idx="266">
                  <c:v>1022.72727272727</c:v>
                </c:pt>
                <c:pt idx="267">
                  <c:v>1.325</c:v>
                </c:pt>
                <c:pt idx="268">
                  <c:v>198.8</c:v>
                </c:pt>
                <c:pt idx="269">
                  <c:v>1557.14285714286</c:v>
                </c:pt>
                <c:pt idx="270">
                  <c:v>1100</c:v>
                </c:pt>
                <c:pt idx="271">
                  <c:v>0.88</c:v>
                </c:pt>
                <c:pt idx="272">
                  <c:v>20</c:v>
                </c:pt>
                <c:pt idx="273">
                  <c:v>7.1875</c:v>
                </c:pt>
                <c:pt idx="274">
                  <c:v>95.5</c:v>
                </c:pt>
                <c:pt idx="275">
                  <c:v>10.8125</c:v>
                </c:pt>
                <c:pt idx="276">
                  <c:v>1.1</c:v>
                </c:pt>
                <c:pt idx="277">
                  <c:v>30</c:v>
                </c:pt>
                <c:pt idx="278">
                  <c:v>9.05882352941176</c:v>
                </c:pt>
                <c:pt idx="279">
                  <c:v>20</c:v>
                </c:pt>
                <c:pt idx="280">
                  <c:v>274.444444444444</c:v>
                </c:pt>
                <c:pt idx="281">
                  <c:v>828</c:v>
                </c:pt>
                <c:pt idx="282">
                  <c:v>78.5</c:v>
                </c:pt>
                <c:pt idx="283">
                  <c:v>5833.33333333333</c:v>
                </c:pt>
                <c:pt idx="284">
                  <c:v>1080</c:v>
                </c:pt>
                <c:pt idx="285">
                  <c:v>125</c:v>
                </c:pt>
                <c:pt idx="286">
                  <c:v>41250</c:v>
                </c:pt>
                <c:pt idx="287">
                  <c:v>6350000</c:v>
                </c:pt>
                <c:pt idx="288">
                  <c:v>7850</c:v>
                </c:pt>
                <c:pt idx="289">
                  <c:v>1.26</c:v>
                </c:pt>
                <c:pt idx="290">
                  <c:v>3.5</c:v>
                </c:pt>
                <c:pt idx="291">
                  <c:v>550</c:v>
                </c:pt>
                <c:pt idx="292">
                  <c:v>75</c:v>
                </c:pt>
                <c:pt idx="293">
                  <c:v>7.07692307692308</c:v>
                </c:pt>
                <c:pt idx="294">
                  <c:v>44.1666666666667</c:v>
                </c:pt>
                <c:pt idx="295">
                  <c:v>17500</c:v>
                </c:pt>
                <c:pt idx="296">
                  <c:v>128.25</c:v>
                </c:pt>
                <c:pt idx="297">
                  <c:v>1165</c:v>
                </c:pt>
                <c:pt idx="298">
                  <c:v>2.08333333333333</c:v>
                </c:pt>
                <c:pt idx="299">
                  <c:v>37.5</c:v>
                </c:pt>
                <c:pt idx="300">
                  <c:v>290</c:v>
                </c:pt>
                <c:pt idx="301">
                  <c:v>2.7</c:v>
                </c:pt>
                <c:pt idx="302">
                  <c:v>332.5</c:v>
                </c:pt>
                <c:pt idx="303">
                  <c:v>46</c:v>
                </c:pt>
                <c:pt idx="304">
                  <c:v>380</c:v>
                </c:pt>
                <c:pt idx="305">
                  <c:v>216</c:v>
                </c:pt>
                <c:pt idx="306">
                  <c:v>18.8787878787879</c:v>
                </c:pt>
                <c:pt idx="307">
                  <c:v>4.61333333333333</c:v>
                </c:pt>
                <c:pt idx="308">
                  <c:v>332</c:v>
                </c:pt>
                <c:pt idx="309">
                  <c:v>11.875</c:v>
                </c:pt>
                <c:pt idx="310">
                  <c:v>14.84375</c:v>
                </c:pt>
                <c:pt idx="311">
                  <c:v>5</c:v>
                </c:pt>
                <c:pt idx="312">
                  <c:v>643</c:v>
                </c:pt>
                <c:pt idx="313">
                  <c:v>450</c:v>
                </c:pt>
                <c:pt idx="314">
                  <c:v>67.2</c:v>
                </c:pt>
                <c:pt idx="315">
                  <c:v>5500</c:v>
                </c:pt>
                <c:pt idx="316">
                  <c:v>139050</c:v>
                </c:pt>
                <c:pt idx="317">
                  <c:v>2.36296296296296</c:v>
                </c:pt>
                <c:pt idx="318">
                  <c:v>19700</c:v>
                </c:pt>
                <c:pt idx="319">
                  <c:v>30</c:v>
                </c:pt>
                <c:pt idx="320">
                  <c:v>5</c:v>
                </c:pt>
                <c:pt idx="321">
                  <c:v>3.26388888888889</c:v>
                </c:pt>
                <c:pt idx="322">
                  <c:v>220</c:v>
                </c:pt>
                <c:pt idx="323">
                  <c:v>800</c:v>
                </c:pt>
                <c:pt idx="324">
                  <c:v>19.15625</c:v>
                </c:pt>
                <c:pt idx="325">
                  <c:v>7.6</c:v>
                </c:pt>
                <c:pt idx="326">
                  <c:v>31.72</c:v>
                </c:pt>
                <c:pt idx="327">
                  <c:v>12.6</c:v>
                </c:pt>
                <c:pt idx="328">
                  <c:v>4.1</c:v>
                </c:pt>
                <c:pt idx="329">
                  <c:v>10</c:v>
                </c:pt>
                <c:pt idx="330">
                  <c:v>653.333333333333</c:v>
                </c:pt>
                <c:pt idx="331">
                  <c:v>1.78333333333333</c:v>
                </c:pt>
                <c:pt idx="332">
                  <c:v>61.5</c:v>
                </c:pt>
                <c:pt idx="333">
                  <c:v>4.54</c:v>
                </c:pt>
                <c:pt idx="334">
                  <c:v>15.625</c:v>
                </c:pt>
                <c:pt idx="335">
                  <c:v>130</c:v>
                </c:pt>
                <c:pt idx="336">
                  <c:v>76</c:v>
                </c:pt>
                <c:pt idx="337">
                  <c:v>292</c:v>
                </c:pt>
                <c:pt idx="338">
                  <c:v>45.8125</c:v>
                </c:pt>
                <c:pt idx="339">
                  <c:v>81.5</c:v>
                </c:pt>
                <c:pt idx="340">
                  <c:v>3000</c:v>
                </c:pt>
                <c:pt idx="341">
                  <c:v>6.9</c:v>
                </c:pt>
                <c:pt idx="342">
                  <c:v>252750</c:v>
                </c:pt>
                <c:pt idx="343">
                  <c:v>2791.66666666667</c:v>
                </c:pt>
                <c:pt idx="344">
                  <c:v>842.5</c:v>
                </c:pt>
                <c:pt idx="345">
                  <c:v>600</c:v>
                </c:pt>
                <c:pt idx="346">
                  <c:v>85.6</c:v>
                </c:pt>
                <c:pt idx="347">
                  <c:v>32</c:v>
                </c:pt>
                <c:pt idx="348">
                  <c:v>633.333333333333</c:v>
                </c:pt>
                <c:pt idx="349">
                  <c:v>136054.421768707</c:v>
                </c:pt>
                <c:pt idx="350">
                  <c:v>72.2222222222222</c:v>
                </c:pt>
                <c:pt idx="351">
                  <c:v>5.08</c:v>
                </c:pt>
                <c:pt idx="352">
                  <c:v>1.66666666666667</c:v>
                </c:pt>
                <c:pt idx="353">
                  <c:v>7</c:v>
                </c:pt>
                <c:pt idx="354">
                  <c:v>14.775</c:v>
                </c:pt>
                <c:pt idx="355">
                  <c:v>175</c:v>
                </c:pt>
                <c:pt idx="356">
                  <c:v>218.75</c:v>
                </c:pt>
                <c:pt idx="357">
                  <c:v>325</c:v>
                </c:pt>
                <c:pt idx="358">
                  <c:v>32.6876356370432</c:v>
                </c:pt>
                <c:pt idx="359">
                  <c:v>3.11344304066298</c:v>
                </c:pt>
                <c:pt idx="360">
                  <c:v>2416.66666666667</c:v>
                </c:pt>
                <c:pt idx="361">
                  <c:v>2895.83333333333</c:v>
                </c:pt>
                <c:pt idx="362">
                  <c:v>67</c:v>
                </c:pt>
                <c:pt idx="363">
                  <c:v>148</c:v>
                </c:pt>
                <c:pt idx="364">
                  <c:v>21.6666666666667</c:v>
                </c:pt>
                <c:pt idx="365">
                  <c:v>0.777777777777778</c:v>
                </c:pt>
                <c:pt idx="366">
                  <c:v>680</c:v>
                </c:pt>
                <c:pt idx="367">
                  <c:v>78</c:v>
                </c:pt>
                <c:pt idx="368">
                  <c:v>95.2</c:v>
                </c:pt>
                <c:pt idx="369">
                  <c:v>20.525</c:v>
                </c:pt>
                <c:pt idx="370">
                  <c:v>16</c:v>
                </c:pt>
                <c:pt idx="371">
                  <c:v>25.2</c:v>
                </c:pt>
                <c:pt idx="372">
                  <c:v>720</c:v>
                </c:pt>
                <c:pt idx="373">
                  <c:v>1680</c:v>
                </c:pt>
                <c:pt idx="374">
                  <c:v>2900</c:v>
                </c:pt>
                <c:pt idx="375">
                  <c:v>747</c:v>
                </c:pt>
                <c:pt idx="376">
                  <c:v>7</c:v>
                </c:pt>
                <c:pt idx="377">
                  <c:v>1.68857142857143</c:v>
                </c:pt>
                <c:pt idx="378">
                  <c:v>1.48</c:v>
                </c:pt>
                <c:pt idx="379">
                  <c:v>6.30769230769231</c:v>
                </c:pt>
                <c:pt idx="380">
                  <c:v>6.5</c:v>
                </c:pt>
                <c:pt idx="381">
                  <c:v>3.73076923076923</c:v>
                </c:pt>
                <c:pt idx="382">
                  <c:v>4250</c:v>
                </c:pt>
                <c:pt idx="383">
                  <c:v>1835.2</c:v>
                </c:pt>
                <c:pt idx="384">
                  <c:v>23500</c:v>
                </c:pt>
                <c:pt idx="385">
                  <c:v>880</c:v>
                </c:pt>
                <c:pt idx="386">
                  <c:v>1435</c:v>
                </c:pt>
                <c:pt idx="387">
                  <c:v>5087.5</c:v>
                </c:pt>
                <c:pt idx="388">
                  <c:v>219.444444444444</c:v>
                </c:pt>
                <c:pt idx="389">
                  <c:v>453.333333333333</c:v>
                </c:pt>
                <c:pt idx="390">
                  <c:v>133.8</c:v>
                </c:pt>
                <c:pt idx="391">
                  <c:v>34.1666666666667</c:v>
                </c:pt>
                <c:pt idx="392">
                  <c:v>750</c:v>
                </c:pt>
              </c:numCache>
            </c:numRef>
          </c:yVal>
          <c:smooth val="0"/>
        </c:ser>
        <c:ser>
          <c:idx val="3"/>
          <c:order val="3"/>
          <c:tx>
            <c:strRef>
              <c:f>"VLSI 1997-2022"</c:f>
              <c:strCache>
                <c:ptCount val="1"/>
                <c:pt idx="0">
                  <c:v>VLSI 1997-2022</c:v>
                </c:pt>
              </c:strCache>
            </c:strRef>
          </c:tx>
          <c:spPr>
            <a:solidFill>
              <a:srgbClr val="000000"/>
            </a:solidFill>
            <a:ln w="28440">
              <a:noFill/>
            </a:ln>
          </c:spPr>
          <c:marker>
            <c:symbol val="x"/>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VLSI!$X$2:$X$256</c:f>
              <c:numCache>
                <c:formatCode>General</c:formatCode>
                <c:ptCount val="255"/>
                <c:pt idx="0">
                  <c:v>91.5</c:v>
                </c:pt>
                <c:pt idx="1">
                  <c:v>24.034</c:v>
                </c:pt>
                <c:pt idx="2">
                  <c:v>58.5</c:v>
                </c:pt>
                <c:pt idx="3">
                  <c:v>43.3</c:v>
                </c:pt>
                <c:pt idx="4">
                  <c:v>53</c:v>
                </c:pt>
                <c:pt idx="5">
                  <c:v>45</c:v>
                </c:pt>
                <c:pt idx="6">
                  <c:v>33.5</c:v>
                </c:pt>
                <c:pt idx="7">
                  <c:v>42.3</c:v>
                </c:pt>
                <c:pt idx="8">
                  <c:v>78</c:v>
                </c:pt>
                <c:pt idx="9">
                  <c:v>68</c:v>
                </c:pt>
                <c:pt idx="10">
                  <c:v>40.2</c:v>
                </c:pt>
                <c:pt idx="11">
                  <c:v>45</c:v>
                </c:pt>
                <c:pt idx="12">
                  <c:v>67</c:v>
                </c:pt>
                <c:pt idx="13">
                  <c:v>31</c:v>
                </c:pt>
                <c:pt idx="14">
                  <c:v>54.9166</c:v>
                </c:pt>
                <c:pt idx="15">
                  <c:v>55</c:v>
                </c:pt>
                <c:pt idx="16">
                  <c:v>85.7</c:v>
                </c:pt>
                <c:pt idx="17">
                  <c:v>78.4</c:v>
                </c:pt>
                <c:pt idx="18">
                  <c:v>77.4</c:v>
                </c:pt>
                <c:pt idx="19">
                  <c:v>76</c:v>
                </c:pt>
                <c:pt idx="20">
                  <c:v>55</c:v>
                </c:pt>
                <c:pt idx="21">
                  <c:v>61</c:v>
                </c:pt>
                <c:pt idx="22">
                  <c:v>72</c:v>
                </c:pt>
                <c:pt idx="23">
                  <c:v>55</c:v>
                </c:pt>
                <c:pt idx="24">
                  <c:v>52</c:v>
                </c:pt>
                <c:pt idx="25">
                  <c:v>30</c:v>
                </c:pt>
                <c:pt idx="26">
                  <c:v>40</c:v>
                </c:pt>
                <c:pt idx="27">
                  <c:v>60.3948</c:v>
                </c:pt>
                <c:pt idx="28">
                  <c:v>57.2</c:v>
                </c:pt>
                <c:pt idx="29">
                  <c:v>55</c:v>
                </c:pt>
                <c:pt idx="30">
                  <c:v>69</c:v>
                </c:pt>
                <c:pt idx="31">
                  <c:v>88</c:v>
                </c:pt>
                <c:pt idx="32">
                  <c:v>66.1</c:v>
                </c:pt>
                <c:pt idx="33">
                  <c:v>22.5</c:v>
                </c:pt>
                <c:pt idx="34">
                  <c:v>58.8</c:v>
                </c:pt>
                <c:pt idx="35">
                  <c:v>56.5</c:v>
                </c:pt>
                <c:pt idx="36">
                  <c:v>70.4</c:v>
                </c:pt>
                <c:pt idx="37">
                  <c:v>60</c:v>
                </c:pt>
                <c:pt idx="38">
                  <c:v>56</c:v>
                </c:pt>
                <c:pt idx="39">
                  <c:v>33.7</c:v>
                </c:pt>
                <c:pt idx="40">
                  <c:v>41.5</c:v>
                </c:pt>
                <c:pt idx="41">
                  <c:v>44.5</c:v>
                </c:pt>
                <c:pt idx="42">
                  <c:v>33.6</c:v>
                </c:pt>
                <c:pt idx="43">
                  <c:v>26</c:v>
                </c:pt>
                <c:pt idx="44">
                  <c:v>89</c:v>
                </c:pt>
                <c:pt idx="45">
                  <c:v>84</c:v>
                </c:pt>
                <c:pt idx="46">
                  <c:v>63</c:v>
                </c:pt>
                <c:pt idx="47">
                  <c:v>76</c:v>
                </c:pt>
                <c:pt idx="48">
                  <c:v>48.114</c:v>
                </c:pt>
                <c:pt idx="49">
                  <c:v>31.18</c:v>
                </c:pt>
                <c:pt idx="50">
                  <c:v>40.89</c:v>
                </c:pt>
                <c:pt idx="51">
                  <c:v>36</c:v>
                </c:pt>
                <c:pt idx="52">
                  <c:v>70.7</c:v>
                </c:pt>
                <c:pt idx="53">
                  <c:v>62</c:v>
                </c:pt>
                <c:pt idx="54">
                  <c:v>48.1</c:v>
                </c:pt>
                <c:pt idx="55">
                  <c:v>67</c:v>
                </c:pt>
                <c:pt idx="56">
                  <c:v>63</c:v>
                </c:pt>
                <c:pt idx="57">
                  <c:v>84</c:v>
                </c:pt>
                <c:pt idx="58">
                  <c:v>86.3</c:v>
                </c:pt>
                <c:pt idx="59">
                  <c:v>60</c:v>
                </c:pt>
                <c:pt idx="60">
                  <c:v>44.2</c:v>
                </c:pt>
                <c:pt idx="61">
                  <c:v>70</c:v>
                </c:pt>
                <c:pt idx="62">
                  <c:v>33.666</c:v>
                </c:pt>
                <c:pt idx="63">
                  <c:v>30</c:v>
                </c:pt>
                <c:pt idx="64">
                  <c:v>32</c:v>
                </c:pt>
                <c:pt idx="65">
                  <c:v>32.4</c:v>
                </c:pt>
                <c:pt idx="66">
                  <c:v>95</c:v>
                </c:pt>
                <c:pt idx="67">
                  <c:v>84</c:v>
                </c:pt>
                <c:pt idx="68">
                  <c:v>61</c:v>
                </c:pt>
                <c:pt idx="69">
                  <c:v>68</c:v>
                </c:pt>
                <c:pt idx="70">
                  <c:v>47.7</c:v>
                </c:pt>
                <c:pt idx="71">
                  <c:v>54.3</c:v>
                </c:pt>
                <c:pt idx="72">
                  <c:v>64</c:v>
                </c:pt>
                <c:pt idx="73">
                  <c:v>65.9</c:v>
                </c:pt>
                <c:pt idx="74">
                  <c:v>62.5</c:v>
                </c:pt>
                <c:pt idx="75">
                  <c:v>65</c:v>
                </c:pt>
                <c:pt idx="76">
                  <c:v>56.3</c:v>
                </c:pt>
                <c:pt idx="77">
                  <c:v>75.4</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63.164</c:v>
                </c:pt>
                <c:pt idx="95">
                  <c:v>64.368</c:v>
                </c:pt>
                <c:pt idx="96">
                  <c:v>60.29</c:v>
                </c:pt>
                <c:pt idx="97">
                  <c:v>54.0738</c:v>
                </c:pt>
                <c:pt idx="98">
                  <c:v>73.7</c:v>
                </c:pt>
                <c:pt idx="99">
                  <c:v>63</c:v>
                </c:pt>
                <c:pt idx="100">
                  <c:v>73.3</c:v>
                </c:pt>
                <c:pt idx="101">
                  <c:v>41</c:v>
                </c:pt>
                <c:pt idx="102">
                  <c:v>78</c:v>
                </c:pt>
                <c:pt idx="103">
                  <c:v>51</c:v>
                </c:pt>
                <c:pt idx="104">
                  <c:v>56</c:v>
                </c:pt>
                <c:pt idx="105">
                  <c:v>33.064</c:v>
                </c:pt>
                <c:pt idx="106">
                  <c:v>50</c:v>
                </c:pt>
                <c:pt idx="107">
                  <c:v>40</c:v>
                </c:pt>
                <c:pt idx="108">
                  <c:v>60.3</c:v>
                </c:pt>
                <c:pt idx="109">
                  <c:v>45.104</c:v>
                </c:pt>
                <c:pt idx="110">
                  <c:v>46.91</c:v>
                </c:pt>
                <c:pt idx="111">
                  <c:v>44.502</c:v>
                </c:pt>
                <c:pt idx="112">
                  <c:v>30</c:v>
                </c:pt>
                <c:pt idx="113">
                  <c:v>38.9</c:v>
                </c:pt>
                <c:pt idx="114">
                  <c:v>59.1</c:v>
                </c:pt>
                <c:pt idx="115">
                  <c:v>33.1</c:v>
                </c:pt>
                <c:pt idx="116">
                  <c:v>50</c:v>
                </c:pt>
                <c:pt idx="117">
                  <c:v>52.4</c:v>
                </c:pt>
                <c:pt idx="118">
                  <c:v>61.5</c:v>
                </c:pt>
                <c:pt idx="119">
                  <c:v>48.2</c:v>
                </c:pt>
                <c:pt idx="120">
                  <c:v>42.75</c:v>
                </c:pt>
                <c:pt idx="121">
                  <c:v>43.298</c:v>
                </c:pt>
                <c:pt idx="122">
                  <c:v>52.94</c:v>
                </c:pt>
                <c:pt idx="123">
                  <c:v>56.3</c:v>
                </c:pt>
                <c:pt idx="124">
                  <c:v>70</c:v>
                </c:pt>
                <c:pt idx="125">
                  <c:v>70.7</c:v>
                </c:pt>
                <c:pt idx="126">
                  <c:v>67</c:v>
                </c:pt>
                <c:pt idx="127">
                  <c:v>70</c:v>
                </c:pt>
                <c:pt idx="128">
                  <c:v>75.1</c:v>
                </c:pt>
                <c:pt idx="129">
                  <c:v>69</c:v>
                </c:pt>
                <c:pt idx="130">
                  <c:v>66</c:v>
                </c:pt>
                <c:pt idx="131">
                  <c:v>58.5</c:v>
                </c:pt>
                <c:pt idx="132">
                  <c:v>73.9</c:v>
                </c:pt>
                <c:pt idx="133">
                  <c:v>50</c:v>
                </c:pt>
                <c:pt idx="134">
                  <c:v>75.9</c:v>
                </c:pt>
                <c:pt idx="135">
                  <c:v>65.2</c:v>
                </c:pt>
                <c:pt idx="136">
                  <c:v>57.6</c:v>
                </c:pt>
                <c:pt idx="137">
                  <c:v>52.2</c:v>
                </c:pt>
                <c:pt idx="138">
                  <c:v>36.98</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67.1</c:v>
                </c:pt>
                <c:pt idx="154">
                  <c:v>65.3</c:v>
                </c:pt>
                <c:pt idx="155">
                  <c:v>46.9</c:v>
                </c:pt>
                <c:pt idx="156">
                  <c:v>68.1</c:v>
                </c:pt>
                <c:pt idx="157">
                  <c:v>58</c:v>
                </c:pt>
                <c:pt idx="158">
                  <c:v>68</c:v>
                </c:pt>
                <c:pt idx="159">
                  <c:v>29.7</c:v>
                </c:pt>
                <c:pt idx="160">
                  <c:v>40</c:v>
                </c:pt>
                <c:pt idx="161">
                  <c:v>25.2</c:v>
                </c:pt>
                <c:pt idx="162">
                  <c:v>64.9</c:v>
                </c:pt>
                <c:pt idx="163">
                  <c:v>71.5</c:v>
                </c:pt>
                <c:pt idx="164">
                  <c:v>75.3</c:v>
                </c:pt>
                <c:pt idx="165">
                  <c:v>67.7</c:v>
                </c:pt>
                <c:pt idx="166">
                  <c:v>66.9</c:v>
                </c:pt>
                <c:pt idx="167">
                  <c:v>69.1</c:v>
                </c:pt>
                <c:pt idx="168">
                  <c:v>80.5</c:v>
                </c:pt>
                <c:pt idx="169">
                  <c:v>85</c:v>
                </c:pt>
                <c:pt idx="170">
                  <c:v>97.99</c:v>
                </c:pt>
                <c:pt idx="171">
                  <c:v>96.8</c:v>
                </c:pt>
                <c:pt idx="172">
                  <c:v>74.3</c:v>
                </c:pt>
                <c:pt idx="173">
                  <c:v>67.6</c:v>
                </c:pt>
                <c:pt idx="174">
                  <c:v>31.5</c:v>
                </c:pt>
                <c:pt idx="175">
                  <c:v>75</c:v>
                </c:pt>
                <c:pt idx="176">
                  <c:v>69.1</c:v>
                </c:pt>
                <c:pt idx="177">
                  <c:v>65</c:v>
                </c:pt>
                <c:pt idx="178">
                  <c:v>60.8</c:v>
                </c:pt>
                <c:pt idx="179">
                  <c:v>74.12</c:v>
                </c:pt>
                <c:pt idx="180">
                  <c:v>58.7092</c:v>
                </c:pt>
                <c:pt idx="181">
                  <c:v>29.3918</c:v>
                </c:pt>
                <c:pt idx="182">
                  <c:v>29</c:v>
                </c:pt>
                <c:pt idx="183">
                  <c:v>50.3</c:v>
                </c:pt>
                <c:pt idx="184">
                  <c:v>58</c:v>
                </c:pt>
                <c:pt idx="185">
                  <c:v>74.4</c:v>
                </c:pt>
                <c:pt idx="186">
                  <c:v>68.6</c:v>
                </c:pt>
                <c:pt idx="187">
                  <c:v>64</c:v>
                </c:pt>
                <c:pt idx="188">
                  <c:v>88.5</c:v>
                </c:pt>
                <c:pt idx="189">
                  <c:v>64</c:v>
                </c:pt>
                <c:pt idx="190">
                  <c:v>56.6</c:v>
                </c:pt>
                <c:pt idx="191">
                  <c:v>56.3</c:v>
                </c:pt>
                <c:pt idx="192">
                  <c:v>73.2</c:v>
                </c:pt>
                <c:pt idx="193">
                  <c:v>69.1</c:v>
                </c:pt>
                <c:pt idx="194">
                  <c:v>80</c:v>
                </c:pt>
                <c:pt idx="195">
                  <c:v>69.1</c:v>
                </c:pt>
                <c:pt idx="196">
                  <c:v>84.8</c:v>
                </c:pt>
                <c:pt idx="197">
                  <c:v>60.45</c:v>
                </c:pt>
                <c:pt idx="198">
                  <c:v>50.1</c:v>
                </c:pt>
                <c:pt idx="199">
                  <c:v>100</c:v>
                </c:pt>
                <c:pt idx="200">
                  <c:v>78</c:v>
                </c:pt>
                <c:pt idx="201">
                  <c:v>40.7</c:v>
                </c:pt>
                <c:pt idx="202">
                  <c:v>66.6</c:v>
                </c:pt>
                <c:pt idx="203">
                  <c:v>54.56</c:v>
                </c:pt>
                <c:pt idx="204">
                  <c:v>45</c:v>
                </c:pt>
                <c:pt idx="205">
                  <c:v>45</c:v>
                </c:pt>
                <c:pt idx="206">
                  <c:v>57</c:v>
                </c:pt>
                <c:pt idx="207">
                  <c:v>94.1</c:v>
                </c:pt>
                <c:pt idx="208">
                  <c:v>70.4</c:v>
                </c:pt>
                <c:pt idx="209">
                  <c:v>77.1</c:v>
                </c:pt>
                <c:pt idx="210">
                  <c:v>96.6</c:v>
                </c:pt>
                <c:pt idx="211">
                  <c:v>100.8</c:v>
                </c:pt>
                <c:pt idx="212">
                  <c:v>91.3</c:v>
                </c:pt>
                <c:pt idx="213">
                  <c:v>37.8</c:v>
                </c:pt>
                <c:pt idx="214">
                  <c:v>75.8</c:v>
                </c:pt>
                <c:pt idx="215">
                  <c:v>103</c:v>
                </c:pt>
                <c:pt idx="216">
                  <c:v>62.1</c:v>
                </c:pt>
                <c:pt idx="217">
                  <c:v>56.3614</c:v>
                </c:pt>
                <c:pt idx="218">
                  <c:v>48.5</c:v>
                </c:pt>
                <c:pt idx="219">
                  <c:v>49.8</c:v>
                </c:pt>
                <c:pt idx="220">
                  <c:v>106.4</c:v>
                </c:pt>
                <c:pt idx="221">
                  <c:v>103.5</c:v>
                </c:pt>
                <c:pt idx="222">
                  <c:v>71.4</c:v>
                </c:pt>
                <c:pt idx="223">
                  <c:v>77.5</c:v>
                </c:pt>
                <c:pt idx="224">
                  <c:v>29.4</c:v>
                </c:pt>
                <c:pt idx="225">
                  <c:v>59.5</c:v>
                </c:pt>
                <c:pt idx="226">
                  <c:v>56.3</c:v>
                </c:pt>
                <c:pt idx="227">
                  <c:v>45.4652</c:v>
                </c:pt>
                <c:pt idx="228">
                  <c:v>106.5</c:v>
                </c:pt>
                <c:pt idx="229">
                  <c:v>86.1</c:v>
                </c:pt>
                <c:pt idx="230">
                  <c:v>74.4</c:v>
                </c:pt>
                <c:pt idx="231">
                  <c:v>63.6</c:v>
                </c:pt>
                <c:pt idx="232">
                  <c:v>59.6</c:v>
                </c:pt>
                <c:pt idx="233">
                  <c:v>32.5</c:v>
                </c:pt>
                <c:pt idx="234">
                  <c:v>83</c:v>
                </c:pt>
                <c:pt idx="235">
                  <c:v>71.5</c:v>
                </c:pt>
                <c:pt idx="236">
                  <c:v>37.04</c:v>
                </c:pt>
                <c:pt idx="237">
                  <c:v>62.3</c:v>
                </c:pt>
                <c:pt idx="238">
                  <c:v>38.8</c:v>
                </c:pt>
                <c:pt idx="239">
                  <c:v>42.4</c:v>
                </c:pt>
                <c:pt idx="240">
                  <c:v>59.28</c:v>
                </c:pt>
                <c:pt idx="241">
                  <c:v>57.746</c:v>
                </c:pt>
                <c:pt idx="242">
                  <c:v>94.5</c:v>
                </c:pt>
                <c:pt idx="243">
                  <c:v>81.6</c:v>
                </c:pt>
                <c:pt idx="244">
                  <c:v>98.3</c:v>
                </c:pt>
                <c:pt idx="245">
                  <c:v>77.3</c:v>
                </c:pt>
                <c:pt idx="246">
                  <c:v>65</c:v>
                </c:pt>
                <c:pt idx="247">
                  <c:v>62</c:v>
                </c:pt>
                <c:pt idx="248">
                  <c:v>44.8</c:v>
                </c:pt>
                <c:pt idx="249">
                  <c:v>67.53</c:v>
                </c:pt>
                <c:pt idx="250">
                  <c:v>60.154</c:v>
                </c:pt>
                <c:pt idx="251">
                  <c:v>32.8</c:v>
                </c:pt>
                <c:pt idx="252">
                  <c:v>38</c:v>
                </c:pt>
                <c:pt idx="253">
                  <c:v>48</c:v>
                </c:pt>
                <c:pt idx="254">
                  <c:v>48</c:v>
                </c:pt>
              </c:numCache>
            </c:numRef>
          </c:xVal>
          <c:yVal>
            <c:numRef>
              <c:f>VLSI!$AD$2:$AD$256</c:f>
              <c:numCache>
                <c:formatCode>General</c:formatCode>
                <c:ptCount val="255"/>
                <c:pt idx="0">
                  <c:v>162500</c:v>
                </c:pt>
                <c:pt idx="1">
                  <c:v>1562.5</c:v>
                </c:pt>
                <c:pt idx="2">
                  <c:v>2517.48251748252</c:v>
                </c:pt>
                <c:pt idx="3">
                  <c:v>1800</c:v>
                </c:pt>
                <c:pt idx="4">
                  <c:v>43750</c:v>
                </c:pt>
                <c:pt idx="5">
                  <c:v>1900</c:v>
                </c:pt>
                <c:pt idx="6">
                  <c:v>400</c:v>
                </c:pt>
                <c:pt idx="7">
                  <c:v>1650</c:v>
                </c:pt>
                <c:pt idx="8">
                  <c:v>25000</c:v>
                </c:pt>
                <c:pt idx="9">
                  <c:v>8095.2380952381</c:v>
                </c:pt>
                <c:pt idx="10">
                  <c:v>880</c:v>
                </c:pt>
                <c:pt idx="11">
                  <c:v>600</c:v>
                </c:pt>
                <c:pt idx="12">
                  <c:v>11764.7058823529</c:v>
                </c:pt>
                <c:pt idx="13">
                  <c:v>175</c:v>
                </c:pt>
                <c:pt idx="14">
                  <c:v>1800</c:v>
                </c:pt>
                <c:pt idx="15">
                  <c:v>9000</c:v>
                </c:pt>
                <c:pt idx="16">
                  <c:v>150000</c:v>
                </c:pt>
                <c:pt idx="17">
                  <c:v>8518.51851851852</c:v>
                </c:pt>
                <c:pt idx="18">
                  <c:v>12000</c:v>
                </c:pt>
                <c:pt idx="19">
                  <c:v>10000</c:v>
                </c:pt>
                <c:pt idx="20">
                  <c:v>400</c:v>
                </c:pt>
                <c:pt idx="21">
                  <c:v>2916.66666666667</c:v>
                </c:pt>
                <c:pt idx="22">
                  <c:v>92500</c:v>
                </c:pt>
                <c:pt idx="23">
                  <c:v>18500</c:v>
                </c:pt>
                <c:pt idx="24">
                  <c:v>14800</c:v>
                </c:pt>
                <c:pt idx="25">
                  <c:v>247.5</c:v>
                </c:pt>
                <c:pt idx="26">
                  <c:v>345</c:v>
                </c:pt>
                <c:pt idx="27">
                  <c:v>6666.66666666667</c:v>
                </c:pt>
                <c:pt idx="28">
                  <c:v>580</c:v>
                </c:pt>
                <c:pt idx="29">
                  <c:v>3000</c:v>
                </c:pt>
                <c:pt idx="30">
                  <c:v>1643.75</c:v>
                </c:pt>
                <c:pt idx="31">
                  <c:v>7400</c:v>
                </c:pt>
                <c:pt idx="32">
                  <c:v>10000000000</c:v>
                </c:pt>
                <c:pt idx="33">
                  <c:v>130</c:v>
                </c:pt>
                <c:pt idx="34">
                  <c:v>8100</c:v>
                </c:pt>
                <c:pt idx="35">
                  <c:v>1175</c:v>
                </c:pt>
                <c:pt idx="36">
                  <c:v>1685</c:v>
                </c:pt>
                <c:pt idx="37">
                  <c:v>767.938564914807</c:v>
                </c:pt>
                <c:pt idx="38">
                  <c:v>1000</c:v>
                </c:pt>
                <c:pt idx="39">
                  <c:v>131.25</c:v>
                </c:pt>
                <c:pt idx="40">
                  <c:v>300</c:v>
                </c:pt>
                <c:pt idx="41">
                  <c:v>750</c:v>
                </c:pt>
                <c:pt idx="42">
                  <c:v>150</c:v>
                </c:pt>
                <c:pt idx="43">
                  <c:v>12</c:v>
                </c:pt>
                <c:pt idx="44">
                  <c:v>31250</c:v>
                </c:pt>
                <c:pt idx="45">
                  <c:v>10800</c:v>
                </c:pt>
                <c:pt idx="46">
                  <c:v>1904.296875</c:v>
                </c:pt>
                <c:pt idx="47">
                  <c:v>3850000</c:v>
                </c:pt>
                <c:pt idx="48">
                  <c:v>124.761968080318</c:v>
                </c:pt>
                <c:pt idx="49">
                  <c:v>28</c:v>
                </c:pt>
                <c:pt idx="50">
                  <c:v>41.8181818181818</c:v>
                </c:pt>
                <c:pt idx="51">
                  <c:v>115.454545454545</c:v>
                </c:pt>
                <c:pt idx="52">
                  <c:v>3400</c:v>
                </c:pt>
                <c:pt idx="53">
                  <c:v>400</c:v>
                </c:pt>
                <c:pt idx="54">
                  <c:v>230</c:v>
                </c:pt>
                <c:pt idx="55">
                  <c:v>4240</c:v>
                </c:pt>
                <c:pt idx="56">
                  <c:v>350</c:v>
                </c:pt>
                <c:pt idx="57">
                  <c:v>25600</c:v>
                </c:pt>
                <c:pt idx="58">
                  <c:v>38000</c:v>
                </c:pt>
                <c:pt idx="59">
                  <c:v>960</c:v>
                </c:pt>
                <c:pt idx="60">
                  <c:v>375</c:v>
                </c:pt>
                <c:pt idx="61">
                  <c:v>2500</c:v>
                </c:pt>
                <c:pt idx="62">
                  <c:v>15</c:v>
                </c:pt>
                <c:pt idx="63">
                  <c:v>4.34285714285714</c:v>
                </c:pt>
                <c:pt idx="64">
                  <c:v>64</c:v>
                </c:pt>
                <c:pt idx="65">
                  <c:v>155.339805825243</c:v>
                </c:pt>
                <c:pt idx="66">
                  <c:v>17400</c:v>
                </c:pt>
                <c:pt idx="67">
                  <c:v>10500</c:v>
                </c:pt>
                <c:pt idx="68">
                  <c:v>833.333333333333</c:v>
                </c:pt>
                <c:pt idx="69">
                  <c:v>2086.95652173913</c:v>
                </c:pt>
                <c:pt idx="70">
                  <c:v>28.8</c:v>
                </c:pt>
                <c:pt idx="71">
                  <c:v>211.923076923077</c:v>
                </c:pt>
                <c:pt idx="72">
                  <c:v>367.2</c:v>
                </c:pt>
                <c:pt idx="73">
                  <c:v>560</c:v>
                </c:pt>
                <c:pt idx="74">
                  <c:v>266</c:v>
                </c:pt>
                <c:pt idx="75">
                  <c:v>340</c:v>
                </c:pt>
                <c:pt idx="76">
                  <c:v>300</c:v>
                </c:pt>
                <c:pt idx="77">
                  <c:v>3600</c:v>
                </c:pt>
                <c:pt idx="78">
                  <c:v>9.2</c:v>
                </c:pt>
                <c:pt idx="79">
                  <c:v>4.8</c:v>
                </c:pt>
                <c:pt idx="80">
                  <c:v>324.545454545455</c:v>
                </c:pt>
                <c:pt idx="81">
                  <c:v>13</c:v>
                </c:pt>
                <c:pt idx="82">
                  <c:v>18.5185185185185</c:v>
                </c:pt>
                <c:pt idx="83">
                  <c:v>6.77966101694915</c:v>
                </c:pt>
                <c:pt idx="84">
                  <c:v>215</c:v>
                </c:pt>
                <c:pt idx="85">
                  <c:v>140</c:v>
                </c:pt>
                <c:pt idx="86">
                  <c:v>7000</c:v>
                </c:pt>
                <c:pt idx="87">
                  <c:v>2600</c:v>
                </c:pt>
                <c:pt idx="88">
                  <c:v>900</c:v>
                </c:pt>
                <c:pt idx="89">
                  <c:v>612.5</c:v>
                </c:pt>
                <c:pt idx="90">
                  <c:v>212.5</c:v>
                </c:pt>
                <c:pt idx="91">
                  <c:v>190</c:v>
                </c:pt>
                <c:pt idx="92">
                  <c:v>6.75</c:v>
                </c:pt>
                <c:pt idx="93">
                  <c:v>27.1875</c:v>
                </c:pt>
                <c:pt idx="94">
                  <c:v>62</c:v>
                </c:pt>
                <c:pt idx="95">
                  <c:v>70</c:v>
                </c:pt>
                <c:pt idx="96">
                  <c:v>9.8</c:v>
                </c:pt>
                <c:pt idx="97">
                  <c:v>10.2</c:v>
                </c:pt>
                <c:pt idx="98">
                  <c:v>1303.125</c:v>
                </c:pt>
                <c:pt idx="99">
                  <c:v>700</c:v>
                </c:pt>
                <c:pt idx="100">
                  <c:v>2192.30769230769</c:v>
                </c:pt>
                <c:pt idx="101">
                  <c:v>1021.875</c:v>
                </c:pt>
                <c:pt idx="102">
                  <c:v>729.166666666667</c:v>
                </c:pt>
                <c:pt idx="103">
                  <c:v>166.666666666667</c:v>
                </c:pt>
                <c:pt idx="104">
                  <c:v>133.333333333333</c:v>
                </c:pt>
                <c:pt idx="105">
                  <c:v>16.9230769230769</c:v>
                </c:pt>
                <c:pt idx="106">
                  <c:v>125</c:v>
                </c:pt>
                <c:pt idx="107">
                  <c:v>16</c:v>
                </c:pt>
                <c:pt idx="108">
                  <c:v>35.1026401617127</c:v>
                </c:pt>
                <c:pt idx="109">
                  <c:v>2.784</c:v>
                </c:pt>
                <c:pt idx="110">
                  <c:v>1.09090909090909</c:v>
                </c:pt>
                <c:pt idx="111">
                  <c:v>2.825</c:v>
                </c:pt>
                <c:pt idx="112">
                  <c:v>165.714285714286</c:v>
                </c:pt>
                <c:pt idx="113">
                  <c:v>26.5</c:v>
                </c:pt>
                <c:pt idx="114">
                  <c:v>268.75</c:v>
                </c:pt>
                <c:pt idx="115">
                  <c:v>3.66666666666667</c:v>
                </c:pt>
                <c:pt idx="116">
                  <c:v>370</c:v>
                </c:pt>
                <c:pt idx="117">
                  <c:v>32.9</c:v>
                </c:pt>
                <c:pt idx="118">
                  <c:v>86.6666666666667</c:v>
                </c:pt>
                <c:pt idx="119">
                  <c:v>15.9285714285714</c:v>
                </c:pt>
                <c:pt idx="120">
                  <c:v>3.8</c:v>
                </c:pt>
                <c:pt idx="121">
                  <c:v>6</c:v>
                </c:pt>
                <c:pt idx="122">
                  <c:v>16.4</c:v>
                </c:pt>
                <c:pt idx="123">
                  <c:v>1.7</c:v>
                </c:pt>
                <c:pt idx="124">
                  <c:v>128.5</c:v>
                </c:pt>
                <c:pt idx="125">
                  <c:v>810</c:v>
                </c:pt>
                <c:pt idx="126">
                  <c:v>1233.33333333333</c:v>
                </c:pt>
                <c:pt idx="127">
                  <c:v>520</c:v>
                </c:pt>
                <c:pt idx="128">
                  <c:v>216.666666666667</c:v>
                </c:pt>
                <c:pt idx="129">
                  <c:v>700</c:v>
                </c:pt>
                <c:pt idx="130">
                  <c:v>423.333333333333</c:v>
                </c:pt>
                <c:pt idx="131">
                  <c:v>94.75</c:v>
                </c:pt>
                <c:pt idx="132">
                  <c:v>410</c:v>
                </c:pt>
                <c:pt idx="133">
                  <c:v>92.5925925925926</c:v>
                </c:pt>
                <c:pt idx="134">
                  <c:v>148</c:v>
                </c:pt>
                <c:pt idx="135">
                  <c:v>91.1428571428572</c:v>
                </c:pt>
                <c:pt idx="136">
                  <c:v>57.5</c:v>
                </c:pt>
                <c:pt idx="137">
                  <c:v>23.75</c:v>
                </c:pt>
                <c:pt idx="138">
                  <c:v>3.97727272727273</c:v>
                </c:pt>
                <c:pt idx="139">
                  <c:v>1.7</c:v>
                </c:pt>
                <c:pt idx="140">
                  <c:v>2.2216796875</c:v>
                </c:pt>
                <c:pt idx="141">
                  <c:v>5.21951219512195</c:v>
                </c:pt>
                <c:pt idx="142">
                  <c:v>7.93</c:v>
                </c:pt>
                <c:pt idx="143">
                  <c:v>6104</c:v>
                </c:pt>
                <c:pt idx="144">
                  <c:v>0.8</c:v>
                </c:pt>
                <c:pt idx="145">
                  <c:v>200</c:v>
                </c:pt>
                <c:pt idx="146">
                  <c:v>5.19512195121951</c:v>
                </c:pt>
                <c:pt idx="147">
                  <c:v>380</c:v>
                </c:pt>
                <c:pt idx="148">
                  <c:v>143.75</c:v>
                </c:pt>
                <c:pt idx="149">
                  <c:v>17530.4347826087</c:v>
                </c:pt>
                <c:pt idx="150">
                  <c:v>252.941176470588</c:v>
                </c:pt>
                <c:pt idx="151">
                  <c:v>11.5</c:v>
                </c:pt>
                <c:pt idx="152">
                  <c:v>25.2380952380952</c:v>
                </c:pt>
                <c:pt idx="153">
                  <c:v>80</c:v>
                </c:pt>
                <c:pt idx="154">
                  <c:v>31</c:v>
                </c:pt>
                <c:pt idx="155">
                  <c:v>1.2</c:v>
                </c:pt>
                <c:pt idx="156">
                  <c:v>61.4285714285714</c:v>
                </c:pt>
                <c:pt idx="157">
                  <c:v>9.656</c:v>
                </c:pt>
                <c:pt idx="158">
                  <c:v>17</c:v>
                </c:pt>
                <c:pt idx="159">
                  <c:v>3.52</c:v>
                </c:pt>
                <c:pt idx="160">
                  <c:v>0.3</c:v>
                </c:pt>
                <c:pt idx="161">
                  <c:v>8.28260869565217</c:v>
                </c:pt>
                <c:pt idx="162">
                  <c:v>152</c:v>
                </c:pt>
                <c:pt idx="163">
                  <c:v>540</c:v>
                </c:pt>
                <c:pt idx="164">
                  <c:v>360</c:v>
                </c:pt>
                <c:pt idx="165">
                  <c:v>158.974358974359</c:v>
                </c:pt>
                <c:pt idx="166">
                  <c:v>65.625</c:v>
                </c:pt>
                <c:pt idx="167">
                  <c:v>64</c:v>
                </c:pt>
                <c:pt idx="168">
                  <c:v>316</c:v>
                </c:pt>
                <c:pt idx="169">
                  <c:v>2520.83333333333</c:v>
                </c:pt>
                <c:pt idx="170">
                  <c:v>9275</c:v>
                </c:pt>
                <c:pt idx="171">
                  <c:v>17300</c:v>
                </c:pt>
                <c:pt idx="172">
                  <c:v>87.5</c:v>
                </c:pt>
                <c:pt idx="173">
                  <c:v>110.833333333333</c:v>
                </c:pt>
                <c:pt idx="174">
                  <c:v>10</c:v>
                </c:pt>
                <c:pt idx="175">
                  <c:v>1300</c:v>
                </c:pt>
                <c:pt idx="176">
                  <c:v>1205</c:v>
                </c:pt>
                <c:pt idx="177">
                  <c:v>23.5625</c:v>
                </c:pt>
                <c:pt idx="178">
                  <c:v>18.25</c:v>
                </c:pt>
                <c:pt idx="179">
                  <c:v>58.5</c:v>
                </c:pt>
                <c:pt idx="180">
                  <c:v>0.311666666666667</c:v>
                </c:pt>
                <c:pt idx="181">
                  <c:v>9.21212121212121</c:v>
                </c:pt>
                <c:pt idx="182">
                  <c:v>0.958333333333333</c:v>
                </c:pt>
                <c:pt idx="183">
                  <c:v>5.125</c:v>
                </c:pt>
                <c:pt idx="184">
                  <c:v>460</c:v>
                </c:pt>
                <c:pt idx="185">
                  <c:v>210</c:v>
                </c:pt>
                <c:pt idx="186">
                  <c:v>43.6666666666667</c:v>
                </c:pt>
                <c:pt idx="187">
                  <c:v>746.794871794872</c:v>
                </c:pt>
                <c:pt idx="188">
                  <c:v>1375</c:v>
                </c:pt>
                <c:pt idx="189">
                  <c:v>11.8811881188119</c:v>
                </c:pt>
                <c:pt idx="190">
                  <c:v>12</c:v>
                </c:pt>
                <c:pt idx="191">
                  <c:v>23.6666666666667</c:v>
                </c:pt>
                <c:pt idx="192">
                  <c:v>23</c:v>
                </c:pt>
                <c:pt idx="193">
                  <c:v>48</c:v>
                </c:pt>
                <c:pt idx="194">
                  <c:v>272.380952380952</c:v>
                </c:pt>
                <c:pt idx="195">
                  <c:v>2.55</c:v>
                </c:pt>
                <c:pt idx="196">
                  <c:v>1262.5</c:v>
                </c:pt>
                <c:pt idx="197">
                  <c:v>11</c:v>
                </c:pt>
                <c:pt idx="198">
                  <c:v>5.2</c:v>
                </c:pt>
                <c:pt idx="199">
                  <c:v>5675</c:v>
                </c:pt>
                <c:pt idx="200">
                  <c:v>1018.75</c:v>
                </c:pt>
                <c:pt idx="201">
                  <c:v>10.5</c:v>
                </c:pt>
                <c:pt idx="202">
                  <c:v>31</c:v>
                </c:pt>
                <c:pt idx="203">
                  <c:v>1.05</c:v>
                </c:pt>
                <c:pt idx="204">
                  <c:v>2.42105263157895</c:v>
                </c:pt>
                <c:pt idx="205">
                  <c:v>3.63636363636364</c:v>
                </c:pt>
                <c:pt idx="206">
                  <c:v>128.2</c:v>
                </c:pt>
                <c:pt idx="207">
                  <c:v>1416.66666666667</c:v>
                </c:pt>
                <c:pt idx="208">
                  <c:v>46.4</c:v>
                </c:pt>
                <c:pt idx="209">
                  <c:v>180</c:v>
                </c:pt>
                <c:pt idx="210">
                  <c:v>22160</c:v>
                </c:pt>
                <c:pt idx="211">
                  <c:v>13750</c:v>
                </c:pt>
                <c:pt idx="212">
                  <c:v>32500</c:v>
                </c:pt>
                <c:pt idx="213">
                  <c:v>6.21875</c:v>
                </c:pt>
                <c:pt idx="214">
                  <c:v>61.6</c:v>
                </c:pt>
                <c:pt idx="215">
                  <c:v>56000</c:v>
                </c:pt>
                <c:pt idx="216">
                  <c:v>19.5</c:v>
                </c:pt>
                <c:pt idx="217">
                  <c:v>0.19</c:v>
                </c:pt>
                <c:pt idx="218">
                  <c:v>5.8</c:v>
                </c:pt>
                <c:pt idx="219">
                  <c:v>38</c:v>
                </c:pt>
                <c:pt idx="220">
                  <c:v>15450</c:v>
                </c:pt>
                <c:pt idx="221">
                  <c:v>48000</c:v>
                </c:pt>
                <c:pt idx="222">
                  <c:v>53.3333333333333</c:v>
                </c:pt>
                <c:pt idx="223">
                  <c:v>40</c:v>
                </c:pt>
                <c:pt idx="224">
                  <c:v>5.35714285714286</c:v>
                </c:pt>
                <c:pt idx="225">
                  <c:v>10.9</c:v>
                </c:pt>
                <c:pt idx="226">
                  <c:v>14</c:v>
                </c:pt>
                <c:pt idx="227">
                  <c:v>2.55</c:v>
                </c:pt>
                <c:pt idx="228">
                  <c:v>11000</c:v>
                </c:pt>
                <c:pt idx="229">
                  <c:v>2310</c:v>
                </c:pt>
                <c:pt idx="230">
                  <c:v>104</c:v>
                </c:pt>
                <c:pt idx="231">
                  <c:v>9.2</c:v>
                </c:pt>
                <c:pt idx="232">
                  <c:v>39.3333333333333</c:v>
                </c:pt>
                <c:pt idx="233">
                  <c:v>8.75</c:v>
                </c:pt>
                <c:pt idx="234">
                  <c:v>420</c:v>
                </c:pt>
                <c:pt idx="235">
                  <c:v>72.7272727272727</c:v>
                </c:pt>
                <c:pt idx="236">
                  <c:v>63.3333333333333</c:v>
                </c:pt>
                <c:pt idx="237">
                  <c:v>5.6</c:v>
                </c:pt>
                <c:pt idx="238">
                  <c:v>6.465</c:v>
                </c:pt>
                <c:pt idx="239">
                  <c:v>3.25</c:v>
                </c:pt>
                <c:pt idx="240">
                  <c:v>19.2</c:v>
                </c:pt>
                <c:pt idx="241">
                  <c:v>204</c:v>
                </c:pt>
                <c:pt idx="242">
                  <c:v>5200</c:v>
                </c:pt>
                <c:pt idx="243">
                  <c:v>204.8</c:v>
                </c:pt>
                <c:pt idx="244">
                  <c:v>9990</c:v>
                </c:pt>
                <c:pt idx="245">
                  <c:v>108</c:v>
                </c:pt>
                <c:pt idx="246">
                  <c:v>9.2</c:v>
                </c:pt>
                <c:pt idx="247">
                  <c:v>2.24</c:v>
                </c:pt>
                <c:pt idx="248">
                  <c:v>1.4</c:v>
                </c:pt>
                <c:pt idx="249">
                  <c:v>21.8940444835824</c:v>
                </c:pt>
                <c:pt idx="250">
                  <c:v>255.769230769231</c:v>
                </c:pt>
                <c:pt idx="251">
                  <c:v>4.28571428571429</c:v>
                </c:pt>
                <c:pt idx="252">
                  <c:v>1.57894736842105</c:v>
                </c:pt>
                <c:pt idx="253">
                  <c:v>62.5</c:v>
                </c:pt>
                <c:pt idx="254">
                  <c:v>7.04285714285714</c:v>
                </c:pt>
              </c:numCache>
            </c:numRef>
          </c:yVal>
          <c:smooth val="0"/>
        </c:ser>
        <c:ser>
          <c:idx val="4"/>
          <c:order val="4"/>
          <c:tx>
            <c:strRef>
              <c:f>"FOMW=1fJ/conv-step"</c:f>
              <c:strCache>
                <c:ptCount val="1"/>
                <c:pt idx="0">
                  <c:v>FOMW=1fJ/conv-step</c:v>
                </c:pt>
              </c:strCache>
            </c:strRef>
          </c:tx>
          <c:spPr>
            <a:solidFill>
              <a:srgbClr val="00b050"/>
            </a:solidFill>
            <a:ln w="25560">
              <a:solidFill>
                <a:srgbClr val="00b050"/>
              </a:solidFill>
              <a:prstDash val="sysDash"/>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General</c:formatCode>
                <c:ptCount val="12"/>
                <c:pt idx="0">
                  <c:v>0.00258250432303302</c:v>
                </c:pt>
                <c:pt idx="1">
                  <c:v>0.00816753273676913</c:v>
                </c:pt>
                <c:pt idx="2">
                  <c:v>0.0258309697340021</c:v>
                </c:pt>
                <c:pt idx="3">
                  <c:v>0.0816940707681662</c:v>
                </c:pt>
                <c:pt idx="4">
                  <c:v>0.258368975977277</c:v>
                </c:pt>
                <c:pt idx="5">
                  <c:v>0.81712818470002</c:v>
                </c:pt>
                <c:pt idx="6">
                  <c:v>2.58428268218191</c:v>
                </c:pt>
                <c:pt idx="7">
                  <c:v>8.17315704741858</c:v>
                </c:pt>
                <c:pt idx="8">
                  <c:v>25.8487574065885</c:v>
                </c:pt>
                <c:pt idx="9">
                  <c:v>81.7503267817048</c:v>
                </c:pt>
                <c:pt idx="10">
                  <c:v>258.546893523482</c:v>
                </c:pt>
                <c:pt idx="11">
                  <c:v>817.690873935469</c:v>
                </c:pt>
              </c:numCache>
            </c:numRef>
          </c:yVal>
          <c:smooth val="0"/>
        </c:ser>
        <c:ser>
          <c:idx val="5"/>
          <c:order val="5"/>
          <c:tx>
            <c:strRef>
              <c:f>"FOMS=185dB"</c:f>
              <c:strCache>
                <c:ptCount val="1"/>
                <c:pt idx="0">
                  <c:v>FOMS=185dB</c:v>
                </c:pt>
              </c:strCache>
            </c:strRef>
          </c:tx>
          <c:spPr>
            <a:solidFill>
              <a:srgbClr val="00b050"/>
            </a:solidFill>
            <a:ln w="28440">
              <a:solidFill>
                <a:srgbClr val="00b050"/>
              </a:solidFill>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General</c:formatCode>
                <c:ptCount val="12"/>
                <c:pt idx="0">
                  <c:v>1.58113883008418E-006</c:v>
                </c:pt>
                <c:pt idx="1">
                  <c:v>1.58113883008419E-005</c:v>
                </c:pt>
                <c:pt idx="2">
                  <c:v>0.000158113883008419</c:v>
                </c:pt>
                <c:pt idx="3">
                  <c:v>0.00158113883008419</c:v>
                </c:pt>
                <c:pt idx="4">
                  <c:v>0.0158113883008419</c:v>
                </c:pt>
                <c:pt idx="5">
                  <c:v>0.158113883008419</c:v>
                </c:pt>
                <c:pt idx="6">
                  <c:v>1.58113883008419</c:v>
                </c:pt>
                <c:pt idx="7">
                  <c:v>15.8113883008419</c:v>
                </c:pt>
                <c:pt idx="8">
                  <c:v>158.113883008419</c:v>
                </c:pt>
                <c:pt idx="9">
                  <c:v>1581.13883008419</c:v>
                </c:pt>
                <c:pt idx="10">
                  <c:v>15811.3883008419</c:v>
                </c:pt>
                <c:pt idx="11">
                  <c:v>158113.883008419</c:v>
                </c:pt>
              </c:numCache>
            </c:numRef>
          </c:yVal>
          <c:smooth val="0"/>
        </c:ser>
        <c:axId val="22714584"/>
        <c:axId val="42975571"/>
      </c:scatterChart>
      <c:valAx>
        <c:axId val="22714584"/>
        <c:scaling>
          <c:orientation val="minMax"/>
          <c:max val="120"/>
          <c:min val="10"/>
        </c:scaling>
        <c:delete val="0"/>
        <c:axPos val="b"/>
        <c:title>
          <c:tx>
            <c:rich>
              <a:bodyPr rot="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SNDR @ fin,hf  [dB]</a:t>
                </a:r>
              </a:p>
            </c:rich>
          </c:tx>
          <c:layout>
            <c:manualLayout>
              <c:xMode val="edge"/>
              <c:yMode val="edge"/>
              <c:x val="0.363542055686958"/>
              <c:y val="0.908465638791769"/>
            </c:manualLayout>
          </c:layout>
          <c:overlay val="0"/>
          <c:spPr>
            <a:noFill/>
            <a:ln w="25560">
              <a:noFill/>
            </a:ln>
          </c:spPr>
        </c:title>
        <c:numFmt formatCode="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42975571"/>
        <c:crossesAt val="0.01"/>
        <c:crossBetween val="midCat"/>
        <c:majorUnit val="10"/>
      </c:valAx>
      <c:valAx>
        <c:axId val="42975571"/>
        <c:scaling>
          <c:logBase val="10"/>
          <c:orientation val="minMax"/>
          <c:max val="10000000"/>
          <c:min val="0.1"/>
        </c:scaling>
        <c:delete val="0"/>
        <c:axPos val="l"/>
        <c:majorGridlines>
          <c:spPr>
            <a:ln w="3240">
              <a:solidFill>
                <a:srgbClr val="969696"/>
              </a:solidFill>
              <a:round/>
            </a:ln>
          </c:spPr>
        </c:majorGridlines>
        <c:title>
          <c:tx>
            <c:rich>
              <a:bodyPr rot="-540000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P/fsnyq [pJ]</a:t>
                </a:r>
              </a:p>
            </c:rich>
          </c:tx>
          <c:layout>
            <c:manualLayout>
              <c:xMode val="edge"/>
              <c:yMode val="edge"/>
              <c:x val="0.00145234242084734"/>
              <c:y val="0.322175732217573"/>
            </c:manualLayout>
          </c:layout>
          <c:overlay val="0"/>
          <c:spPr>
            <a:noFill/>
            <a:ln w="25560">
              <a:noFill/>
            </a:ln>
          </c:spPr>
        </c:title>
        <c:numFmt formatCode="0.E+0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22714584"/>
        <c:crosses val="autoZero"/>
        <c:crossBetween val="midCat"/>
      </c:valAx>
      <c:spPr>
        <a:noFill/>
        <a:ln w="25560">
          <a:solidFill>
            <a:srgbClr val="000000"/>
          </a:solidFill>
          <a:round/>
        </a:ln>
      </c:spPr>
    </c:plotArea>
    <c:legend>
      <c:legendPos val="r"/>
      <c:layout>
        <c:manualLayout>
          <c:xMode val="edge"/>
          <c:yMode val="edge"/>
          <c:x val="0.175653130382839"/>
          <c:y val="0.0547834008465564"/>
          <c:w val="0.268482532962609"/>
          <c:h val="0.282093275037436"/>
        </c:manualLayout>
      </c:layout>
      <c:overlay val="0"/>
      <c:spPr>
        <a:solidFill>
          <a:srgbClr val="ffffff"/>
        </a:solidFill>
        <a:ln w="3240">
          <a:solidFill>
            <a:srgbClr val="000000"/>
          </a:solidFill>
          <a:round/>
        </a:ln>
      </c:spPr>
      <c:txPr>
        <a:bodyPr/>
        <a:lstStyle/>
        <a:p>
          <a:pPr>
            <a:defRPr b="0" sz="1285"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75069504958712"/>
          <c:y val="0.0424141686249785"/>
          <c:w val="0.79123615087763"/>
          <c:h val="0.748724709119046"/>
        </c:manualLayout>
      </c:layout>
      <c:scatterChart>
        <c:scatterStyle val="lineMarker"/>
        <c:varyColors val="0"/>
        <c:ser>
          <c:idx val="0"/>
          <c:order val="0"/>
          <c:tx>
            <c:strRef>
              <c:f>"ISSCC 2023"</c:f>
              <c:strCache>
                <c:ptCount val="1"/>
                <c:pt idx="0">
                  <c:v>ISSCC 2023</c:v>
                </c:pt>
              </c:strCache>
            </c:strRef>
          </c:tx>
          <c:spPr>
            <a:solidFill>
              <a:srgbClr val="953735"/>
            </a:solidFill>
            <a:ln w="28440">
              <a:noFill/>
            </a:ln>
          </c:spPr>
          <c:marker>
            <c:symbol val="square"/>
            <c:size val="8"/>
            <c:spPr>
              <a:solidFill>
                <a:srgbClr val="953735"/>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ISSCC!$X$395:$X$411</c:f>
              <c:numCache>
                <c:formatCode>General</c:formatCode>
                <c:ptCount val="17"/>
                <c:pt idx="0">
                  <c:v>60.16</c:v>
                </c:pt>
                <c:pt idx="1">
                  <c:v>51.4</c:v>
                </c:pt>
                <c:pt idx="2">
                  <c:v>60.4</c:v>
                </c:pt>
                <c:pt idx="3">
                  <c:v>91.3</c:v>
                </c:pt>
                <c:pt idx="4">
                  <c:v>77.2</c:v>
                </c:pt>
                <c:pt idx="5">
                  <c:v>92.2</c:v>
                </c:pt>
                <c:pt idx="6">
                  <c:v>70.15</c:v>
                </c:pt>
                <c:pt idx="7">
                  <c:v>51.8</c:v>
                </c:pt>
                <c:pt idx="8">
                  <c:v>39.3</c:v>
                </c:pt>
                <c:pt idx="9">
                  <c:v>46.5</c:v>
                </c:pt>
                <c:pt idx="10">
                  <c:v>62.5</c:v>
                </c:pt>
                <c:pt idx="11">
                  <c:v>38.33</c:v>
                </c:pt>
                <c:pt idx="12">
                  <c:v>45.9</c:v>
                </c:pt>
                <c:pt idx="13">
                  <c:v>36.4</c:v>
                </c:pt>
                <c:pt idx="14">
                  <c:v>30.75</c:v>
                </c:pt>
                <c:pt idx="15">
                  <c:v>99.1</c:v>
                </c:pt>
                <c:pt idx="16">
                  <c:v>84.2</c:v>
                </c:pt>
              </c:numCache>
            </c:numRef>
          </c:xVal>
          <c:yVal>
            <c:numRef>
              <c:f>ISSCC!$R$395:$R$411</c:f>
              <c:numCache>
                <c:formatCode>General</c:formatCode>
                <c:ptCount val="17"/>
                <c:pt idx="0">
                  <c:v>896480000</c:v>
                </c:pt>
                <c:pt idx="1">
                  <c:v>1300000000</c:v>
                </c:pt>
                <c:pt idx="2">
                  <c:v>991500000</c:v>
                </c:pt>
                <c:pt idx="3">
                  <c:v>4040000</c:v>
                </c:pt>
                <c:pt idx="4">
                  <c:v>3500000</c:v>
                </c:pt>
                <c:pt idx="5">
                  <c:v>20000</c:v>
                </c:pt>
                <c:pt idx="6">
                  <c:v>13000000</c:v>
                </c:pt>
                <c:pt idx="7">
                  <c:v>1381200000</c:v>
                </c:pt>
                <c:pt idx="8">
                  <c:v>1250000000</c:v>
                </c:pt>
                <c:pt idx="9">
                  <c:v>7240000000</c:v>
                </c:pt>
                <c:pt idx="10">
                  <c:v>500000000</c:v>
                </c:pt>
                <c:pt idx="11">
                  <c:v>3955000000</c:v>
                </c:pt>
                <c:pt idx="12">
                  <c:v>1250000000</c:v>
                </c:pt>
                <c:pt idx="13">
                  <c:v>4873050000</c:v>
                </c:pt>
                <c:pt idx="14">
                  <c:v>19700000000</c:v>
                </c:pt>
                <c:pt idx="15">
                  <c:v>1000</c:v>
                </c:pt>
                <c:pt idx="16">
                  <c:v>2500</c:v>
                </c:pt>
              </c:numCache>
            </c:numRef>
          </c:yVal>
          <c:smooth val="0"/>
        </c:ser>
        <c:ser>
          <c:idx val="1"/>
          <c:order val="1"/>
          <c:tx>
            <c:strRef>
              <c:f>"VLSI 2023"</c:f>
              <c:strCache>
                <c:ptCount val="1"/>
                <c:pt idx="0">
                  <c:v>VLSI 2023</c:v>
                </c:pt>
              </c:strCache>
            </c:strRef>
          </c:tx>
          <c:spPr>
            <a:solidFill>
              <a:srgbClr val="1f497d"/>
            </a:solidFill>
            <a:ln w="28440">
              <a:noFill/>
            </a:ln>
          </c:spPr>
          <c:marker>
            <c:symbol val="diamond"/>
            <c:size val="12"/>
            <c:spPr>
              <a:solidFill>
                <a:srgbClr val="1f497d"/>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VLSI!$X$257:$X$267</c:f>
              <c:numCache>
                <c:formatCode>General</c:formatCode>
                <c:ptCount val="11"/>
                <c:pt idx="0">
                  <c:v>60</c:v>
                </c:pt>
                <c:pt idx="1">
                  <c:v>84.2</c:v>
                </c:pt>
                <c:pt idx="2">
                  <c:v>72.8</c:v>
                </c:pt>
                <c:pt idx="3">
                  <c:v>62</c:v>
                </c:pt>
                <c:pt idx="4">
                  <c:v>57.3</c:v>
                </c:pt>
                <c:pt idx="5">
                  <c:v>76.9</c:v>
                </c:pt>
                <c:pt idx="6">
                  <c:v>67.9</c:v>
                </c:pt>
                <c:pt idx="7">
                  <c:v>74</c:v>
                </c:pt>
                <c:pt idx="8">
                  <c:v>61.4</c:v>
                </c:pt>
                <c:pt idx="9">
                  <c:v>79.9</c:v>
                </c:pt>
                <c:pt idx="10">
                  <c:v>58</c:v>
                </c:pt>
              </c:numCache>
            </c:numRef>
          </c:xVal>
          <c:yVal>
            <c:numRef>
              <c:f>VLSI!$R$257:$R$267</c:f>
              <c:numCache>
                <c:formatCode>General</c:formatCode>
                <c:ptCount val="11"/>
                <c:pt idx="0">
                  <c:v>981000000</c:v>
                </c:pt>
                <c:pt idx="1">
                  <c:v>1000000</c:v>
                </c:pt>
                <c:pt idx="2">
                  <c:v>120000000</c:v>
                </c:pt>
                <c:pt idx="3">
                  <c:v>220000000</c:v>
                </c:pt>
                <c:pt idx="4">
                  <c:v>918000000</c:v>
                </c:pt>
                <c:pt idx="5">
                  <c:v>30000000</c:v>
                </c:pt>
                <c:pt idx="6">
                  <c:v>60000000</c:v>
                </c:pt>
                <c:pt idx="7">
                  <c:v>2000000</c:v>
                </c:pt>
                <c:pt idx="8">
                  <c:v>16000</c:v>
                </c:pt>
                <c:pt idx="9">
                  <c:v>1000000</c:v>
                </c:pt>
                <c:pt idx="10">
                  <c:v>24000000</c:v>
                </c:pt>
              </c:numCache>
            </c:numRef>
          </c:yVal>
          <c:smooth val="0"/>
        </c:ser>
        <c:ser>
          <c:idx val="2"/>
          <c:order val="2"/>
          <c:tx>
            <c:strRef>
              <c:f>"ISSCC 1997-2022"</c:f>
              <c:strCache>
                <c:ptCount val="1"/>
                <c:pt idx="0">
                  <c:v>ISSCC 1997-2022</c:v>
                </c:pt>
              </c:strCache>
            </c:strRef>
          </c:tx>
          <c:spPr>
            <a:solidFill>
              <a:srgbClr val="000000"/>
            </a:solidFill>
            <a:ln w="28440">
              <a:noFill/>
            </a:ln>
          </c:spPr>
          <c:marker>
            <c:symbol val="circl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ISSCC!$X$2:$X$394</c:f>
              <c:numCache>
                <c:formatCode>General</c:formatCode>
                <c:ptCount val="393"/>
                <c:pt idx="0">
                  <c:v>56.542</c:v>
                </c:pt>
                <c:pt idx="1">
                  <c:v>64</c:v>
                </c:pt>
                <c:pt idx="2">
                  <c:v>53.532</c:v>
                </c:pt>
                <c:pt idx="3">
                  <c:v>58.4</c:v>
                </c:pt>
                <c:pt idx="4">
                  <c:v>84.9</c:v>
                </c:pt>
                <c:pt idx="5">
                  <c:v>89</c:v>
                </c:pt>
                <c:pt idx="6">
                  <c:v>81</c:v>
                </c:pt>
                <c:pt idx="7">
                  <c:v>75</c:v>
                </c:pt>
                <c:pt idx="8">
                  <c:v>44.1</c:v>
                </c:pt>
                <c:pt idx="9">
                  <c:v>62</c:v>
                </c:pt>
                <c:pt idx="10">
                  <c:v>110</c:v>
                </c:pt>
                <c:pt idx="11">
                  <c:v>96</c:v>
                </c:pt>
                <c:pt idx="12">
                  <c:v>75</c:v>
                </c:pt>
                <c:pt idx="13">
                  <c:v>62</c:v>
                </c:pt>
                <c:pt idx="14">
                  <c:v>65.4</c:v>
                </c:pt>
                <c:pt idx="15">
                  <c:v>55</c:v>
                </c:pt>
                <c:pt idx="16">
                  <c:v>58</c:v>
                </c:pt>
                <c:pt idx="17">
                  <c:v>67</c:v>
                </c:pt>
                <c:pt idx="18">
                  <c:v>43.3</c:v>
                </c:pt>
                <c:pt idx="19">
                  <c:v>31</c:v>
                </c:pt>
                <c:pt idx="20">
                  <c:v>29.2</c:v>
                </c:pt>
                <c:pt idx="21">
                  <c:v>88</c:v>
                </c:pt>
                <c:pt idx="22">
                  <c:v>84</c:v>
                </c:pt>
                <c:pt idx="23">
                  <c:v>71</c:v>
                </c:pt>
                <c:pt idx="24">
                  <c:v>63.5</c:v>
                </c:pt>
                <c:pt idx="25">
                  <c:v>66</c:v>
                </c:pt>
                <c:pt idx="26">
                  <c:v>71</c:v>
                </c:pt>
                <c:pt idx="27">
                  <c:v>48.716</c:v>
                </c:pt>
                <c:pt idx="28">
                  <c:v>54.134</c:v>
                </c:pt>
                <c:pt idx="29">
                  <c:v>58.7</c:v>
                </c:pt>
                <c:pt idx="30">
                  <c:v>34.87</c:v>
                </c:pt>
                <c:pt idx="31">
                  <c:v>27.5</c:v>
                </c:pt>
                <c:pt idx="32">
                  <c:v>75</c:v>
                </c:pt>
                <c:pt idx="33">
                  <c:v>66</c:v>
                </c:pt>
                <c:pt idx="34">
                  <c:v>70</c:v>
                </c:pt>
                <c:pt idx="35">
                  <c:v>64</c:v>
                </c:pt>
                <c:pt idx="36">
                  <c:v>44.3</c:v>
                </c:pt>
                <c:pt idx="37">
                  <c:v>73.1</c:v>
                </c:pt>
                <c:pt idx="38">
                  <c:v>89</c:v>
                </c:pt>
                <c:pt idx="39">
                  <c:v>84</c:v>
                </c:pt>
                <c:pt idx="40">
                  <c:v>77</c:v>
                </c:pt>
                <c:pt idx="41">
                  <c:v>70</c:v>
                </c:pt>
                <c:pt idx="42">
                  <c:v>51</c:v>
                </c:pt>
                <c:pt idx="43">
                  <c:v>84</c:v>
                </c:pt>
                <c:pt idx="44">
                  <c:v>87</c:v>
                </c:pt>
                <c:pt idx="45">
                  <c:v>35</c:v>
                </c:pt>
                <c:pt idx="46">
                  <c:v>35.773</c:v>
                </c:pt>
                <c:pt idx="47">
                  <c:v>57.12</c:v>
                </c:pt>
                <c:pt idx="48">
                  <c:v>67</c:v>
                </c:pt>
                <c:pt idx="49">
                  <c:v>72.8</c:v>
                </c:pt>
                <c:pt idx="50">
                  <c:v>74</c:v>
                </c:pt>
                <c:pt idx="51">
                  <c:v>39.084</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29.452</c:v>
                </c:pt>
                <c:pt idx="78">
                  <c:v>30</c:v>
                </c:pt>
                <c:pt idx="79">
                  <c:v>58.2276</c:v>
                </c:pt>
                <c:pt idx="80">
                  <c:v>52</c:v>
                </c:pt>
                <c:pt idx="81">
                  <c:v>67</c:v>
                </c:pt>
                <c:pt idx="82">
                  <c:v>72.796</c:v>
                </c:pt>
                <c:pt idx="83">
                  <c:v>79</c:v>
                </c:pt>
                <c:pt idx="84">
                  <c:v>63</c:v>
                </c:pt>
                <c:pt idx="85">
                  <c:v>72</c:v>
                </c:pt>
                <c:pt idx="86">
                  <c:v>77.01</c:v>
                </c:pt>
                <c:pt idx="87">
                  <c:v>50.9</c:v>
                </c:pt>
                <c:pt idx="88">
                  <c:v>81</c:v>
                </c:pt>
                <c:pt idx="89">
                  <c:v>76</c:v>
                </c:pt>
                <c:pt idx="90">
                  <c:v>72</c:v>
                </c:pt>
                <c:pt idx="91">
                  <c:v>65</c:v>
                </c:pt>
                <c:pt idx="92">
                  <c:v>45.8</c:v>
                </c:pt>
                <c:pt idx="93">
                  <c:v>46.91</c:v>
                </c:pt>
                <c:pt idx="94">
                  <c:v>51</c:v>
                </c:pt>
                <c:pt idx="95">
                  <c:v>45.4</c:v>
                </c:pt>
                <c:pt idx="96">
                  <c:v>47.512</c:v>
                </c:pt>
                <c:pt idx="97">
                  <c:v>20</c:v>
                </c:pt>
                <c:pt idx="98">
                  <c:v>31</c:v>
                </c:pt>
                <c:pt idx="99">
                  <c:v>72</c:v>
                </c:pt>
                <c:pt idx="100">
                  <c:v>74</c:v>
                </c:pt>
                <c:pt idx="101">
                  <c:v>75</c:v>
                </c:pt>
                <c:pt idx="102">
                  <c:v>73.6</c:v>
                </c:pt>
                <c:pt idx="103">
                  <c:v>72.6</c:v>
                </c:pt>
                <c:pt idx="104">
                  <c:v>55.94</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57.746</c:v>
                </c:pt>
                <c:pt idx="132">
                  <c:v>54.6</c:v>
                </c:pt>
                <c:pt idx="133">
                  <c:v>62.562</c:v>
                </c:pt>
                <c:pt idx="134">
                  <c:v>54</c:v>
                </c:pt>
                <c:pt idx="135">
                  <c:v>65</c:v>
                </c:pt>
                <c:pt idx="136">
                  <c:v>66</c:v>
                </c:pt>
                <c:pt idx="137">
                  <c:v>57.2</c:v>
                </c:pt>
                <c:pt idx="138">
                  <c:v>67</c:v>
                </c:pt>
                <c:pt idx="139">
                  <c:v>23.8</c:v>
                </c:pt>
                <c:pt idx="140">
                  <c:v>33.8</c:v>
                </c:pt>
                <c:pt idx="141">
                  <c:v>22</c:v>
                </c:pt>
                <c:pt idx="142">
                  <c:v>20</c:v>
                </c:pt>
                <c:pt idx="143">
                  <c:v>33</c:v>
                </c:pt>
                <c:pt idx="144">
                  <c:v>52</c:v>
                </c:pt>
                <c:pt idx="145">
                  <c:v>69</c:v>
                </c:pt>
                <c:pt idx="146">
                  <c:v>63</c:v>
                </c:pt>
                <c:pt idx="147">
                  <c:v>82</c:v>
                </c:pt>
                <c:pt idx="148">
                  <c:v>82</c:v>
                </c:pt>
                <c:pt idx="149">
                  <c:v>46.308</c:v>
                </c:pt>
                <c:pt idx="150">
                  <c:v>83</c:v>
                </c:pt>
                <c:pt idx="151">
                  <c:v>51.4</c:v>
                </c:pt>
                <c:pt idx="152">
                  <c:v>56.542</c:v>
                </c:pt>
                <c:pt idx="153">
                  <c:v>57</c:v>
                </c:pt>
                <c:pt idx="154">
                  <c:v>55</c:v>
                </c:pt>
                <c:pt idx="155">
                  <c:v>40.288</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78.1</c:v>
                </c:pt>
                <c:pt idx="190">
                  <c:v>79.07</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c:v>
                </c:pt>
                <c:pt idx="224">
                  <c:v>60.6</c:v>
                </c:pt>
                <c:pt idx="225">
                  <c:v>25.84</c:v>
                </c:pt>
                <c:pt idx="226">
                  <c:v>76.8</c:v>
                </c:pt>
                <c:pt idx="227">
                  <c:v>57</c:v>
                </c:pt>
                <c:pt idx="228">
                  <c:v>56</c:v>
                </c:pt>
                <c:pt idx="229">
                  <c:v>61.96</c:v>
                </c:pt>
                <c:pt idx="230">
                  <c:v>54.2</c:v>
                </c:pt>
                <c:pt idx="231">
                  <c:v>58.348</c:v>
                </c:pt>
                <c:pt idx="232">
                  <c:v>70.4</c:v>
                </c:pt>
                <c:pt idx="233">
                  <c:v>29.2</c:v>
                </c:pt>
                <c:pt idx="234">
                  <c:v>73.6</c:v>
                </c:pt>
                <c:pt idx="235">
                  <c:v>62.562</c:v>
                </c:pt>
                <c:pt idx="236">
                  <c:v>69.1</c:v>
                </c:pt>
                <c:pt idx="237">
                  <c:v>81.8939994021716</c:v>
                </c:pt>
                <c:pt idx="238">
                  <c:v>119.81628309929</c:v>
                </c:pt>
                <c:pt idx="239">
                  <c:v>54.3</c:v>
                </c:pt>
                <c:pt idx="240">
                  <c:v>73.3</c:v>
                </c:pt>
                <c:pt idx="241">
                  <c:v>51.5454</c:v>
                </c:pt>
                <c:pt idx="242">
                  <c:v>32.462</c:v>
                </c:pt>
                <c:pt idx="243">
                  <c:v>50</c:v>
                </c:pt>
                <c:pt idx="244">
                  <c:v>61</c:v>
                </c:pt>
                <c:pt idx="245">
                  <c:v>39.3</c:v>
                </c:pt>
                <c:pt idx="246">
                  <c:v>51.2</c:v>
                </c:pt>
                <c:pt idx="247">
                  <c:v>71.3</c:v>
                </c:pt>
                <c:pt idx="248">
                  <c:v>69.7</c:v>
                </c:pt>
                <c:pt idx="249">
                  <c:v>55.63</c:v>
                </c:pt>
                <c:pt idx="250">
                  <c:v>59.251</c:v>
                </c:pt>
                <c:pt idx="251">
                  <c:v>66</c:v>
                </c:pt>
                <c:pt idx="252">
                  <c:v>56.3</c:v>
                </c:pt>
                <c:pt idx="253">
                  <c:v>73.1</c:v>
                </c:pt>
                <c:pt idx="254">
                  <c:v>33</c:v>
                </c:pt>
                <c:pt idx="255">
                  <c:v>30.7</c:v>
                </c:pt>
                <c:pt idx="256">
                  <c:v>33.75</c:v>
                </c:pt>
                <c:pt idx="257">
                  <c:v>51.4</c:v>
                </c:pt>
                <c:pt idx="258">
                  <c:v>48</c:v>
                </c:pt>
                <c:pt idx="259">
                  <c:v>37.4</c:v>
                </c:pt>
                <c:pt idx="260">
                  <c:v>74.4</c:v>
                </c:pt>
                <c:pt idx="261">
                  <c:v>72.6</c:v>
                </c:pt>
                <c:pt idx="262">
                  <c:v>68</c:v>
                </c:pt>
                <c:pt idx="263">
                  <c:v>30.2948</c:v>
                </c:pt>
                <c:pt idx="264">
                  <c:v>100.6</c:v>
                </c:pt>
                <c:pt idx="265">
                  <c:v>74.6</c:v>
                </c:pt>
                <c:pt idx="266">
                  <c:v>90.4</c:v>
                </c:pt>
                <c:pt idx="267">
                  <c:v>56.542</c:v>
                </c:pt>
                <c:pt idx="268">
                  <c:v>65.7</c:v>
                </c:pt>
                <c:pt idx="269">
                  <c:v>74.4</c:v>
                </c:pt>
                <c:pt idx="270">
                  <c:v>64</c:v>
                </c:pt>
                <c:pt idx="271">
                  <c:v>57.3</c:v>
                </c:pt>
                <c:pt idx="272">
                  <c:v>70.9</c:v>
                </c:pt>
                <c:pt idx="273">
                  <c:v>64.1</c:v>
                </c:pt>
                <c:pt idx="274">
                  <c:v>57.144</c:v>
                </c:pt>
                <c:pt idx="275">
                  <c:v>56.1</c:v>
                </c:pt>
                <c:pt idx="276">
                  <c:v>30.76</c:v>
                </c:pt>
                <c:pt idx="277">
                  <c:v>46.1</c:v>
                </c:pt>
                <c:pt idx="278">
                  <c:v>51.2</c:v>
                </c:pt>
                <c:pt idx="279">
                  <c:v>36.977</c:v>
                </c:pt>
                <c:pt idx="280">
                  <c:v>75.3</c:v>
                </c:pt>
                <c:pt idx="281">
                  <c:v>77</c:v>
                </c:pt>
                <c:pt idx="282">
                  <c:v>72.2</c:v>
                </c:pt>
                <c:pt idx="283">
                  <c:v>98.5</c:v>
                </c:pt>
                <c:pt idx="284">
                  <c:v>64.8</c:v>
                </c:pt>
                <c:pt idx="285">
                  <c:v>65.33</c:v>
                </c:pt>
                <c:pt idx="286">
                  <c:v>98.3</c:v>
                </c:pt>
                <c:pt idx="287">
                  <c:v>116</c:v>
                </c:pt>
                <c:pt idx="288">
                  <c:v>101</c:v>
                </c:pt>
                <c:pt idx="289">
                  <c:v>34.6</c:v>
                </c:pt>
                <c:pt idx="290">
                  <c:v>64.43</c:v>
                </c:pt>
                <c:pt idx="291">
                  <c:v>55.5</c:v>
                </c:pt>
                <c:pt idx="292">
                  <c:v>56</c:v>
                </c:pt>
                <c:pt idx="293">
                  <c:v>50.6</c:v>
                </c:pt>
                <c:pt idx="294">
                  <c:v>58</c:v>
                </c:pt>
                <c:pt idx="295">
                  <c:v>74</c:v>
                </c:pt>
                <c:pt idx="296">
                  <c:v>57.3</c:v>
                </c:pt>
                <c:pt idx="297">
                  <c:v>66</c:v>
                </c:pt>
                <c:pt idx="298">
                  <c:v>40.05</c:v>
                </c:pt>
                <c:pt idx="299">
                  <c:v>49</c:v>
                </c:pt>
                <c:pt idx="300">
                  <c:v>55</c:v>
                </c:pt>
                <c:pt idx="301">
                  <c:v>48.3</c:v>
                </c:pt>
                <c:pt idx="302">
                  <c:v>58.9</c:v>
                </c:pt>
                <c:pt idx="303">
                  <c:v>79.7</c:v>
                </c:pt>
                <c:pt idx="304">
                  <c:v>80.4</c:v>
                </c:pt>
                <c:pt idx="305">
                  <c:v>71.9</c:v>
                </c:pt>
                <c:pt idx="306">
                  <c:v>63.5</c:v>
                </c:pt>
                <c:pt idx="307">
                  <c:v>50.1</c:v>
                </c:pt>
                <c:pt idx="308">
                  <c:v>70.8</c:v>
                </c:pt>
                <c:pt idx="309">
                  <c:v>61.1</c:v>
                </c:pt>
                <c:pt idx="310">
                  <c:v>37.579</c:v>
                </c:pt>
                <c:pt idx="311">
                  <c:v>37.7</c:v>
                </c:pt>
                <c:pt idx="312">
                  <c:v>79.8</c:v>
                </c:pt>
                <c:pt idx="313">
                  <c:v>93.5</c:v>
                </c:pt>
                <c:pt idx="314">
                  <c:v>79</c:v>
                </c:pt>
                <c:pt idx="315">
                  <c:v>86.6</c:v>
                </c:pt>
                <c:pt idx="316">
                  <c:v>118.1</c:v>
                </c:pt>
                <c:pt idx="317">
                  <c:v>73.57</c:v>
                </c:pt>
                <c:pt idx="318">
                  <c:v>101.5</c:v>
                </c:pt>
                <c:pt idx="319">
                  <c:v>60</c:v>
                </c:pt>
                <c:pt idx="320">
                  <c:v>50.3</c:v>
                </c:pt>
                <c:pt idx="321">
                  <c:v>34.2</c:v>
                </c:pt>
                <c:pt idx="322">
                  <c:v>60.8</c:v>
                </c:pt>
                <c:pt idx="323">
                  <c:v>66.174</c:v>
                </c:pt>
                <c:pt idx="324">
                  <c:v>61.7</c:v>
                </c:pt>
                <c:pt idx="325">
                  <c:v>60.002</c:v>
                </c:pt>
                <c:pt idx="326">
                  <c:v>58.5</c:v>
                </c:pt>
                <c:pt idx="327">
                  <c:v>71.7</c:v>
                </c:pt>
                <c:pt idx="328">
                  <c:v>71</c:v>
                </c:pt>
                <c:pt idx="329">
                  <c:v>60.2</c:v>
                </c:pt>
                <c:pt idx="330">
                  <c:v>88</c:v>
                </c:pt>
                <c:pt idx="331">
                  <c:v>32</c:v>
                </c:pt>
                <c:pt idx="332">
                  <c:v>56.85</c:v>
                </c:pt>
                <c:pt idx="333">
                  <c:v>45.2</c:v>
                </c:pt>
                <c:pt idx="334">
                  <c:v>66.6</c:v>
                </c:pt>
                <c:pt idx="335">
                  <c:v>70.4</c:v>
                </c:pt>
                <c:pt idx="336">
                  <c:v>74</c:v>
                </c:pt>
                <c:pt idx="337">
                  <c:v>76.6</c:v>
                </c:pt>
                <c:pt idx="338">
                  <c:v>64.9</c:v>
                </c:pt>
                <c:pt idx="339">
                  <c:v>72.6</c:v>
                </c:pt>
                <c:pt idx="340">
                  <c:v>78.816</c:v>
                </c:pt>
                <c:pt idx="341">
                  <c:v>39.3</c:v>
                </c:pt>
                <c:pt idx="342">
                  <c:v>101.9</c:v>
                </c:pt>
                <c:pt idx="343">
                  <c:v>99.4</c:v>
                </c:pt>
                <c:pt idx="344">
                  <c:v>90.5</c:v>
                </c:pt>
                <c:pt idx="345">
                  <c:v>87.6</c:v>
                </c:pt>
                <c:pt idx="346">
                  <c:v>83.8</c:v>
                </c:pt>
                <c:pt idx="347">
                  <c:v>75.2</c:v>
                </c:pt>
                <c:pt idx="348">
                  <c:v>67.5</c:v>
                </c:pt>
                <c:pt idx="349">
                  <c:v>91</c:v>
                </c:pt>
                <c:pt idx="350">
                  <c:v>48</c:v>
                </c:pt>
                <c:pt idx="351">
                  <c:v>40.1</c:v>
                </c:pt>
                <c:pt idx="352">
                  <c:v>34.16</c:v>
                </c:pt>
                <c:pt idx="353">
                  <c:v>71.7</c:v>
                </c:pt>
                <c:pt idx="354">
                  <c:v>69</c:v>
                </c:pt>
                <c:pt idx="355">
                  <c:v>58</c:v>
                </c:pt>
                <c:pt idx="356">
                  <c:v>76.2</c:v>
                </c:pt>
                <c:pt idx="357">
                  <c:v>80.4</c:v>
                </c:pt>
                <c:pt idx="358">
                  <c:v>54.134</c:v>
                </c:pt>
                <c:pt idx="359">
                  <c:v>35.1</c:v>
                </c:pt>
                <c:pt idx="360">
                  <c:v>100.6</c:v>
                </c:pt>
                <c:pt idx="361">
                  <c:v>100.9</c:v>
                </c:pt>
                <c:pt idx="362">
                  <c:v>67.5</c:v>
                </c:pt>
                <c:pt idx="363">
                  <c:v>80.9</c:v>
                </c:pt>
                <c:pt idx="364">
                  <c:v>55.3</c:v>
                </c:pt>
                <c:pt idx="365">
                  <c:v>33.4</c:v>
                </c:pt>
                <c:pt idx="366">
                  <c:v>93.3</c:v>
                </c:pt>
                <c:pt idx="367">
                  <c:v>86.66</c:v>
                </c:pt>
                <c:pt idx="368">
                  <c:v>84.8</c:v>
                </c:pt>
                <c:pt idx="369">
                  <c:v>75.7</c:v>
                </c:pt>
                <c:pt idx="370">
                  <c:v>66.32</c:v>
                </c:pt>
                <c:pt idx="371">
                  <c:v>75</c:v>
                </c:pt>
                <c:pt idx="372">
                  <c:v>78.8</c:v>
                </c:pt>
                <c:pt idx="373">
                  <c:v>94.2</c:v>
                </c:pt>
                <c:pt idx="374">
                  <c:v>92.3</c:v>
                </c:pt>
                <c:pt idx="375">
                  <c:v>57.5</c:v>
                </c:pt>
                <c:pt idx="376">
                  <c:v>49.92</c:v>
                </c:pt>
                <c:pt idx="377">
                  <c:v>28.85</c:v>
                </c:pt>
                <c:pt idx="378">
                  <c:v>40.8</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numCache>
            </c:numRef>
          </c:xVal>
          <c:yVal>
            <c:numRef>
              <c:f>ISSCC!$R$2:$R$394</c:f>
              <c:numCache>
                <c:formatCode>General</c:formatCode>
                <c:ptCount val="393"/>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1041666.66666667</c:v>
                </c:pt>
                <c:pt idx="216">
                  <c:v>10000</c:v>
                </c:pt>
                <c:pt idx="217">
                  <c:v>50000</c:v>
                </c:pt>
                <c:pt idx="218">
                  <c:v>20000000</c:v>
                </c:pt>
                <c:pt idx="219">
                  <c:v>24000960.0384015</c:v>
                </c:pt>
                <c:pt idx="220">
                  <c:v>150000037.500009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666.666666666667</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c:v>
                </c:pt>
                <c:pt idx="384">
                  <c:v>9900</c:v>
                </c:pt>
                <c:pt idx="385">
                  <c:v>322</c:v>
                </c:pt>
                <c:pt idx="386">
                  <c:v>278.5</c:v>
                </c:pt>
                <c:pt idx="387">
                  <c:v>3000</c:v>
                </c:pt>
                <c:pt idx="388">
                  <c:v>115000000</c:v>
                </c:pt>
                <c:pt idx="389">
                  <c:v>38800000</c:v>
                </c:pt>
                <c:pt idx="390">
                  <c:v>50000</c:v>
                </c:pt>
                <c:pt idx="391">
                  <c:v>10000000</c:v>
                </c:pt>
                <c:pt idx="392">
                  <c:v>8000</c:v>
                </c:pt>
              </c:numCache>
            </c:numRef>
          </c:yVal>
          <c:smooth val="0"/>
        </c:ser>
        <c:ser>
          <c:idx val="3"/>
          <c:order val="3"/>
          <c:tx>
            <c:strRef>
              <c:f>"VLSI 1997-2022"</c:f>
              <c:strCache>
                <c:ptCount val="1"/>
                <c:pt idx="0">
                  <c:v>VLSI 1997-2022</c:v>
                </c:pt>
              </c:strCache>
            </c:strRef>
          </c:tx>
          <c:spPr>
            <a:solidFill>
              <a:srgbClr val="000000"/>
            </a:solidFill>
            <a:ln w="28440">
              <a:noFill/>
            </a:ln>
          </c:spPr>
          <c:marker>
            <c:symbol val="x"/>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VLSI!$X$2:$X$256</c:f>
              <c:numCache>
                <c:formatCode>General</c:formatCode>
                <c:ptCount val="255"/>
                <c:pt idx="0">
                  <c:v>91.5</c:v>
                </c:pt>
                <c:pt idx="1">
                  <c:v>24.034</c:v>
                </c:pt>
                <c:pt idx="2">
                  <c:v>58.5</c:v>
                </c:pt>
                <c:pt idx="3">
                  <c:v>43.3</c:v>
                </c:pt>
                <c:pt idx="4">
                  <c:v>53</c:v>
                </c:pt>
                <c:pt idx="5">
                  <c:v>45</c:v>
                </c:pt>
                <c:pt idx="6">
                  <c:v>33.5</c:v>
                </c:pt>
                <c:pt idx="7">
                  <c:v>42.3</c:v>
                </c:pt>
                <c:pt idx="8">
                  <c:v>78</c:v>
                </c:pt>
                <c:pt idx="9">
                  <c:v>68</c:v>
                </c:pt>
                <c:pt idx="10">
                  <c:v>40.2</c:v>
                </c:pt>
                <c:pt idx="11">
                  <c:v>45</c:v>
                </c:pt>
                <c:pt idx="12">
                  <c:v>67</c:v>
                </c:pt>
                <c:pt idx="13">
                  <c:v>31</c:v>
                </c:pt>
                <c:pt idx="14">
                  <c:v>54.9166</c:v>
                </c:pt>
                <c:pt idx="15">
                  <c:v>55</c:v>
                </c:pt>
                <c:pt idx="16">
                  <c:v>85.7</c:v>
                </c:pt>
                <c:pt idx="17">
                  <c:v>78.4</c:v>
                </c:pt>
                <c:pt idx="18">
                  <c:v>77.4</c:v>
                </c:pt>
                <c:pt idx="19">
                  <c:v>76</c:v>
                </c:pt>
                <c:pt idx="20">
                  <c:v>55</c:v>
                </c:pt>
                <c:pt idx="21">
                  <c:v>61</c:v>
                </c:pt>
                <c:pt idx="22">
                  <c:v>72</c:v>
                </c:pt>
                <c:pt idx="23">
                  <c:v>55</c:v>
                </c:pt>
                <c:pt idx="24">
                  <c:v>52</c:v>
                </c:pt>
                <c:pt idx="25">
                  <c:v>30</c:v>
                </c:pt>
                <c:pt idx="26">
                  <c:v>40</c:v>
                </c:pt>
                <c:pt idx="27">
                  <c:v>60.3948</c:v>
                </c:pt>
                <c:pt idx="28">
                  <c:v>57.2</c:v>
                </c:pt>
                <c:pt idx="29">
                  <c:v>55</c:v>
                </c:pt>
                <c:pt idx="30">
                  <c:v>69</c:v>
                </c:pt>
                <c:pt idx="31">
                  <c:v>88</c:v>
                </c:pt>
                <c:pt idx="32">
                  <c:v>66.1</c:v>
                </c:pt>
                <c:pt idx="33">
                  <c:v>22.5</c:v>
                </c:pt>
                <c:pt idx="34">
                  <c:v>58.8</c:v>
                </c:pt>
                <c:pt idx="35">
                  <c:v>56.5</c:v>
                </c:pt>
                <c:pt idx="36">
                  <c:v>70.4</c:v>
                </c:pt>
                <c:pt idx="37">
                  <c:v>60</c:v>
                </c:pt>
                <c:pt idx="38">
                  <c:v>56</c:v>
                </c:pt>
                <c:pt idx="39">
                  <c:v>33.7</c:v>
                </c:pt>
                <c:pt idx="40">
                  <c:v>41.5</c:v>
                </c:pt>
                <c:pt idx="41">
                  <c:v>44.5</c:v>
                </c:pt>
                <c:pt idx="42">
                  <c:v>33.6</c:v>
                </c:pt>
                <c:pt idx="43">
                  <c:v>26</c:v>
                </c:pt>
                <c:pt idx="44">
                  <c:v>89</c:v>
                </c:pt>
                <c:pt idx="45">
                  <c:v>84</c:v>
                </c:pt>
                <c:pt idx="46">
                  <c:v>63</c:v>
                </c:pt>
                <c:pt idx="47">
                  <c:v>76</c:v>
                </c:pt>
                <c:pt idx="48">
                  <c:v>48.114</c:v>
                </c:pt>
                <c:pt idx="49">
                  <c:v>31.18</c:v>
                </c:pt>
                <c:pt idx="50">
                  <c:v>40.89</c:v>
                </c:pt>
                <c:pt idx="51">
                  <c:v>36</c:v>
                </c:pt>
                <c:pt idx="52">
                  <c:v>70.7</c:v>
                </c:pt>
                <c:pt idx="53">
                  <c:v>62</c:v>
                </c:pt>
                <c:pt idx="54">
                  <c:v>48.1</c:v>
                </c:pt>
                <c:pt idx="55">
                  <c:v>67</c:v>
                </c:pt>
                <c:pt idx="56">
                  <c:v>63</c:v>
                </c:pt>
                <c:pt idx="57">
                  <c:v>84</c:v>
                </c:pt>
                <c:pt idx="58">
                  <c:v>86.3</c:v>
                </c:pt>
                <c:pt idx="59">
                  <c:v>60</c:v>
                </c:pt>
                <c:pt idx="60">
                  <c:v>44.2</c:v>
                </c:pt>
                <c:pt idx="61">
                  <c:v>70</c:v>
                </c:pt>
                <c:pt idx="62">
                  <c:v>33.666</c:v>
                </c:pt>
                <c:pt idx="63">
                  <c:v>30</c:v>
                </c:pt>
                <c:pt idx="64">
                  <c:v>32</c:v>
                </c:pt>
                <c:pt idx="65">
                  <c:v>32.4</c:v>
                </c:pt>
                <c:pt idx="66">
                  <c:v>95</c:v>
                </c:pt>
                <c:pt idx="67">
                  <c:v>84</c:v>
                </c:pt>
                <c:pt idx="68">
                  <c:v>61</c:v>
                </c:pt>
                <c:pt idx="69">
                  <c:v>68</c:v>
                </c:pt>
                <c:pt idx="70">
                  <c:v>47.7</c:v>
                </c:pt>
                <c:pt idx="71">
                  <c:v>54.3</c:v>
                </c:pt>
                <c:pt idx="72">
                  <c:v>64</c:v>
                </c:pt>
                <c:pt idx="73">
                  <c:v>65.9</c:v>
                </c:pt>
                <c:pt idx="74">
                  <c:v>62.5</c:v>
                </c:pt>
                <c:pt idx="75">
                  <c:v>65</c:v>
                </c:pt>
                <c:pt idx="76">
                  <c:v>56.3</c:v>
                </c:pt>
                <c:pt idx="77">
                  <c:v>75.4</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63.164</c:v>
                </c:pt>
                <c:pt idx="95">
                  <c:v>64.368</c:v>
                </c:pt>
                <c:pt idx="96">
                  <c:v>60.29</c:v>
                </c:pt>
                <c:pt idx="97">
                  <c:v>54.0738</c:v>
                </c:pt>
                <c:pt idx="98">
                  <c:v>73.7</c:v>
                </c:pt>
                <c:pt idx="99">
                  <c:v>63</c:v>
                </c:pt>
                <c:pt idx="100">
                  <c:v>73.3</c:v>
                </c:pt>
                <c:pt idx="101">
                  <c:v>41</c:v>
                </c:pt>
                <c:pt idx="102">
                  <c:v>78</c:v>
                </c:pt>
                <c:pt idx="103">
                  <c:v>51</c:v>
                </c:pt>
                <c:pt idx="104">
                  <c:v>56</c:v>
                </c:pt>
                <c:pt idx="105">
                  <c:v>33.064</c:v>
                </c:pt>
                <c:pt idx="106">
                  <c:v>50</c:v>
                </c:pt>
                <c:pt idx="107">
                  <c:v>40</c:v>
                </c:pt>
                <c:pt idx="108">
                  <c:v>60.3</c:v>
                </c:pt>
                <c:pt idx="109">
                  <c:v>45.104</c:v>
                </c:pt>
                <c:pt idx="110">
                  <c:v>46.91</c:v>
                </c:pt>
                <c:pt idx="111">
                  <c:v>44.502</c:v>
                </c:pt>
                <c:pt idx="112">
                  <c:v>30</c:v>
                </c:pt>
                <c:pt idx="113">
                  <c:v>38.9</c:v>
                </c:pt>
                <c:pt idx="114">
                  <c:v>59.1</c:v>
                </c:pt>
                <c:pt idx="115">
                  <c:v>33.1</c:v>
                </c:pt>
                <c:pt idx="116">
                  <c:v>50</c:v>
                </c:pt>
                <c:pt idx="117">
                  <c:v>52.4</c:v>
                </c:pt>
                <c:pt idx="118">
                  <c:v>61.5</c:v>
                </c:pt>
                <c:pt idx="119">
                  <c:v>48.2</c:v>
                </c:pt>
                <c:pt idx="120">
                  <c:v>42.75</c:v>
                </c:pt>
                <c:pt idx="121">
                  <c:v>43.298</c:v>
                </c:pt>
                <c:pt idx="122">
                  <c:v>52.94</c:v>
                </c:pt>
                <c:pt idx="123">
                  <c:v>56.3</c:v>
                </c:pt>
                <c:pt idx="124">
                  <c:v>70</c:v>
                </c:pt>
                <c:pt idx="125">
                  <c:v>70.7</c:v>
                </c:pt>
                <c:pt idx="126">
                  <c:v>67</c:v>
                </c:pt>
                <c:pt idx="127">
                  <c:v>70</c:v>
                </c:pt>
                <c:pt idx="128">
                  <c:v>75.1</c:v>
                </c:pt>
                <c:pt idx="129">
                  <c:v>69</c:v>
                </c:pt>
                <c:pt idx="130">
                  <c:v>66</c:v>
                </c:pt>
                <c:pt idx="131">
                  <c:v>58.5</c:v>
                </c:pt>
                <c:pt idx="132">
                  <c:v>73.9</c:v>
                </c:pt>
                <c:pt idx="133">
                  <c:v>50</c:v>
                </c:pt>
                <c:pt idx="134">
                  <c:v>75.9</c:v>
                </c:pt>
                <c:pt idx="135">
                  <c:v>65.2</c:v>
                </c:pt>
                <c:pt idx="136">
                  <c:v>57.6</c:v>
                </c:pt>
                <c:pt idx="137">
                  <c:v>52.2</c:v>
                </c:pt>
                <c:pt idx="138">
                  <c:v>36.98</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67.1</c:v>
                </c:pt>
                <c:pt idx="154">
                  <c:v>65.3</c:v>
                </c:pt>
                <c:pt idx="155">
                  <c:v>46.9</c:v>
                </c:pt>
                <c:pt idx="156">
                  <c:v>68.1</c:v>
                </c:pt>
                <c:pt idx="157">
                  <c:v>58</c:v>
                </c:pt>
                <c:pt idx="158">
                  <c:v>68</c:v>
                </c:pt>
                <c:pt idx="159">
                  <c:v>29.7</c:v>
                </c:pt>
                <c:pt idx="160">
                  <c:v>40</c:v>
                </c:pt>
                <c:pt idx="161">
                  <c:v>25.2</c:v>
                </c:pt>
                <c:pt idx="162">
                  <c:v>64.9</c:v>
                </c:pt>
                <c:pt idx="163">
                  <c:v>71.5</c:v>
                </c:pt>
                <c:pt idx="164">
                  <c:v>75.3</c:v>
                </c:pt>
                <c:pt idx="165">
                  <c:v>67.7</c:v>
                </c:pt>
                <c:pt idx="166">
                  <c:v>66.9</c:v>
                </c:pt>
                <c:pt idx="167">
                  <c:v>69.1</c:v>
                </c:pt>
                <c:pt idx="168">
                  <c:v>80.5</c:v>
                </c:pt>
                <c:pt idx="169">
                  <c:v>85</c:v>
                </c:pt>
                <c:pt idx="170">
                  <c:v>97.99</c:v>
                </c:pt>
                <c:pt idx="171">
                  <c:v>96.8</c:v>
                </c:pt>
                <c:pt idx="172">
                  <c:v>74.3</c:v>
                </c:pt>
                <c:pt idx="173">
                  <c:v>67.6</c:v>
                </c:pt>
                <c:pt idx="174">
                  <c:v>31.5</c:v>
                </c:pt>
                <c:pt idx="175">
                  <c:v>75</c:v>
                </c:pt>
                <c:pt idx="176">
                  <c:v>69.1</c:v>
                </c:pt>
                <c:pt idx="177">
                  <c:v>65</c:v>
                </c:pt>
                <c:pt idx="178">
                  <c:v>60.8</c:v>
                </c:pt>
                <c:pt idx="179">
                  <c:v>74.12</c:v>
                </c:pt>
                <c:pt idx="180">
                  <c:v>58.7092</c:v>
                </c:pt>
                <c:pt idx="181">
                  <c:v>29.3918</c:v>
                </c:pt>
                <c:pt idx="182">
                  <c:v>29</c:v>
                </c:pt>
                <c:pt idx="183">
                  <c:v>50.3</c:v>
                </c:pt>
                <c:pt idx="184">
                  <c:v>58</c:v>
                </c:pt>
                <c:pt idx="185">
                  <c:v>74.4</c:v>
                </c:pt>
                <c:pt idx="186">
                  <c:v>68.6</c:v>
                </c:pt>
                <c:pt idx="187">
                  <c:v>64</c:v>
                </c:pt>
                <c:pt idx="188">
                  <c:v>88.5</c:v>
                </c:pt>
                <c:pt idx="189">
                  <c:v>64</c:v>
                </c:pt>
                <c:pt idx="190">
                  <c:v>56.6</c:v>
                </c:pt>
                <c:pt idx="191">
                  <c:v>56.3</c:v>
                </c:pt>
                <c:pt idx="192">
                  <c:v>73.2</c:v>
                </c:pt>
                <c:pt idx="193">
                  <c:v>69.1</c:v>
                </c:pt>
                <c:pt idx="194">
                  <c:v>80</c:v>
                </c:pt>
                <c:pt idx="195">
                  <c:v>69.1</c:v>
                </c:pt>
                <c:pt idx="196">
                  <c:v>84.8</c:v>
                </c:pt>
                <c:pt idx="197">
                  <c:v>60.45</c:v>
                </c:pt>
                <c:pt idx="198">
                  <c:v>50.1</c:v>
                </c:pt>
                <c:pt idx="199">
                  <c:v>100</c:v>
                </c:pt>
                <c:pt idx="200">
                  <c:v>78</c:v>
                </c:pt>
                <c:pt idx="201">
                  <c:v>40.7</c:v>
                </c:pt>
                <c:pt idx="202">
                  <c:v>66.6</c:v>
                </c:pt>
                <c:pt idx="203">
                  <c:v>54.56</c:v>
                </c:pt>
                <c:pt idx="204">
                  <c:v>45</c:v>
                </c:pt>
                <c:pt idx="205">
                  <c:v>45</c:v>
                </c:pt>
                <c:pt idx="206">
                  <c:v>57</c:v>
                </c:pt>
                <c:pt idx="207">
                  <c:v>94.1</c:v>
                </c:pt>
                <c:pt idx="208">
                  <c:v>70.4</c:v>
                </c:pt>
                <c:pt idx="209">
                  <c:v>77.1</c:v>
                </c:pt>
                <c:pt idx="210">
                  <c:v>96.6</c:v>
                </c:pt>
                <c:pt idx="211">
                  <c:v>100.8</c:v>
                </c:pt>
                <c:pt idx="212">
                  <c:v>91.3</c:v>
                </c:pt>
                <c:pt idx="213">
                  <c:v>37.8</c:v>
                </c:pt>
                <c:pt idx="214">
                  <c:v>75.8</c:v>
                </c:pt>
                <c:pt idx="215">
                  <c:v>103</c:v>
                </c:pt>
                <c:pt idx="216">
                  <c:v>62.1</c:v>
                </c:pt>
                <c:pt idx="217">
                  <c:v>56.3614</c:v>
                </c:pt>
                <c:pt idx="218">
                  <c:v>48.5</c:v>
                </c:pt>
                <c:pt idx="219">
                  <c:v>49.8</c:v>
                </c:pt>
                <c:pt idx="220">
                  <c:v>106.4</c:v>
                </c:pt>
                <c:pt idx="221">
                  <c:v>103.5</c:v>
                </c:pt>
                <c:pt idx="222">
                  <c:v>71.4</c:v>
                </c:pt>
                <c:pt idx="223">
                  <c:v>77.5</c:v>
                </c:pt>
                <c:pt idx="224">
                  <c:v>29.4</c:v>
                </c:pt>
                <c:pt idx="225">
                  <c:v>59.5</c:v>
                </c:pt>
                <c:pt idx="226">
                  <c:v>56.3</c:v>
                </c:pt>
                <c:pt idx="227">
                  <c:v>45.4652</c:v>
                </c:pt>
                <c:pt idx="228">
                  <c:v>106.5</c:v>
                </c:pt>
                <c:pt idx="229">
                  <c:v>86.1</c:v>
                </c:pt>
                <c:pt idx="230">
                  <c:v>74.4</c:v>
                </c:pt>
                <c:pt idx="231">
                  <c:v>63.6</c:v>
                </c:pt>
                <c:pt idx="232">
                  <c:v>59.6</c:v>
                </c:pt>
                <c:pt idx="233">
                  <c:v>32.5</c:v>
                </c:pt>
                <c:pt idx="234">
                  <c:v>83</c:v>
                </c:pt>
                <c:pt idx="235">
                  <c:v>71.5</c:v>
                </c:pt>
                <c:pt idx="236">
                  <c:v>37.04</c:v>
                </c:pt>
                <c:pt idx="237">
                  <c:v>62.3</c:v>
                </c:pt>
                <c:pt idx="238">
                  <c:v>38.8</c:v>
                </c:pt>
                <c:pt idx="239">
                  <c:v>42.4</c:v>
                </c:pt>
                <c:pt idx="240">
                  <c:v>59.28</c:v>
                </c:pt>
                <c:pt idx="241">
                  <c:v>57.746</c:v>
                </c:pt>
                <c:pt idx="242">
                  <c:v>94.5</c:v>
                </c:pt>
                <c:pt idx="243">
                  <c:v>81.6</c:v>
                </c:pt>
                <c:pt idx="244">
                  <c:v>98.3</c:v>
                </c:pt>
                <c:pt idx="245">
                  <c:v>77.3</c:v>
                </c:pt>
                <c:pt idx="246">
                  <c:v>65</c:v>
                </c:pt>
                <c:pt idx="247">
                  <c:v>62</c:v>
                </c:pt>
                <c:pt idx="248">
                  <c:v>44.8</c:v>
                </c:pt>
                <c:pt idx="249">
                  <c:v>67.53</c:v>
                </c:pt>
                <c:pt idx="250">
                  <c:v>60.154</c:v>
                </c:pt>
                <c:pt idx="251">
                  <c:v>32.8</c:v>
                </c:pt>
                <c:pt idx="252">
                  <c:v>38</c:v>
                </c:pt>
                <c:pt idx="253">
                  <c:v>48</c:v>
                </c:pt>
                <c:pt idx="254">
                  <c:v>48</c:v>
                </c:pt>
              </c:numCache>
            </c:numRef>
          </c:xVal>
          <c:yVal>
            <c:numRef>
              <c:f>VLSI!$R$2:$R$256</c:f>
              <c:numCache>
                <c:formatCode>General</c:formatCode>
                <c:ptCount val="255"/>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numCache>
            </c:numRef>
          </c:yVal>
          <c:smooth val="0"/>
        </c:ser>
        <c:ser>
          <c:idx val="4"/>
          <c:order val="4"/>
          <c:tx>
            <c:strRef>
              <c:f>"Jitter=1psrms"</c:f>
              <c:strCache>
                <c:ptCount val="1"/>
                <c:pt idx="0">
                  <c:v>Jitter=1psrms</c:v>
                </c:pt>
              </c:strCache>
            </c:strRef>
          </c:tx>
          <c:spPr>
            <a:solidFill>
              <a:srgbClr val="c00000"/>
            </a:solidFill>
            <a:ln w="25560">
              <a:solidFill>
                <a:srgbClr val="c00000"/>
              </a:solidFill>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lines'!$B$4:$B$11</c:f>
              <c:numCache>
                <c:formatCode>General</c:formatCode>
                <c:ptCount val="8"/>
                <c:pt idx="0">
                  <c:v>144.040807125256</c:v>
                </c:pt>
                <c:pt idx="1">
                  <c:v>124.040807125256</c:v>
                </c:pt>
                <c:pt idx="2">
                  <c:v>104.040807125256</c:v>
                </c:pt>
                <c:pt idx="3">
                  <c:v>84.0408071252561</c:v>
                </c:pt>
                <c:pt idx="4">
                  <c:v>64.0408071252561</c:v>
                </c:pt>
                <c:pt idx="5">
                  <c:v>44.0408071252561</c:v>
                </c:pt>
                <c:pt idx="6">
                  <c:v>24.0408071252561</c:v>
                </c:pt>
                <c:pt idx="7">
                  <c:v>4.04080712525608</c:v>
                </c:pt>
              </c:numCache>
            </c:numRef>
          </c:xVal>
          <c:yVal>
            <c:numRef>
              <c:f>'Jitter and FOM lines'!$A$4:$A$11</c:f>
              <c:numCache>
                <c:formatCode>General</c:formatCode>
                <c:ptCount val="8"/>
                <c:pt idx="0">
                  <c:v>10000</c:v>
                </c:pt>
                <c:pt idx="1">
                  <c:v>100000</c:v>
                </c:pt>
                <c:pt idx="2">
                  <c:v>1000000</c:v>
                </c:pt>
                <c:pt idx="3">
                  <c:v>10000000</c:v>
                </c:pt>
                <c:pt idx="4">
                  <c:v>100000000</c:v>
                </c:pt>
                <c:pt idx="5">
                  <c:v>1000000000</c:v>
                </c:pt>
                <c:pt idx="6">
                  <c:v>10000000000</c:v>
                </c:pt>
                <c:pt idx="7">
                  <c:v>100000000000</c:v>
                </c:pt>
              </c:numCache>
            </c:numRef>
          </c:yVal>
          <c:smooth val="0"/>
        </c:ser>
        <c:ser>
          <c:idx val="5"/>
          <c:order val="5"/>
          <c:tx>
            <c:strRef>
              <c:f>"Jitter=0.1psrms"</c:f>
              <c:strCache>
                <c:ptCount val="1"/>
                <c:pt idx="0">
                  <c:v>Jitter=0.1psrms</c:v>
                </c:pt>
              </c:strCache>
            </c:strRef>
          </c:tx>
          <c:spPr>
            <a:solidFill>
              <a:srgbClr val="c00000"/>
            </a:solidFill>
            <a:ln w="25560">
              <a:solidFill>
                <a:srgbClr val="c00000"/>
              </a:solidFill>
              <a:prstDash val="sysDash"/>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lines'!$C$4:$C$11</c:f>
              <c:numCache>
                <c:formatCode>General</c:formatCode>
                <c:ptCount val="8"/>
                <c:pt idx="0">
                  <c:v>164.040807125256</c:v>
                </c:pt>
                <c:pt idx="1">
                  <c:v>144.040807125256</c:v>
                </c:pt>
                <c:pt idx="2">
                  <c:v>124.040807125256</c:v>
                </c:pt>
                <c:pt idx="3">
                  <c:v>104.040807125256</c:v>
                </c:pt>
                <c:pt idx="4">
                  <c:v>84.0408071252561</c:v>
                </c:pt>
                <c:pt idx="5">
                  <c:v>64.0408071252561</c:v>
                </c:pt>
                <c:pt idx="6">
                  <c:v>44.0408071252561</c:v>
                </c:pt>
                <c:pt idx="7">
                  <c:v>24.0408071252561</c:v>
                </c:pt>
              </c:numCache>
            </c:numRef>
          </c:xVal>
          <c:yVal>
            <c:numRef>
              <c:f>'Jitter and FOM lines'!$A$4:$A$11</c:f>
              <c:numCache>
                <c:formatCode>General</c:formatCode>
                <c:ptCount val="8"/>
                <c:pt idx="0">
                  <c:v>10000</c:v>
                </c:pt>
                <c:pt idx="1">
                  <c:v>100000</c:v>
                </c:pt>
                <c:pt idx="2">
                  <c:v>1000000</c:v>
                </c:pt>
                <c:pt idx="3">
                  <c:v>10000000</c:v>
                </c:pt>
                <c:pt idx="4">
                  <c:v>100000000</c:v>
                </c:pt>
                <c:pt idx="5">
                  <c:v>1000000000</c:v>
                </c:pt>
                <c:pt idx="6">
                  <c:v>10000000000</c:v>
                </c:pt>
                <c:pt idx="7">
                  <c:v>100000000000</c:v>
                </c:pt>
              </c:numCache>
            </c:numRef>
          </c:yVal>
          <c:smooth val="0"/>
        </c:ser>
        <c:axId val="62930280"/>
        <c:axId val="13026503"/>
      </c:scatterChart>
      <c:valAx>
        <c:axId val="62930280"/>
        <c:scaling>
          <c:orientation val="minMax"/>
          <c:max val="120"/>
          <c:min val="10"/>
        </c:scaling>
        <c:delete val="0"/>
        <c:axPos val="b"/>
        <c:title>
          <c:tx>
            <c:rich>
              <a:bodyPr rot="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SNDR @ fin,hf [dB]</a:t>
                </a:r>
              </a:p>
            </c:rich>
          </c:tx>
          <c:layout>
            <c:manualLayout>
              <c:xMode val="edge"/>
              <c:yMode val="edge"/>
              <c:x val="0.439146852566497"/>
              <c:y val="0.891041439789075"/>
            </c:manualLayout>
          </c:layout>
          <c:overlay val="0"/>
          <c:spPr>
            <a:noFill/>
            <a:ln w="25560">
              <a:noFill/>
            </a:ln>
          </c:spPr>
        </c:title>
        <c:numFmt formatCode="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13026503"/>
        <c:crossesAt val="0.01"/>
        <c:crossBetween val="midCat"/>
        <c:majorUnit val="10"/>
      </c:valAx>
      <c:valAx>
        <c:axId val="13026503"/>
        <c:scaling>
          <c:logBase val="10"/>
          <c:orientation val="minMax"/>
          <c:max val="100000000000"/>
          <c:min val="1000000"/>
        </c:scaling>
        <c:delete val="0"/>
        <c:axPos val="l"/>
        <c:majorGridlines>
          <c:spPr>
            <a:ln w="3240">
              <a:solidFill>
                <a:srgbClr val="969696"/>
              </a:solidFill>
              <a:round/>
            </a:ln>
          </c:spPr>
        </c:majorGridlines>
        <c:title>
          <c:tx>
            <c:rich>
              <a:bodyPr rot="-540000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fin,hf [Hz]</a:t>
                </a:r>
              </a:p>
            </c:rich>
          </c:tx>
          <c:layout>
            <c:manualLayout>
              <c:xMode val="edge"/>
              <c:yMode val="edge"/>
              <c:x val="0.00107888294120088"/>
              <c:y val="0.29661259815441"/>
            </c:manualLayout>
          </c:layout>
          <c:overlay val="0"/>
          <c:spPr>
            <a:noFill/>
            <a:ln w="25560">
              <a:noFill/>
            </a:ln>
          </c:spPr>
        </c:title>
        <c:numFmt formatCode="0.E+00" sourceLinked="0"/>
        <c:majorTickMark val="out"/>
        <c:minorTickMark val="out"/>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62930280"/>
        <c:crosses val="autoZero"/>
        <c:crossBetween val="midCat"/>
      </c:valAx>
      <c:spPr>
        <a:noFill/>
        <a:ln w="25560">
          <a:solidFill>
            <a:srgbClr val="000000"/>
          </a:solidFill>
          <a:round/>
        </a:ln>
      </c:spPr>
    </c:plotArea>
    <c:legend>
      <c:legendPos val="r"/>
      <c:layout>
        <c:manualLayout>
          <c:xMode val="edge"/>
          <c:yMode val="edge"/>
          <c:x val="0.7326291957107"/>
          <c:y val="0.0408830708976403"/>
          <c:w val="0.222345734661821"/>
          <c:h val="0.279640204939859"/>
        </c:manualLayout>
      </c:layout>
      <c:overlay val="0"/>
      <c:spPr>
        <a:solidFill>
          <a:srgbClr val="ffffff"/>
        </a:solidFill>
        <a:ln w="3240">
          <a:solidFill>
            <a:srgbClr val="000000"/>
          </a:solidFill>
          <a:round/>
        </a:ln>
      </c:spPr>
      <c:txPr>
        <a:bodyPr/>
        <a:lstStyle/>
        <a:p>
          <a:pPr>
            <a:defRPr b="0" sz="1285"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64944603510519"/>
          <c:y val="0.0424141686249785"/>
          <c:w val="0.783476492800531"/>
          <c:h val="0.798761964807703"/>
        </c:manualLayout>
      </c:layout>
      <c:scatterChart>
        <c:scatterStyle val="lineMarker"/>
        <c:varyColors val="0"/>
        <c:ser>
          <c:idx val="0"/>
          <c:order val="0"/>
          <c:tx>
            <c:strRef>
              <c:f>"ISSCC 2023"</c:f>
              <c:strCache>
                <c:ptCount val="1"/>
                <c:pt idx="0">
                  <c:v>ISSCC 2023</c:v>
                </c:pt>
              </c:strCache>
            </c:strRef>
          </c:tx>
          <c:spPr>
            <a:solidFill>
              <a:srgbClr val="953735"/>
            </a:solidFill>
            <a:ln w="25560">
              <a:noFill/>
            </a:ln>
          </c:spPr>
          <c:marker>
            <c:symbol val="square"/>
            <c:size val="8"/>
            <c:spPr>
              <a:solidFill>
                <a:srgbClr val="953735"/>
              </a:solidFill>
            </c:spPr>
          </c:marker>
          <c:dPt>
            <c:idx val="9"/>
            <c:marker>
              <c:symbol val="x"/>
              <c:size val="8"/>
              <c:spPr>
                <a:solidFill>
                  <a:srgbClr val="953735"/>
                </a:solidFill>
              </c:spPr>
            </c:marker>
          </c:dPt>
          <c:dLbls>
            <c:dLbl>
              <c:idx val="9"/>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ISSCC!$AB$395:$AB$411</c:f>
              <c:numCache>
                <c:formatCode>General</c:formatCode>
                <c:ptCount val="17"/>
                <c:pt idx="0">
                  <c:v>1800000000</c:v>
                </c:pt>
                <c:pt idx="1">
                  <c:v>2600000000</c:v>
                </c:pt>
                <c:pt idx="2">
                  <c:v>2000000000</c:v>
                </c:pt>
                <c:pt idx="3">
                  <c:v>12000000</c:v>
                </c:pt>
                <c:pt idx="4">
                  <c:v>50000000</c:v>
                </c:pt>
                <c:pt idx="5">
                  <c:v>300000</c:v>
                </c:pt>
                <c:pt idx="6">
                  <c:v>200000000</c:v>
                </c:pt>
                <c:pt idx="7">
                  <c:v>2800000000</c:v>
                </c:pt>
                <c:pt idx="8">
                  <c:v>1250000000</c:v>
                </c:pt>
                <c:pt idx="9">
                  <c:v>24000000000</c:v>
                </c:pt>
                <c:pt idx="10">
                  <c:v>1000000000</c:v>
                </c:pt>
                <c:pt idx="11">
                  <c:v>4500000000</c:v>
                </c:pt>
                <c:pt idx="12">
                  <c:v>2700000000</c:v>
                </c:pt>
                <c:pt idx="13">
                  <c:v>10000000000</c:v>
                </c:pt>
                <c:pt idx="14">
                  <c:v>40000000000</c:v>
                </c:pt>
                <c:pt idx="15">
                  <c:v>2000</c:v>
                </c:pt>
                <c:pt idx="16">
                  <c:v>5000</c:v>
                </c:pt>
              </c:numCache>
            </c:numRef>
          </c:xVal>
          <c:yVal>
            <c:numRef>
              <c:f>ISSCC!$AF$395:$AF$411</c:f>
              <c:numCache>
                <c:formatCode>General</c:formatCode>
                <c:ptCount val="17"/>
                <c:pt idx="0">
                  <c:v>5.03945369089003</c:v>
                </c:pt>
                <c:pt idx="1">
                  <c:v>17.6114093874322</c:v>
                </c:pt>
                <c:pt idx="2">
                  <c:v>15.7776233728412</c:v>
                </c:pt>
                <c:pt idx="3">
                  <c:v>26.1748558466457</c:v>
                </c:pt>
                <c:pt idx="4">
                  <c:v>6.85725249331797</c:v>
                </c:pt>
                <c:pt idx="5">
                  <c:v>16.0157800329036</c:v>
                </c:pt>
                <c:pt idx="6">
                  <c:v>8.59543131846901</c:v>
                </c:pt>
                <c:pt idx="7">
                  <c:v>20.2800883269322</c:v>
                </c:pt>
                <c:pt idx="8">
                  <c:v>20.1677077134817</c:v>
                </c:pt>
                <c:pt idx="9">
                  <c:v>180.978546987227</c:v>
                </c:pt>
                <c:pt idx="10">
                  <c:v>9.72754431551258</c:v>
                </c:pt>
                <c:pt idx="11">
                  <c:v>21.627638876664</c:v>
                </c:pt>
                <c:pt idx="12">
                  <c:v>6.89505215493945</c:v>
                </c:pt>
                <c:pt idx="13">
                  <c:v>58.7336055997301</c:v>
                </c:pt>
                <c:pt idx="14">
                  <c:v>74.5718379544588</c:v>
                </c:pt>
                <c:pt idx="15">
                  <c:v>63.0232369617875</c:v>
                </c:pt>
                <c:pt idx="16">
                  <c:v>78.4553507084402</c:v>
                </c:pt>
              </c:numCache>
            </c:numRef>
          </c:yVal>
          <c:smooth val="0"/>
        </c:ser>
        <c:ser>
          <c:idx val="1"/>
          <c:order val="1"/>
          <c:tx>
            <c:strRef>
              <c:f>"VLSI 2023"</c:f>
              <c:strCache>
                <c:ptCount val="1"/>
                <c:pt idx="0">
                  <c:v>VLSI 2023</c:v>
                </c:pt>
              </c:strCache>
            </c:strRef>
          </c:tx>
          <c:spPr>
            <a:solidFill>
              <a:srgbClr val="1f497d"/>
            </a:solidFill>
            <a:ln w="28440">
              <a:noFill/>
            </a:ln>
          </c:spPr>
          <c:marker>
            <c:symbol val="diamond"/>
            <c:size val="10"/>
            <c:spPr>
              <a:solidFill>
                <a:srgbClr val="1f497d"/>
              </a:solidFill>
            </c:spPr>
          </c:marker>
          <c:dPt>
            <c:idx val="2"/>
            <c:marker>
              <c:symbol val="diamond"/>
              <c:size val="10"/>
              <c:spPr>
                <a:solidFill>
                  <a:srgbClr val="1f497d"/>
                </a:solidFill>
              </c:spPr>
            </c:marker>
          </c:dPt>
          <c:dLbls>
            <c:dLbl>
              <c:idx val="2"/>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VLSI!$AB$257:$AB$267</c:f>
              <c:numCache>
                <c:formatCode>General</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VLSI!$AF$257:$AF$267</c:f>
              <c:numCache>
                <c:formatCode>General</c:formatCode>
                <c:ptCount val="11"/>
                <c:pt idx="0">
                  <c:v>146.855783764274</c:v>
                </c:pt>
                <c:pt idx="1">
                  <c:v>61.1046481479197</c:v>
                </c:pt>
                <c:pt idx="2">
                  <c:v>134.317509286798</c:v>
                </c:pt>
                <c:pt idx="3">
                  <c:v>48.6037578388407</c:v>
                </c:pt>
                <c:pt idx="4">
                  <c:v>99.0325486475779</c:v>
                </c:pt>
                <c:pt idx="5">
                  <c:v>4.51654196800847</c:v>
                </c:pt>
                <c:pt idx="6">
                  <c:v>5.65077004344833</c:v>
                </c:pt>
                <c:pt idx="7">
                  <c:v>52.490234375</c:v>
                </c:pt>
                <c:pt idx="8">
                  <c:v>322.246381919859</c:v>
                </c:pt>
                <c:pt idx="9">
                  <c:v>32.1798490270561</c:v>
                </c:pt>
                <c:pt idx="10">
                  <c:v>385.176500776238</c:v>
                </c:pt>
              </c:numCache>
            </c:numRef>
          </c:yVal>
          <c:smooth val="0"/>
        </c:ser>
        <c:ser>
          <c:idx val="2"/>
          <c:order val="2"/>
          <c:tx>
            <c:strRef>
              <c:f>"ISSCC 1997-2022"</c:f>
              <c:strCache>
                <c:ptCount val="1"/>
                <c:pt idx="0">
                  <c:v>ISSCC 1997-2022</c:v>
                </c:pt>
              </c:strCache>
            </c:strRef>
          </c:tx>
          <c:spPr>
            <a:solidFill>
              <a:srgbClr val="000000"/>
            </a:solidFill>
            <a:ln w="28440">
              <a:noFill/>
            </a:ln>
          </c:spPr>
          <c:marker>
            <c:symbol val="circl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ISSCC!$AB$2:$AB$394</c:f>
              <c:numCache>
                <c:formatCode>General</c:formatCode>
                <c:ptCount val="393"/>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c:v>
                </c:pt>
                <c:pt idx="216">
                  <c:v>20000</c:v>
                </c:pt>
                <c:pt idx="217">
                  <c:v>100000</c:v>
                </c:pt>
                <c:pt idx="218">
                  <c:v>40000000</c:v>
                </c:pt>
                <c:pt idx="219">
                  <c:v>48001920.0768031</c:v>
                </c:pt>
                <c:pt idx="220">
                  <c:v>300000075.000019</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c:v>5000000000</c:v>
                </c:pt>
                <c:pt idx="379">
                  <c:v>130000000</c:v>
                </c:pt>
                <c:pt idx="380">
                  <c:v>200000000</c:v>
                </c:pt>
                <c:pt idx="381">
                  <c:v>260000000</c:v>
                </c:pt>
                <c:pt idx="382">
                  <c:v>2000000</c:v>
                </c:pt>
                <c:pt idx="383">
                  <c:v>2702.7027027027</c:v>
                </c:pt>
                <c:pt idx="384">
                  <c:v>20000</c:v>
                </c:pt>
                <c:pt idx="385">
                  <c:v>5000</c:v>
                </c:pt>
                <c:pt idx="386">
                  <c:v>2000</c:v>
                </c:pt>
                <c:pt idx="387">
                  <c:v>40000</c:v>
                </c:pt>
                <c:pt idx="388">
                  <c:v>720000000</c:v>
                </c:pt>
                <c:pt idx="389">
                  <c:v>240000000</c:v>
                </c:pt>
                <c:pt idx="390">
                  <c:v>1000000</c:v>
                </c:pt>
                <c:pt idx="391">
                  <c:v>24000000</c:v>
                </c:pt>
                <c:pt idx="392">
                  <c:v>16000</c:v>
                </c:pt>
              </c:numCache>
            </c:numRef>
          </c:xVal>
          <c:yVal>
            <c:numRef>
              <c:f>ISSCC!$AF$2:$AF$394</c:f>
              <c:numCache>
                <c:formatCode>General</c:formatCode>
                <c:ptCount val="393"/>
                <c:pt idx="0">
                  <c:v>109339.80369572</c:v>
                </c:pt>
                <c:pt idx="1">
                  <c:v>4632.77415478838</c:v>
                </c:pt>
                <c:pt idx="2">
                  <c:v>8762.35721997626</c:v>
                </c:pt>
                <c:pt idx="3">
                  <c:v>65521.3244502691</c:v>
                </c:pt>
                <c:pt idx="4">
                  <c:v>1809.50208940186</c:v>
                </c:pt>
                <c:pt idx="5">
                  <c:v>9549.66183195014</c:v>
                </c:pt>
                <c:pt idx="6">
                  <c:v>29987.3347120303</c:v>
                </c:pt>
                <c:pt idx="7">
                  <c:v>39165.8516391046</c:v>
                </c:pt>
                <c:pt idx="8">
                  <c:v>85371.466280255</c:v>
                </c:pt>
                <c:pt idx="9">
                  <c:v>315924.425952465</c:v>
                </c:pt>
                <c:pt idx="10">
                  <c:v>30619.8483330362</c:v>
                </c:pt>
                <c:pt idx="11">
                  <c:v>1114.803383144</c:v>
                </c:pt>
                <c:pt idx="12">
                  <c:v>10444.2271037612</c:v>
                </c:pt>
                <c:pt idx="13">
                  <c:v>1215.09394597102</c:v>
                </c:pt>
                <c:pt idx="14">
                  <c:v>8214.72285542209</c:v>
                </c:pt>
                <c:pt idx="15">
                  <c:v>30741.3672494623</c:v>
                </c:pt>
                <c:pt idx="16">
                  <c:v>25036.4725504555</c:v>
                </c:pt>
                <c:pt idx="17">
                  <c:v>14485.0768823546</c:v>
                </c:pt>
                <c:pt idx="18">
                  <c:v>7813.2153852025</c:v>
                </c:pt>
                <c:pt idx="19">
                  <c:v>22180.36969434</c:v>
                </c:pt>
                <c:pt idx="20">
                  <c:v>21224.2953209254</c:v>
                </c:pt>
                <c:pt idx="21">
                  <c:v>1223.70395902324</c:v>
                </c:pt>
                <c:pt idx="22">
                  <c:v>694.756685806565</c:v>
                </c:pt>
                <c:pt idx="23">
                  <c:v>6207.65403954676</c:v>
                </c:pt>
                <c:pt idx="24">
                  <c:v>122682.785803007</c:v>
                </c:pt>
                <c:pt idx="25">
                  <c:v>137994.707891469</c:v>
                </c:pt>
                <c:pt idx="26">
                  <c:v>44143.3176145547</c:v>
                </c:pt>
                <c:pt idx="27">
                  <c:v>34999.4030038159</c:v>
                </c:pt>
                <c:pt idx="28">
                  <c:v>3907.44076501072</c:v>
                </c:pt>
                <c:pt idx="29">
                  <c:v>5330.24970240649</c:v>
                </c:pt>
                <c:pt idx="30">
                  <c:v>17677.6695296637</c:v>
                </c:pt>
                <c:pt idx="31">
                  <c:v>34073.4164785073</c:v>
                </c:pt>
                <c:pt idx="32">
                  <c:v>2719.85080827115</c:v>
                </c:pt>
                <c:pt idx="33">
                  <c:v>12266.1962570195</c:v>
                </c:pt>
                <c:pt idx="34">
                  <c:v>2559.853324482</c:v>
                </c:pt>
                <c:pt idx="35">
                  <c:v>13126.1934385671</c:v>
                </c:pt>
                <c:pt idx="36">
                  <c:v>23315.1416839018</c:v>
                </c:pt>
                <c:pt idx="37">
                  <c:v>9748.70743663436</c:v>
                </c:pt>
                <c:pt idx="38">
                  <c:v>5122.0913462278</c:v>
                </c:pt>
                <c:pt idx="39">
                  <c:v>8337.08022967879</c:v>
                </c:pt>
                <c:pt idx="40">
                  <c:v>4320.80943590796</c:v>
                </c:pt>
                <c:pt idx="41">
                  <c:v>10641.250738399</c:v>
                </c:pt>
                <c:pt idx="42">
                  <c:v>4656.80896014045</c:v>
                </c:pt>
                <c:pt idx="43">
                  <c:v>1021.10036126773</c:v>
                </c:pt>
                <c:pt idx="44">
                  <c:v>2049.30474236119</c:v>
                </c:pt>
                <c:pt idx="45">
                  <c:v>9126.14839009448</c:v>
                </c:pt>
                <c:pt idx="46">
                  <c:v>5431.36630959913</c:v>
                </c:pt>
                <c:pt idx="47">
                  <c:v>3068.99841811255</c:v>
                </c:pt>
                <c:pt idx="48">
                  <c:v>2986.09201977261</c:v>
                </c:pt>
                <c:pt idx="49">
                  <c:v>1188.53476043692</c:v>
                </c:pt>
                <c:pt idx="50">
                  <c:v>5249.0234375</c:v>
                </c:pt>
                <c:pt idx="51">
                  <c:v>15642.7054342272</c:v>
                </c:pt>
                <c:pt idx="52">
                  <c:v>8049.24242424242</c:v>
                </c:pt>
                <c:pt idx="53">
                  <c:v>2155.69286357643</c:v>
                </c:pt>
                <c:pt idx="54">
                  <c:v>3449.53348694261</c:v>
                </c:pt>
                <c:pt idx="55">
                  <c:v>1302.38214412669</c:v>
                </c:pt>
                <c:pt idx="56">
                  <c:v>1305.82798935769</c:v>
                </c:pt>
                <c:pt idx="57">
                  <c:v>20661.1857174694</c:v>
                </c:pt>
                <c:pt idx="58">
                  <c:v>8260.97374987061</c:v>
                </c:pt>
                <c:pt idx="59">
                  <c:v>24109.7095244315</c:v>
                </c:pt>
                <c:pt idx="60">
                  <c:v>2478.22293060519</c:v>
                </c:pt>
                <c:pt idx="61">
                  <c:v>319.23752215197</c:v>
                </c:pt>
                <c:pt idx="62">
                  <c:v>5822.27967388306</c:v>
                </c:pt>
                <c:pt idx="63">
                  <c:v>3148.49222599408</c:v>
                </c:pt>
                <c:pt idx="64">
                  <c:v>573.032814386929</c:v>
                </c:pt>
                <c:pt idx="65">
                  <c:v>3416.29171753646</c:v>
                </c:pt>
                <c:pt idx="66">
                  <c:v>680.09708202028</c:v>
                </c:pt>
                <c:pt idx="67">
                  <c:v>5533.45038396749</c:v>
                </c:pt>
                <c:pt idx="68">
                  <c:v>2265.16103792782</c:v>
                </c:pt>
                <c:pt idx="69">
                  <c:v>3044.7382656554</c:v>
                </c:pt>
                <c:pt idx="70">
                  <c:v>2186.08434338235</c:v>
                </c:pt>
                <c:pt idx="71">
                  <c:v>9457.75996317762</c:v>
                </c:pt>
                <c:pt idx="72">
                  <c:v>422.258060983316</c:v>
                </c:pt>
                <c:pt idx="73">
                  <c:v>144.359030802904</c:v>
                </c:pt>
                <c:pt idx="74">
                  <c:v>2440.97997539455</c:v>
                </c:pt>
                <c:pt idx="75">
                  <c:v>482.725721467203</c:v>
                </c:pt>
                <c:pt idx="76">
                  <c:v>5128.32469528591</c:v>
                </c:pt>
                <c:pt idx="77">
                  <c:v>20617.3111058265</c:v>
                </c:pt>
                <c:pt idx="78">
                  <c:v>6000.54901523766</c:v>
                </c:pt>
                <c:pt idx="79">
                  <c:v>1294.48715220792</c:v>
                </c:pt>
                <c:pt idx="80">
                  <c:v>2520.94588485533</c:v>
                </c:pt>
                <c:pt idx="81">
                  <c:v>2113.54580924922</c:v>
                </c:pt>
                <c:pt idx="82">
                  <c:v>4006.34191893497</c:v>
                </c:pt>
                <c:pt idx="83">
                  <c:v>429.007772334815</c:v>
                </c:pt>
                <c:pt idx="84">
                  <c:v>5302.08008872313</c:v>
                </c:pt>
                <c:pt idx="85">
                  <c:v>2458.89511615932</c:v>
                </c:pt>
                <c:pt idx="86">
                  <c:v>470.818613183515</c:v>
                </c:pt>
                <c:pt idx="87">
                  <c:v>1226.75460185579</c:v>
                </c:pt>
                <c:pt idx="88">
                  <c:v>381.656987244022</c:v>
                </c:pt>
                <c:pt idx="89">
                  <c:v>1322.20460357504</c:v>
                </c:pt>
                <c:pt idx="90">
                  <c:v>9220.85668559746</c:v>
                </c:pt>
                <c:pt idx="91">
                  <c:v>712.238172185628</c:v>
                </c:pt>
                <c:pt idx="92">
                  <c:v>4978.77159022972</c:v>
                </c:pt>
                <c:pt idx="93">
                  <c:v>1841.42390933997</c:v>
                </c:pt>
                <c:pt idx="94">
                  <c:v>2116.73134551838</c:v>
                </c:pt>
                <c:pt idx="95">
                  <c:v>3111.35557212336</c:v>
                </c:pt>
                <c:pt idx="96">
                  <c:v>865.927066444712</c:v>
                </c:pt>
                <c:pt idx="97">
                  <c:v>11631.4195561559</c:v>
                </c:pt>
                <c:pt idx="98">
                  <c:v>575.046621705111</c:v>
                </c:pt>
                <c:pt idx="99">
                  <c:v>3027.51461177117</c:v>
                </c:pt>
                <c:pt idx="100">
                  <c:v>2844.23828125</c:v>
                </c:pt>
                <c:pt idx="101">
                  <c:v>3394.3738087224</c:v>
                </c:pt>
                <c:pt idx="102">
                  <c:v>2863.25526361827</c:v>
                </c:pt>
                <c:pt idx="103">
                  <c:v>2707.09808976145</c:v>
                </c:pt>
                <c:pt idx="104">
                  <c:v>805.6640625</c:v>
                </c:pt>
                <c:pt idx="105">
                  <c:v>12724.8190814157</c:v>
                </c:pt>
                <c:pt idx="106">
                  <c:v>2271.76778121442</c:v>
                </c:pt>
                <c:pt idx="107">
                  <c:v>1810.98126227684</c:v>
                </c:pt>
                <c:pt idx="108">
                  <c:v>267.944213094963</c:v>
                </c:pt>
                <c:pt idx="109">
                  <c:v>2905.18716376741</c:v>
                </c:pt>
                <c:pt idx="110">
                  <c:v>3103.3002000389</c:v>
                </c:pt>
                <c:pt idx="111">
                  <c:v>7775.67257127888</c:v>
                </c:pt>
                <c:pt idx="112">
                  <c:v>8987.56967164536</c:v>
                </c:pt>
                <c:pt idx="113">
                  <c:v>789.004308877784</c:v>
                </c:pt>
                <c:pt idx="114">
                  <c:v>1523.46598758397</c:v>
                </c:pt>
                <c:pt idx="115">
                  <c:v>808.893188838532</c:v>
                </c:pt>
                <c:pt idx="116">
                  <c:v>792.253831740132</c:v>
                </c:pt>
                <c:pt idx="117">
                  <c:v>258.652251647782</c:v>
                </c:pt>
                <c:pt idx="118">
                  <c:v>3542.33101034813</c:v>
                </c:pt>
                <c:pt idx="119">
                  <c:v>275.926094417039</c:v>
                </c:pt>
                <c:pt idx="120">
                  <c:v>1220.703125</c:v>
                </c:pt>
                <c:pt idx="121">
                  <c:v>909.343244917734</c:v>
                </c:pt>
                <c:pt idx="122">
                  <c:v>415.314013988849</c:v>
                </c:pt>
                <c:pt idx="123">
                  <c:v>122.0703125</c:v>
                </c:pt>
                <c:pt idx="124">
                  <c:v>4277.72077627218</c:v>
                </c:pt>
                <c:pt idx="125">
                  <c:v>20310.4540671725</c:v>
                </c:pt>
                <c:pt idx="126">
                  <c:v>178.54085942734</c:v>
                </c:pt>
                <c:pt idx="127">
                  <c:v>475.993657287014</c:v>
                </c:pt>
                <c:pt idx="128">
                  <c:v>1464.84375</c:v>
                </c:pt>
                <c:pt idx="129">
                  <c:v>1223.51741707428</c:v>
                </c:pt>
                <c:pt idx="130">
                  <c:v>695.496668823367</c:v>
                </c:pt>
                <c:pt idx="131">
                  <c:v>545.335471186437</c:v>
                </c:pt>
                <c:pt idx="132">
                  <c:v>820.425624994773</c:v>
                </c:pt>
                <c:pt idx="133">
                  <c:v>683.373773098248</c:v>
                </c:pt>
                <c:pt idx="134">
                  <c:v>763.114537574231</c:v>
                </c:pt>
                <c:pt idx="135">
                  <c:v>172.038205841939</c:v>
                </c:pt>
                <c:pt idx="136">
                  <c:v>1373.81398078618</c:v>
                </c:pt>
                <c:pt idx="137">
                  <c:v>506.809813410615</c:v>
                </c:pt>
                <c:pt idx="138">
                  <c:v>3662.26472119908</c:v>
                </c:pt>
                <c:pt idx="139">
                  <c:v>159.360509563567</c:v>
                </c:pt>
                <c:pt idx="140">
                  <c:v>1374.6845281988</c:v>
                </c:pt>
                <c:pt idx="141">
                  <c:v>2163.86003621113</c:v>
                </c:pt>
                <c:pt idx="142">
                  <c:v>16695.8175447214</c:v>
                </c:pt>
                <c:pt idx="143">
                  <c:v>242.085602019985</c:v>
                </c:pt>
                <c:pt idx="144">
                  <c:v>768.581062455892</c:v>
                </c:pt>
                <c:pt idx="145">
                  <c:v>607.845213323591</c:v>
                </c:pt>
                <c:pt idx="146">
                  <c:v>888.011779565558</c:v>
                </c:pt>
                <c:pt idx="147">
                  <c:v>349.866766673675</c:v>
                </c:pt>
                <c:pt idx="148">
                  <c:v>245.337263999365</c:v>
                </c:pt>
                <c:pt idx="149">
                  <c:v>85.8511336500029</c:v>
                </c:pt>
                <c:pt idx="150">
                  <c:v>1143.323523959</c:v>
                </c:pt>
                <c:pt idx="151">
                  <c:v>267.655412452881</c:v>
                </c:pt>
                <c:pt idx="152">
                  <c:v>956.723282337547</c:v>
                </c:pt>
                <c:pt idx="153">
                  <c:v>270.83286292739</c:v>
                </c:pt>
                <c:pt idx="154">
                  <c:v>647.605750819667</c:v>
                </c:pt>
                <c:pt idx="155">
                  <c:v>503.265266224155</c:v>
                </c:pt>
                <c:pt idx="156">
                  <c:v>1101.8629420584</c:v>
                </c:pt>
                <c:pt idx="157">
                  <c:v>1068.36035260392</c:v>
                </c:pt>
                <c:pt idx="158">
                  <c:v>54.2621570894415</c:v>
                </c:pt>
                <c:pt idx="159">
                  <c:v>223.4130302278</c:v>
                </c:pt>
                <c:pt idx="160">
                  <c:v>10.8943034865488</c:v>
                </c:pt>
                <c:pt idx="161">
                  <c:v>4.43089351772968</c:v>
                </c:pt>
                <c:pt idx="162">
                  <c:v>55.4654161117783</c:v>
                </c:pt>
                <c:pt idx="163">
                  <c:v>690.839015903468</c:v>
                </c:pt>
                <c:pt idx="164">
                  <c:v>61.7912962427764</c:v>
                </c:pt>
                <c:pt idx="165">
                  <c:v>64.5291774356267</c:v>
                </c:pt>
                <c:pt idx="166">
                  <c:v>98.1403681484628</c:v>
                </c:pt>
                <c:pt idx="167">
                  <c:v>410.476896411256</c:v>
                </c:pt>
                <c:pt idx="168">
                  <c:v>327.134560494876</c:v>
                </c:pt>
                <c:pt idx="169">
                  <c:v>538.55999549415</c:v>
                </c:pt>
                <c:pt idx="170">
                  <c:v>485.926064824548</c:v>
                </c:pt>
                <c:pt idx="171">
                  <c:v>340.765167182163</c:v>
                </c:pt>
                <c:pt idx="172">
                  <c:v>5492.23169506637</c:v>
                </c:pt>
                <c:pt idx="173">
                  <c:v>309.867228527379</c:v>
                </c:pt>
                <c:pt idx="174">
                  <c:v>787.207620177277</c:v>
                </c:pt>
                <c:pt idx="175">
                  <c:v>4419.41738241592</c:v>
                </c:pt>
                <c:pt idx="176">
                  <c:v>1114.17348025632</c:v>
                </c:pt>
                <c:pt idx="177">
                  <c:v>1667.9195430559</c:v>
                </c:pt>
                <c:pt idx="178">
                  <c:v>127.613735302176</c:v>
                </c:pt>
                <c:pt idx="179">
                  <c:v>555.119754329464</c:v>
                </c:pt>
                <c:pt idx="180">
                  <c:v>2207.24113109867</c:v>
                </c:pt>
                <c:pt idx="181">
                  <c:v>134.663679445533</c:v>
                </c:pt>
                <c:pt idx="182">
                  <c:v>433.275886072638</c:v>
                </c:pt>
                <c:pt idx="183">
                  <c:v>301.395922955379</c:v>
                </c:pt>
                <c:pt idx="184">
                  <c:v>532.32372250386</c:v>
                </c:pt>
                <c:pt idx="185">
                  <c:v>577.576233407749</c:v>
                </c:pt>
                <c:pt idx="186">
                  <c:v>298.115095994514</c:v>
                </c:pt>
                <c:pt idx="187">
                  <c:v>87.4867641099133</c:v>
                </c:pt>
                <c:pt idx="188">
                  <c:v>96.7697036305432</c:v>
                </c:pt>
                <c:pt idx="189">
                  <c:v>331.191272940874</c:v>
                </c:pt>
                <c:pt idx="190">
                  <c:v>153.88391734371</c:v>
                </c:pt>
                <c:pt idx="191">
                  <c:v>321.24702698435</c:v>
                </c:pt>
                <c:pt idx="192">
                  <c:v>1175.02094590044</c:v>
                </c:pt>
                <c:pt idx="193">
                  <c:v>1219.21051483061</c:v>
                </c:pt>
                <c:pt idx="194">
                  <c:v>554.755388988148</c:v>
                </c:pt>
                <c:pt idx="195">
                  <c:v>2152.92601056688</c:v>
                </c:pt>
                <c:pt idx="196">
                  <c:v>40.3092275365523</c:v>
                </c:pt>
                <c:pt idx="197">
                  <c:v>297.733381426062</c:v>
                </c:pt>
                <c:pt idx="198">
                  <c:v>111.16106972905</c:v>
                </c:pt>
                <c:pt idx="199">
                  <c:v>344.303755734615</c:v>
                </c:pt>
                <c:pt idx="200">
                  <c:v>1027.75463034239</c:v>
                </c:pt>
                <c:pt idx="201">
                  <c:v>36.3052065111761</c:v>
                </c:pt>
                <c:pt idx="202">
                  <c:v>87.7955610281107</c:v>
                </c:pt>
                <c:pt idx="203">
                  <c:v>29.6872929813886</c:v>
                </c:pt>
                <c:pt idx="204">
                  <c:v>21.9183664492211</c:v>
                </c:pt>
                <c:pt idx="205">
                  <c:v>31.3557174591612</c:v>
                </c:pt>
                <c:pt idx="206">
                  <c:v>2511.96905281944</c:v>
                </c:pt>
                <c:pt idx="207">
                  <c:v>849.248912641894</c:v>
                </c:pt>
                <c:pt idx="208">
                  <c:v>789.555451991032</c:v>
                </c:pt>
                <c:pt idx="209">
                  <c:v>180.224614041431</c:v>
                </c:pt>
                <c:pt idx="210">
                  <c:v>271.985080827115</c:v>
                </c:pt>
                <c:pt idx="211">
                  <c:v>116.898104647363</c:v>
                </c:pt>
                <c:pt idx="212">
                  <c:v>22.416713817307</c:v>
                </c:pt>
                <c:pt idx="213">
                  <c:v>704.668491128583</c:v>
                </c:pt>
                <c:pt idx="214">
                  <c:v>130.861638189874</c:v>
                </c:pt>
                <c:pt idx="215">
                  <c:v>209.535860583997</c:v>
                </c:pt>
                <c:pt idx="216">
                  <c:v>409.012041902648</c:v>
                </c:pt>
                <c:pt idx="217">
                  <c:v>108.073262236577</c:v>
                </c:pt>
                <c:pt idx="218">
                  <c:v>193.477286152709</c:v>
                </c:pt>
                <c:pt idx="219">
                  <c:v>385.161093716207</c:v>
                </c:pt>
                <c:pt idx="220">
                  <c:v>447.591033935547</c:v>
                </c:pt>
                <c:pt idx="221">
                  <c:v>123.228201016517</c:v>
                </c:pt>
                <c:pt idx="222">
                  <c:v>87.724592753796</c:v>
                </c:pt>
                <c:pt idx="223">
                  <c:v>72.6798899315425</c:v>
                </c:pt>
                <c:pt idx="224">
                  <c:v>190.351178258044</c:v>
                </c:pt>
                <c:pt idx="225">
                  <c:v>1250</c:v>
                </c:pt>
                <c:pt idx="226">
                  <c:v>45.09893445486</c:v>
                </c:pt>
                <c:pt idx="227">
                  <c:v>46.4161427846836</c:v>
                </c:pt>
                <c:pt idx="228">
                  <c:v>13.1898134384693</c:v>
                </c:pt>
                <c:pt idx="229">
                  <c:v>35.7776988636364</c:v>
                </c:pt>
                <c:pt idx="230">
                  <c:v>178.828984064707</c:v>
                </c:pt>
                <c:pt idx="231">
                  <c:v>6.45363694334505</c:v>
                </c:pt>
                <c:pt idx="232">
                  <c:v>31.2874703851213</c:v>
                </c:pt>
                <c:pt idx="233">
                  <c:v>590.035409921725</c:v>
                </c:pt>
                <c:pt idx="234">
                  <c:v>27.6951774010696</c:v>
                </c:pt>
                <c:pt idx="235">
                  <c:v>2.20957519968433</c:v>
                </c:pt>
                <c:pt idx="236">
                  <c:v>36.0531946382876</c:v>
                </c:pt>
                <c:pt idx="237">
                  <c:v>1475.67937650289</c:v>
                </c:pt>
                <c:pt idx="238">
                  <c:v>314.773490904296</c:v>
                </c:pt>
                <c:pt idx="239">
                  <c:v>2.35905578367831</c:v>
                </c:pt>
                <c:pt idx="240">
                  <c:v>299.917082134117</c:v>
                </c:pt>
                <c:pt idx="241">
                  <c:v>39.3602831314276</c:v>
                </c:pt>
                <c:pt idx="242">
                  <c:v>699.774743652606</c:v>
                </c:pt>
                <c:pt idx="243">
                  <c:v>854.720782547651</c:v>
                </c:pt>
                <c:pt idx="244">
                  <c:v>10427.0803215715</c:v>
                </c:pt>
                <c:pt idx="245">
                  <c:v>33.8339833351172</c:v>
                </c:pt>
                <c:pt idx="246">
                  <c:v>40.4515253728307</c:v>
                </c:pt>
                <c:pt idx="247">
                  <c:v>129.516144388143</c:v>
                </c:pt>
                <c:pt idx="248">
                  <c:v>4.40609810355665</c:v>
                </c:pt>
                <c:pt idx="249">
                  <c:v>0.850121253763477</c:v>
                </c:pt>
                <c:pt idx="250">
                  <c:v>10.3386835838345</c:v>
                </c:pt>
                <c:pt idx="251">
                  <c:v>11.4995589909557</c:v>
                </c:pt>
                <c:pt idx="252">
                  <c:v>46.0960118272384</c:v>
                </c:pt>
                <c:pt idx="253">
                  <c:v>121.85884295793</c:v>
                </c:pt>
                <c:pt idx="254">
                  <c:v>203.108297543811</c:v>
                </c:pt>
                <c:pt idx="255">
                  <c:v>124.111095915046</c:v>
                </c:pt>
                <c:pt idx="256">
                  <c:v>80.4434305006211</c:v>
                </c:pt>
                <c:pt idx="257">
                  <c:v>62.2607667121164</c:v>
                </c:pt>
                <c:pt idx="258">
                  <c:v>279.729027464749</c:v>
                </c:pt>
                <c:pt idx="259">
                  <c:v>205.660221728685</c:v>
                </c:pt>
                <c:pt idx="260">
                  <c:v>291.439271048772</c:v>
                </c:pt>
                <c:pt idx="261">
                  <c:v>737.280853916819</c:v>
                </c:pt>
                <c:pt idx="262">
                  <c:v>584.589747005838</c:v>
                </c:pt>
                <c:pt idx="263">
                  <c:v>295.627555202798</c:v>
                </c:pt>
                <c:pt idx="264">
                  <c:v>28824.9720932218</c:v>
                </c:pt>
                <c:pt idx="265">
                  <c:v>177.718101476798</c:v>
                </c:pt>
                <c:pt idx="266">
                  <c:v>37.784890985632</c:v>
                </c:pt>
                <c:pt idx="267">
                  <c:v>2.41458733161381</c:v>
                </c:pt>
                <c:pt idx="268">
                  <c:v>126.211168691985</c:v>
                </c:pt>
                <c:pt idx="269">
                  <c:v>363.050063363613</c:v>
                </c:pt>
                <c:pt idx="270">
                  <c:v>849.341928377871</c:v>
                </c:pt>
                <c:pt idx="271">
                  <c:v>1.46962298161667</c:v>
                </c:pt>
                <c:pt idx="272">
                  <c:v>6.97726943342808</c:v>
                </c:pt>
                <c:pt idx="273">
                  <c:v>5.48614444708416</c:v>
                </c:pt>
                <c:pt idx="274">
                  <c:v>162.378083583554</c:v>
                </c:pt>
                <c:pt idx="275">
                  <c:v>20.7326760700643</c:v>
                </c:pt>
                <c:pt idx="276">
                  <c:v>39.0164891862024</c:v>
                </c:pt>
                <c:pt idx="277">
                  <c:v>181.928325914564</c:v>
                </c:pt>
                <c:pt idx="278">
                  <c:v>30.5369358206663</c:v>
                </c:pt>
                <c:pt idx="279">
                  <c:v>346.740460021201</c:v>
                </c:pt>
                <c:pt idx="280">
                  <c:v>57.6883368392566</c:v>
                </c:pt>
                <c:pt idx="281">
                  <c:v>143.105208517272</c:v>
                </c:pt>
                <c:pt idx="282">
                  <c:v>23.5786359775749</c:v>
                </c:pt>
                <c:pt idx="283">
                  <c:v>84.8075995100281</c:v>
                </c:pt>
                <c:pt idx="284">
                  <c:v>760.518263798029</c:v>
                </c:pt>
                <c:pt idx="285">
                  <c:v>82.8119983452632</c:v>
                </c:pt>
                <c:pt idx="286">
                  <c:v>613.681351354238</c:v>
                </c:pt>
                <c:pt idx="287">
                  <c:v>12308.4822940427</c:v>
                </c:pt>
                <c:pt idx="288">
                  <c:v>85.5805703943913</c:v>
                </c:pt>
                <c:pt idx="289">
                  <c:v>28.7214865614343</c:v>
                </c:pt>
                <c:pt idx="290">
                  <c:v>2.5719100797279</c:v>
                </c:pt>
                <c:pt idx="291">
                  <c:v>1130.04287373265</c:v>
                </c:pt>
                <c:pt idx="292">
                  <c:v>145.475883512529</c:v>
                </c:pt>
                <c:pt idx="293">
                  <c:v>25.5623702827321</c:v>
                </c:pt>
                <c:pt idx="294">
                  <c:v>68.0478484704688</c:v>
                </c:pt>
                <c:pt idx="295">
                  <c:v>4272.4609375</c:v>
                </c:pt>
                <c:pt idx="296">
                  <c:v>214.180849309475</c:v>
                </c:pt>
                <c:pt idx="297">
                  <c:v>714.505931971383</c:v>
                </c:pt>
                <c:pt idx="298">
                  <c:v>25.3552546267523</c:v>
                </c:pt>
                <c:pt idx="299">
                  <c:v>162.853046172107</c:v>
                </c:pt>
                <c:pt idx="300">
                  <c:v>631.150194856217</c:v>
                </c:pt>
                <c:pt idx="301">
                  <c:v>12.7095996557091</c:v>
                </c:pt>
                <c:pt idx="302">
                  <c:v>461.856372236134</c:v>
                </c:pt>
                <c:pt idx="303">
                  <c:v>5.82598661482923</c:v>
                </c:pt>
                <c:pt idx="304">
                  <c:v>44.400898597221</c:v>
                </c:pt>
                <c:pt idx="305">
                  <c:v>67.1590071031489</c:v>
                </c:pt>
                <c:pt idx="306">
                  <c:v>15.4406819303582</c:v>
                </c:pt>
                <c:pt idx="307">
                  <c:v>17.6511893264471</c:v>
                </c:pt>
                <c:pt idx="308">
                  <c:v>117.163970356836</c:v>
                </c:pt>
                <c:pt idx="309">
                  <c:v>12.8037724364029</c:v>
                </c:pt>
                <c:pt idx="310">
                  <c:v>240.112714269851</c:v>
                </c:pt>
                <c:pt idx="311">
                  <c:v>79.761061882511</c:v>
                </c:pt>
                <c:pt idx="312">
                  <c:v>80.5048648910252</c:v>
                </c:pt>
                <c:pt idx="313">
                  <c:v>11.6347057400447</c:v>
                </c:pt>
                <c:pt idx="314">
                  <c:v>9.22538313628786</c:v>
                </c:pt>
                <c:pt idx="315">
                  <c:v>314.731317606689</c:v>
                </c:pt>
                <c:pt idx="316">
                  <c:v>211.636860077339</c:v>
                </c:pt>
                <c:pt idx="317">
                  <c:v>0.606176518609623</c:v>
                </c:pt>
                <c:pt idx="318">
                  <c:v>202.753917802422</c:v>
                </c:pt>
                <c:pt idx="319">
                  <c:v>36.7139459410685</c:v>
                </c:pt>
                <c:pt idx="320">
                  <c:v>18.6951151988299</c:v>
                </c:pt>
                <c:pt idx="321">
                  <c:v>77.9065061440264</c:v>
                </c:pt>
                <c:pt idx="322">
                  <c:v>245.543535083724</c:v>
                </c:pt>
                <c:pt idx="323">
                  <c:v>480.915786462858</c:v>
                </c:pt>
                <c:pt idx="324">
                  <c:v>19.2757744130333</c:v>
                </c:pt>
                <c:pt idx="325">
                  <c:v>9.29872473463352</c:v>
                </c:pt>
                <c:pt idx="326">
                  <c:v>46.1371179611056</c:v>
                </c:pt>
                <c:pt idx="327">
                  <c:v>4.00887077676131</c:v>
                </c:pt>
                <c:pt idx="328">
                  <c:v>1.41396564234121</c:v>
                </c:pt>
                <c:pt idx="329">
                  <c:v>11.9593840585132</c:v>
                </c:pt>
                <c:pt idx="330">
                  <c:v>31.8203616542029</c:v>
                </c:pt>
                <c:pt idx="331">
                  <c:v>54.8380308326619</c:v>
                </c:pt>
                <c:pt idx="332">
                  <c:v>108.16845349756</c:v>
                </c:pt>
                <c:pt idx="333">
                  <c:v>30.5379166737104</c:v>
                </c:pt>
                <c:pt idx="334">
                  <c:v>8.94328250723819</c:v>
                </c:pt>
                <c:pt idx="335">
                  <c:v>48.0398167330602</c:v>
                </c:pt>
                <c:pt idx="336">
                  <c:v>18.5546875</c:v>
                </c:pt>
                <c:pt idx="337">
                  <c:v>52.8457357202702</c:v>
                </c:pt>
                <c:pt idx="338">
                  <c:v>31.8910916983521</c:v>
                </c:pt>
                <c:pt idx="339">
                  <c:v>23.3778537023108</c:v>
                </c:pt>
                <c:pt idx="340">
                  <c:v>420.665901488172</c:v>
                </c:pt>
                <c:pt idx="341">
                  <c:v>91.5507784361996</c:v>
                </c:pt>
                <c:pt idx="342">
                  <c:v>2484.23227519634</c:v>
                </c:pt>
                <c:pt idx="343">
                  <c:v>36.5912337805547</c:v>
                </c:pt>
                <c:pt idx="344">
                  <c:v>30.7700178046729</c:v>
                </c:pt>
                <c:pt idx="345">
                  <c:v>30.6001487848751</c:v>
                </c:pt>
                <c:pt idx="346">
                  <c:v>6.76184150044711</c:v>
                </c:pt>
                <c:pt idx="347">
                  <c:v>6.80430936672988</c:v>
                </c:pt>
                <c:pt idx="348">
                  <c:v>326.81711025924</c:v>
                </c:pt>
                <c:pt idx="349">
                  <c:v>4691.02780984027</c:v>
                </c:pt>
                <c:pt idx="350">
                  <c:v>351.917163584684</c:v>
                </c:pt>
                <c:pt idx="351">
                  <c:v>61.4713394994654</c:v>
                </c:pt>
                <c:pt idx="352">
                  <c:v>39.9656896113988</c:v>
                </c:pt>
                <c:pt idx="353">
                  <c:v>2.22715043153406</c:v>
                </c:pt>
                <c:pt idx="354">
                  <c:v>6.41493787632576</c:v>
                </c:pt>
                <c:pt idx="355">
                  <c:v>269.623550543367</c:v>
                </c:pt>
                <c:pt idx="356">
                  <c:v>41.4550221810531</c:v>
                </c:pt>
                <c:pt idx="357">
                  <c:v>37.9744527476232</c:v>
                </c:pt>
                <c:pt idx="358">
                  <c:v>78.6</c:v>
                </c:pt>
                <c:pt idx="359">
                  <c:v>67</c:v>
                </c:pt>
                <c:pt idx="360">
                  <c:v>27.5882571189252</c:v>
                </c:pt>
                <c:pt idx="361">
                  <c:v>31.9359309887993</c:v>
                </c:pt>
                <c:pt idx="362">
                  <c:v>34.5738100853196</c:v>
                </c:pt>
                <c:pt idx="363">
                  <c:v>16.3255336722681</c:v>
                </c:pt>
                <c:pt idx="364">
                  <c:v>45.5538754300175</c:v>
                </c:pt>
                <c:pt idx="365">
                  <c:v>20.3562548295359</c:v>
                </c:pt>
                <c:pt idx="366">
                  <c:v>17.9908962568276</c:v>
                </c:pt>
                <c:pt idx="367">
                  <c:v>4.43273301250898</c:v>
                </c:pt>
                <c:pt idx="368">
                  <c:v>6.70228957241944</c:v>
                </c:pt>
                <c:pt idx="369">
                  <c:v>4.12016631624</c:v>
                </c:pt>
                <c:pt idx="370">
                  <c:v>9.45797804582577</c:v>
                </c:pt>
                <c:pt idx="371">
                  <c:v>5.48321922947465</c:v>
                </c:pt>
                <c:pt idx="372">
                  <c:v>101.145981173258</c:v>
                </c:pt>
                <c:pt idx="373">
                  <c:v>40.0727072656582</c:v>
                </c:pt>
                <c:pt idx="374">
                  <c:v>86.0888422046738</c:v>
                </c:pt>
                <c:pt idx="375">
                  <c:v>1219.10992758942</c:v>
                </c:pt>
                <c:pt idx="376">
                  <c:v>27.34375</c:v>
                </c:pt>
                <c:pt idx="377">
                  <c:v>74.6250192287946</c:v>
                </c:pt>
                <c:pt idx="378">
                  <c:v>16.5221740183577</c:v>
                </c:pt>
                <c:pt idx="379">
                  <c:v>1.83028207362329</c:v>
                </c:pt>
                <c:pt idx="380">
                  <c:v>3.67781417358611</c:v>
                </c:pt>
                <c:pt idx="381">
                  <c:v>4.31028219417788</c:v>
                </c:pt>
                <c:pt idx="382">
                  <c:v>28.2405418052754</c:v>
                </c:pt>
                <c:pt idx="383">
                  <c:v>50.2607288172472</c:v>
                </c:pt>
                <c:pt idx="384">
                  <c:v>203.499532997993</c:v>
                </c:pt>
                <c:pt idx="385">
                  <c:v>26.7320668113624</c:v>
                </c:pt>
                <c:pt idx="386">
                  <c:v>35.0261416542129</c:v>
                </c:pt>
                <c:pt idx="387">
                  <c:v>33.4185820221085</c:v>
                </c:pt>
                <c:pt idx="388">
                  <c:v>151.011314016813</c:v>
                </c:pt>
                <c:pt idx="389">
                  <c:v>10000000000</c:v>
                </c:pt>
                <c:pt idx="390">
                  <c:v>10.2104725127432</c:v>
                </c:pt>
                <c:pt idx="391">
                  <c:v>101.473066903294</c:v>
                </c:pt>
                <c:pt idx="392">
                  <c:v>91.7638062805708</c:v>
                </c:pt>
              </c:numCache>
            </c:numRef>
          </c:yVal>
          <c:smooth val="0"/>
        </c:ser>
        <c:ser>
          <c:idx val="3"/>
          <c:order val="3"/>
          <c:tx>
            <c:strRef>
              <c:f>"VLSI 1997-2022"</c:f>
              <c:strCache>
                <c:ptCount val="1"/>
                <c:pt idx="0">
                  <c:v>VLSI 1997-2022</c:v>
                </c:pt>
              </c:strCache>
            </c:strRef>
          </c:tx>
          <c:spPr>
            <a:solidFill>
              <a:srgbClr val="000000"/>
            </a:solidFill>
            <a:ln w="28440">
              <a:noFill/>
            </a:ln>
          </c:spPr>
          <c:marker>
            <c:symbol val="x"/>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VLSI!$AB$2:$AB$256</c:f>
              <c:numCache>
                <c:formatCode>General</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10666666.6666667</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VLSI!$AF$2:$AF$256</c:f>
              <c:numCache>
                <c:formatCode>General</c:formatCode>
                <c:ptCount val="255"/>
                <c:pt idx="0">
                  <c:v>5289.397683028</c:v>
                </c:pt>
                <c:pt idx="1">
                  <c:v>120228.946615714</c:v>
                </c:pt>
                <c:pt idx="2">
                  <c:v>3661.70831885598</c:v>
                </c:pt>
                <c:pt idx="3">
                  <c:v>15068.3439571763</c:v>
                </c:pt>
                <c:pt idx="4">
                  <c:v>119873.378448162</c:v>
                </c:pt>
                <c:pt idx="5">
                  <c:v>13077.9041603375</c:v>
                </c:pt>
                <c:pt idx="6">
                  <c:v>10349.0823188305</c:v>
                </c:pt>
                <c:pt idx="7">
                  <c:v>15498.2244731338</c:v>
                </c:pt>
                <c:pt idx="8">
                  <c:v>3850.88128176616</c:v>
                </c:pt>
                <c:pt idx="9">
                  <c:v>3943.66099170605</c:v>
                </c:pt>
                <c:pt idx="10">
                  <c:v>10526.6731486108</c:v>
                </c:pt>
                <c:pt idx="11">
                  <c:v>4129.86447168553</c:v>
                </c:pt>
                <c:pt idx="12">
                  <c:v>6430.66676242157</c:v>
                </c:pt>
                <c:pt idx="13">
                  <c:v>6037.98952790366</c:v>
                </c:pt>
                <c:pt idx="14">
                  <c:v>3955.2837352341</c:v>
                </c:pt>
                <c:pt idx="15">
                  <c:v>19587.4198403654</c:v>
                </c:pt>
                <c:pt idx="16">
                  <c:v>9520.79061021184</c:v>
                </c:pt>
                <c:pt idx="17">
                  <c:v>1253.08981516337</c:v>
                </c:pt>
                <c:pt idx="18">
                  <c:v>1980.63457935033</c:v>
                </c:pt>
                <c:pt idx="19">
                  <c:v>1939.23341857672</c:v>
                </c:pt>
                <c:pt idx="20">
                  <c:v>870.551992905127</c:v>
                </c:pt>
                <c:pt idx="21">
                  <c:v>3181.20477035393</c:v>
                </c:pt>
                <c:pt idx="22">
                  <c:v>28430.9747805922</c:v>
                </c:pt>
                <c:pt idx="23">
                  <c:v>40263.0296718621</c:v>
                </c:pt>
                <c:pt idx="24">
                  <c:v>45499.9988973888</c:v>
                </c:pt>
                <c:pt idx="25">
                  <c:v>9581.52181465368</c:v>
                </c:pt>
                <c:pt idx="26">
                  <c:v>4223.07269984196</c:v>
                </c:pt>
                <c:pt idx="27">
                  <c:v>7796.08531652948</c:v>
                </c:pt>
                <c:pt idx="28">
                  <c:v>979.83230592719</c:v>
                </c:pt>
                <c:pt idx="29">
                  <c:v>6529.13994678845</c:v>
                </c:pt>
                <c:pt idx="30">
                  <c:v>713.675406714752</c:v>
                </c:pt>
                <c:pt idx="31">
                  <c:v>360.414300369033</c:v>
                </c:pt>
                <c:pt idx="32">
                  <c:v>10000000000</c:v>
                </c:pt>
                <c:pt idx="33">
                  <c:v>11935.4833633876</c:v>
                </c:pt>
                <c:pt idx="34">
                  <c:v>11381.5341933314</c:v>
                </c:pt>
                <c:pt idx="35">
                  <c:v>2151.61773491118</c:v>
                </c:pt>
                <c:pt idx="36">
                  <c:v>622.669932270819</c:v>
                </c:pt>
                <c:pt idx="37">
                  <c:v>939.801831944799</c:v>
                </c:pt>
                <c:pt idx="38">
                  <c:v>1939.67844683372</c:v>
                </c:pt>
                <c:pt idx="39">
                  <c:v>3318.48734379436</c:v>
                </c:pt>
                <c:pt idx="40">
                  <c:v>3089.74930681934</c:v>
                </c:pt>
                <c:pt idx="41">
                  <c:v>5468.24927620918</c:v>
                </c:pt>
                <c:pt idx="42">
                  <c:v>3836.47710582759</c:v>
                </c:pt>
                <c:pt idx="43">
                  <c:v>736.309605632803</c:v>
                </c:pt>
                <c:pt idx="44">
                  <c:v>1356.48605567474</c:v>
                </c:pt>
                <c:pt idx="45">
                  <c:v>833.708022967878</c:v>
                </c:pt>
                <c:pt idx="46">
                  <c:v>1649.79322613647</c:v>
                </c:pt>
                <c:pt idx="47">
                  <c:v>746604.866152038</c:v>
                </c:pt>
                <c:pt idx="48">
                  <c:v>600</c:v>
                </c:pt>
                <c:pt idx="49">
                  <c:v>946.262089764691</c:v>
                </c:pt>
                <c:pt idx="50">
                  <c:v>462.029999070756</c:v>
                </c:pt>
                <c:pt idx="51">
                  <c:v>2239.96085733442</c:v>
                </c:pt>
                <c:pt idx="52">
                  <c:v>1213.76724091338</c:v>
                </c:pt>
                <c:pt idx="53">
                  <c:v>388.830062710726</c:v>
                </c:pt>
                <c:pt idx="54">
                  <c:v>1107.89075711079</c:v>
                </c:pt>
                <c:pt idx="55">
                  <c:v>2317.61230117673</c:v>
                </c:pt>
                <c:pt idx="56">
                  <c:v>303.2235344858</c:v>
                </c:pt>
                <c:pt idx="57">
                  <c:v>1976.19679518312</c:v>
                </c:pt>
                <c:pt idx="58">
                  <c:v>2250.9319302289</c:v>
                </c:pt>
                <c:pt idx="59">
                  <c:v>1174.84627011419</c:v>
                </c:pt>
                <c:pt idx="60">
                  <c:v>2830.21744318295</c:v>
                </c:pt>
                <c:pt idx="61">
                  <c:v>967.386430763547</c:v>
                </c:pt>
                <c:pt idx="62">
                  <c:v>380.743310791985</c:v>
                </c:pt>
                <c:pt idx="63">
                  <c:v>168.125981625092</c:v>
                </c:pt>
                <c:pt idx="64">
                  <c:v>1968.01905044319</c:v>
                </c:pt>
                <c:pt idx="65">
                  <c:v>4561.735381519</c:v>
                </c:pt>
                <c:pt idx="66">
                  <c:v>378.516368043197</c:v>
                </c:pt>
                <c:pt idx="67">
                  <c:v>810.549466774326</c:v>
                </c:pt>
                <c:pt idx="68">
                  <c:v>908.915648672551</c:v>
                </c:pt>
                <c:pt idx="69">
                  <c:v>1016.67782087972</c:v>
                </c:pt>
                <c:pt idx="70">
                  <c:v>145.265868170607</c:v>
                </c:pt>
                <c:pt idx="71">
                  <c:v>499.938360310289</c:v>
                </c:pt>
                <c:pt idx="72">
                  <c:v>283.525778273049</c:v>
                </c:pt>
                <c:pt idx="73">
                  <c:v>347.430897842443</c:v>
                </c:pt>
                <c:pt idx="74">
                  <c:v>244.106300747769</c:v>
                </c:pt>
                <c:pt idx="75">
                  <c:v>233.971959945037</c:v>
                </c:pt>
                <c:pt idx="76">
                  <c:v>562.14648569803</c:v>
                </c:pt>
                <c:pt idx="77">
                  <c:v>748.058525807739</c:v>
                </c:pt>
                <c:pt idx="78">
                  <c:v>28.2837830983768</c:v>
                </c:pt>
                <c:pt idx="79">
                  <c:v>147.601428783239</c:v>
                </c:pt>
                <c:pt idx="80">
                  <c:v>281.170913795924</c:v>
                </c:pt>
                <c:pt idx="81">
                  <c:v>32.4850884983787</c:v>
                </c:pt>
                <c:pt idx="82">
                  <c:v>473.639148867604</c:v>
                </c:pt>
                <c:pt idx="83">
                  <c:v>494.41845574073</c:v>
                </c:pt>
                <c:pt idx="84">
                  <c:v>2952.92832275498</c:v>
                </c:pt>
                <c:pt idx="85">
                  <c:v>349.839414597925</c:v>
                </c:pt>
                <c:pt idx="86">
                  <c:v>680.296490754367</c:v>
                </c:pt>
                <c:pt idx="87">
                  <c:v>504.200688829947</c:v>
                </c:pt>
                <c:pt idx="88">
                  <c:v>195.829258195523</c:v>
                </c:pt>
                <c:pt idx="89">
                  <c:v>188.259157330948</c:v>
                </c:pt>
                <c:pt idx="90">
                  <c:v>327.400025659803</c:v>
                </c:pt>
                <c:pt idx="91">
                  <c:v>146.704514901632</c:v>
                </c:pt>
                <c:pt idx="92">
                  <c:v>459.39628339826</c:v>
                </c:pt>
                <c:pt idx="93">
                  <c:v>1325.0691077185</c:v>
                </c:pt>
                <c:pt idx="94">
                  <c:v>52.70911613707</c:v>
                </c:pt>
                <c:pt idx="95">
                  <c:v>51.8067185818984</c:v>
                </c:pt>
                <c:pt idx="96">
                  <c:v>11.5993710204169</c:v>
                </c:pt>
                <c:pt idx="97">
                  <c:v>24.697301834722</c:v>
                </c:pt>
                <c:pt idx="98">
                  <c:v>329.327216507767</c:v>
                </c:pt>
                <c:pt idx="99">
                  <c:v>606.4470689716</c:v>
                </c:pt>
                <c:pt idx="100">
                  <c:v>580.15634666215</c:v>
                </c:pt>
                <c:pt idx="101">
                  <c:v>11148.1359036752</c:v>
                </c:pt>
                <c:pt idx="102">
                  <c:v>112.31737071818</c:v>
                </c:pt>
                <c:pt idx="103">
                  <c:v>574.914686437092</c:v>
                </c:pt>
                <c:pt idx="104">
                  <c:v>258.623792911163</c:v>
                </c:pt>
                <c:pt idx="105">
                  <c:v>460.387317127758</c:v>
                </c:pt>
                <c:pt idx="106">
                  <c:v>483.804216536407</c:v>
                </c:pt>
                <c:pt idx="107">
                  <c:v>195.852646949192</c:v>
                </c:pt>
                <c:pt idx="108">
                  <c:v>41.5</c:v>
                </c:pt>
                <c:pt idx="109">
                  <c:v>18.9344747516907</c:v>
                </c:pt>
                <c:pt idx="110">
                  <c:v>6.02647824874898</c:v>
                </c:pt>
                <c:pt idx="111">
                  <c:v>20.5923296960272</c:v>
                </c:pt>
                <c:pt idx="112">
                  <c:v>6415.33350937851</c:v>
                </c:pt>
                <c:pt idx="113">
                  <c:v>368.180529213147</c:v>
                </c:pt>
                <c:pt idx="114">
                  <c:v>364.80666705605</c:v>
                </c:pt>
                <c:pt idx="115">
                  <c:v>99.3379683514244</c:v>
                </c:pt>
                <c:pt idx="116">
                  <c:v>1432.06048094776</c:v>
                </c:pt>
                <c:pt idx="117">
                  <c:v>96.5925375942956</c:v>
                </c:pt>
                <c:pt idx="118">
                  <c:v>89.2389452691191</c:v>
                </c:pt>
                <c:pt idx="119">
                  <c:v>75.8482268101557</c:v>
                </c:pt>
                <c:pt idx="120">
                  <c:v>33.8906077546103</c:v>
                </c:pt>
                <c:pt idx="121">
                  <c:v>50.2393810563887</c:v>
                </c:pt>
                <c:pt idx="122">
                  <c:v>45.2469005549186</c:v>
                </c:pt>
                <c:pt idx="123">
                  <c:v>3.18549675228883</c:v>
                </c:pt>
                <c:pt idx="124">
                  <c:v>49.7236625412463</c:v>
                </c:pt>
                <c:pt idx="125">
                  <c:v>289.162195629365</c:v>
                </c:pt>
                <c:pt idx="126">
                  <c:v>674.148232260528</c:v>
                </c:pt>
                <c:pt idx="127">
                  <c:v>201.216377598818</c:v>
                </c:pt>
                <c:pt idx="128">
                  <c:v>46.6043733783958</c:v>
                </c:pt>
                <c:pt idx="129">
                  <c:v>303.922606661795</c:v>
                </c:pt>
                <c:pt idx="130">
                  <c:v>259.634487440245</c:v>
                </c:pt>
                <c:pt idx="131">
                  <c:v>137.815003997943</c:v>
                </c:pt>
                <c:pt idx="132">
                  <c:v>101.256848654169</c:v>
                </c:pt>
                <c:pt idx="133">
                  <c:v>358.373493730671</c:v>
                </c:pt>
                <c:pt idx="134">
                  <c:v>29.0330258216705</c:v>
                </c:pt>
                <c:pt idx="135">
                  <c:v>61.2923874471208</c:v>
                </c:pt>
                <c:pt idx="136">
                  <c:v>92.7661670224512</c:v>
                </c:pt>
                <c:pt idx="137">
                  <c:v>71.3530083205393</c:v>
                </c:pt>
                <c:pt idx="138">
                  <c:v>68.9302546024651</c:v>
                </c:pt>
                <c:pt idx="139">
                  <c:v>59.3340135453442</c:v>
                </c:pt>
                <c:pt idx="140">
                  <c:v>16.767564279274</c:v>
                </c:pt>
                <c:pt idx="141">
                  <c:v>11.3596418586401</c:v>
                </c:pt>
                <c:pt idx="142">
                  <c:v>433.658062133228</c:v>
                </c:pt>
                <c:pt idx="143">
                  <c:v>87.7267425104543</c:v>
                </c:pt>
                <c:pt idx="144">
                  <c:v>2.02223297209633</c:v>
                </c:pt>
                <c:pt idx="145">
                  <c:v>61.4723779039831</c:v>
                </c:pt>
                <c:pt idx="146">
                  <c:v>85.7863449368541</c:v>
                </c:pt>
                <c:pt idx="147">
                  <c:v>293.409029803264</c:v>
                </c:pt>
                <c:pt idx="148">
                  <c:v>74.1788835785775</c:v>
                </c:pt>
                <c:pt idx="149">
                  <c:v>678.192553199499</c:v>
                </c:pt>
                <c:pt idx="150">
                  <c:v>135.111858661223</c:v>
                </c:pt>
                <c:pt idx="151">
                  <c:v>7.9137574687292</c:v>
                </c:pt>
                <c:pt idx="152">
                  <c:v>30.5327474853683</c:v>
                </c:pt>
                <c:pt idx="153">
                  <c:v>43.2279279996473</c:v>
                </c:pt>
                <c:pt idx="154">
                  <c:v>20.6084389042864</c:v>
                </c:pt>
                <c:pt idx="155">
                  <c:v>6.63676329355462</c:v>
                </c:pt>
                <c:pt idx="156">
                  <c:v>29.5828400486008</c:v>
                </c:pt>
                <c:pt idx="157">
                  <c:v>14.8770571659814</c:v>
                </c:pt>
                <c:pt idx="158">
                  <c:v>8.2816880825827</c:v>
                </c:pt>
                <c:pt idx="159">
                  <c:v>141.059859754657</c:v>
                </c:pt>
                <c:pt idx="160">
                  <c:v>3.67223713029736</c:v>
                </c:pt>
                <c:pt idx="161">
                  <c:v>557.250350410809</c:v>
                </c:pt>
                <c:pt idx="162">
                  <c:v>105.810552538052</c:v>
                </c:pt>
                <c:pt idx="163">
                  <c:v>175.811090822828</c:v>
                </c:pt>
                <c:pt idx="164">
                  <c:v>75.6721503478507</c:v>
                </c:pt>
                <c:pt idx="165">
                  <c:v>80.1675341224359</c:v>
                </c:pt>
                <c:pt idx="166">
                  <c:v>36.2864719993014</c:v>
                </c:pt>
                <c:pt idx="167">
                  <c:v>27.4691006767905</c:v>
                </c:pt>
                <c:pt idx="168">
                  <c:v>36.5001582432018</c:v>
                </c:pt>
                <c:pt idx="169">
                  <c:v>173.432057208662</c:v>
                </c:pt>
                <c:pt idx="170">
                  <c:v>142.999472721196</c:v>
                </c:pt>
                <c:pt idx="171">
                  <c:v>305.89512116846</c:v>
                </c:pt>
                <c:pt idx="172">
                  <c:v>20.6370021898757</c:v>
                </c:pt>
                <c:pt idx="173">
                  <c:v>56.5382466369121</c:v>
                </c:pt>
                <c:pt idx="174">
                  <c:v>325.725542022439</c:v>
                </c:pt>
                <c:pt idx="175">
                  <c:v>282.8644840602</c:v>
                </c:pt>
                <c:pt idx="176">
                  <c:v>517.191661180197</c:v>
                </c:pt>
                <c:pt idx="177">
                  <c:v>16.2146009006028</c:v>
                </c:pt>
                <c:pt idx="178">
                  <c:v>20.3689523421725</c:v>
                </c:pt>
                <c:pt idx="179">
                  <c:v>14.0862476743047</c:v>
                </c:pt>
                <c:pt idx="180">
                  <c:v>0.44253395302555</c:v>
                </c:pt>
                <c:pt idx="181">
                  <c:v>382.500461633844</c:v>
                </c:pt>
                <c:pt idx="182">
                  <c:v>41.6275514656206</c:v>
                </c:pt>
                <c:pt idx="183">
                  <c:v>19.1624930788006</c:v>
                </c:pt>
                <c:pt idx="184">
                  <c:v>708.724761428278</c:v>
                </c:pt>
                <c:pt idx="185">
                  <c:v>48.9617975361937</c:v>
                </c:pt>
                <c:pt idx="186">
                  <c:v>19.8525820389291</c:v>
                </c:pt>
                <c:pt idx="187">
                  <c:v>576.621996829965</c:v>
                </c:pt>
                <c:pt idx="188">
                  <c:v>63.2223306099088</c:v>
                </c:pt>
                <c:pt idx="189">
                  <c:v>9.17381020750175</c:v>
                </c:pt>
                <c:pt idx="190">
                  <c:v>21.722409498577</c:v>
                </c:pt>
                <c:pt idx="191">
                  <c:v>44.3471116495112</c:v>
                </c:pt>
                <c:pt idx="192">
                  <c:v>6.15703857001364</c:v>
                </c:pt>
                <c:pt idx="193">
                  <c:v>20.6018255075929</c:v>
                </c:pt>
                <c:pt idx="194">
                  <c:v>33.3262839317374</c:v>
                </c:pt>
                <c:pt idx="195">
                  <c:v>1.09447198009087</c:v>
                </c:pt>
                <c:pt idx="196">
                  <c:v>88.8827792560876</c:v>
                </c:pt>
                <c:pt idx="197">
                  <c:v>12.7820423561835</c:v>
                </c:pt>
                <c:pt idx="198">
                  <c:v>19.895849240793</c:v>
                </c:pt>
                <c:pt idx="199">
                  <c:v>69.4186827552845</c:v>
                </c:pt>
                <c:pt idx="200">
                  <c:v>156.923412231971</c:v>
                </c:pt>
                <c:pt idx="201">
                  <c:v>118.575584457521</c:v>
                </c:pt>
                <c:pt idx="202">
                  <c:v>17.7434724943606</c:v>
                </c:pt>
                <c:pt idx="203">
                  <c:v>2.40395433794562</c:v>
                </c:pt>
                <c:pt idx="204">
                  <c:v>16.6643654120644</c:v>
                </c:pt>
                <c:pt idx="205">
                  <c:v>25.0294816465789</c:v>
                </c:pt>
                <c:pt idx="206">
                  <c:v>221.62195549335</c:v>
                </c:pt>
                <c:pt idx="207">
                  <c:v>34.1827954129352</c:v>
                </c:pt>
                <c:pt idx="208">
                  <c:v>17.1465192031846</c:v>
                </c:pt>
                <c:pt idx="209">
                  <c:v>30.7536813991115</c:v>
                </c:pt>
                <c:pt idx="210">
                  <c:v>400.95644595636</c:v>
                </c:pt>
                <c:pt idx="211">
                  <c:v>153.394297449991</c:v>
                </c:pt>
                <c:pt idx="212">
                  <c:v>1082.52320044452</c:v>
                </c:pt>
                <c:pt idx="213">
                  <c:v>98.0671429051934</c:v>
                </c:pt>
                <c:pt idx="214">
                  <c:v>12.22395648968</c:v>
                </c:pt>
                <c:pt idx="215">
                  <c:v>484.93505735692</c:v>
                </c:pt>
                <c:pt idx="216">
                  <c:v>18.7384626384972</c:v>
                </c:pt>
                <c:pt idx="217">
                  <c:v>0.353518007086617</c:v>
                </c:pt>
                <c:pt idx="218">
                  <c:v>26.6805700054995</c:v>
                </c:pt>
                <c:pt idx="219">
                  <c:v>150.50267852654</c:v>
                </c:pt>
                <c:pt idx="220">
                  <c:v>90.4496930414226</c:v>
                </c:pt>
                <c:pt idx="221">
                  <c:v>392.404790551465</c:v>
                </c:pt>
                <c:pt idx="222">
                  <c:v>17.565144824846</c:v>
                </c:pt>
                <c:pt idx="223">
                  <c:v>6.52653398809586</c:v>
                </c:pt>
                <c:pt idx="224">
                  <c:v>222.226326251297</c:v>
                </c:pt>
                <c:pt idx="225">
                  <c:v>14.1298905774783</c:v>
                </c:pt>
                <c:pt idx="226">
                  <c:v>26.233502665908</c:v>
                </c:pt>
                <c:pt idx="227">
                  <c:v>16.6365171448621</c:v>
                </c:pt>
                <c:pt idx="228">
                  <c:v>63.660610692481</c:v>
                </c:pt>
                <c:pt idx="229">
                  <c:v>140.02053788081</c:v>
                </c:pt>
                <c:pt idx="230">
                  <c:v>24.2477473512578</c:v>
                </c:pt>
                <c:pt idx="231">
                  <c:v>7.43840291665939</c:v>
                </c:pt>
                <c:pt idx="232">
                  <c:v>50.4048765064021</c:v>
                </c:pt>
                <c:pt idx="233">
                  <c:v>254.012381233563</c:v>
                </c:pt>
                <c:pt idx="234">
                  <c:v>36.3784757623317</c:v>
                </c:pt>
                <c:pt idx="235">
                  <c:v>23.6782613902798</c:v>
                </c:pt>
                <c:pt idx="236">
                  <c:v>1090.07544710552</c:v>
                </c:pt>
                <c:pt idx="237">
                  <c:v>5.25879663371927</c:v>
                </c:pt>
                <c:pt idx="238">
                  <c:v>90.8623513110174</c:v>
                </c:pt>
                <c:pt idx="239">
                  <c:v>30.1773337016912</c:v>
                </c:pt>
                <c:pt idx="240">
                  <c:v>25.5278727072451</c:v>
                </c:pt>
                <c:pt idx="241">
                  <c:v>323.631814173187</c:v>
                </c:pt>
                <c:pt idx="242">
                  <c:v>119.823293056796</c:v>
                </c:pt>
                <c:pt idx="243">
                  <c:v>20.8416518077633</c:v>
                </c:pt>
                <c:pt idx="244">
                  <c:v>148.622465455244</c:v>
                </c:pt>
                <c:pt idx="245">
                  <c:v>18.0321439101068</c:v>
                </c:pt>
                <c:pt idx="246">
                  <c:v>6.33100597498336</c:v>
                </c:pt>
                <c:pt idx="247">
                  <c:v>2.17744835118006</c:v>
                </c:pt>
                <c:pt idx="248">
                  <c:v>9.86083249688105</c:v>
                </c:pt>
                <c:pt idx="249">
                  <c:v>11.258960254708</c:v>
                </c:pt>
                <c:pt idx="250">
                  <c:v>307.508651920962</c:v>
                </c:pt>
                <c:pt idx="251">
                  <c:v>120.190060193193</c:v>
                </c:pt>
                <c:pt idx="252">
                  <c:v>24.3325195993387</c:v>
                </c:pt>
                <c:pt idx="253">
                  <c:v>304.543699255976</c:v>
                </c:pt>
                <c:pt idx="254">
                  <c:v>34.3177242818734</c:v>
                </c:pt>
              </c:numCache>
            </c:numRef>
          </c:yVal>
          <c:smooth val="0"/>
        </c:ser>
        <c:ser>
          <c:idx val="4"/>
          <c:order val="4"/>
          <c:tx>
            <c:strRef>
              <c:f>"Envelope"</c:f>
              <c:strCache>
                <c:ptCount val="1"/>
                <c:pt idx="0">
                  <c:v>Envelope</c:v>
                </c:pt>
              </c:strCache>
            </c:strRef>
          </c:tx>
          <c:spPr>
            <a:solidFill>
              <a:srgbClr val="000000"/>
            </a:solidFill>
            <a:ln w="38160">
              <a:solidFill>
                <a:srgbClr val="000000"/>
              </a:solidFill>
              <a:prstDash val="sysDash"/>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lines'!$B$65:$B$165</c:f>
              <c:numCache>
                <c:formatCode>General</c:formatCode>
                <c:ptCount val="101"/>
                <c:pt idx="0">
                  <c:v>100</c:v>
                </c:pt>
                <c:pt idx="1">
                  <c:v>125.892541179417</c:v>
                </c:pt>
                <c:pt idx="2">
                  <c:v>158.489319246111</c:v>
                </c:pt>
                <c:pt idx="3">
                  <c:v>199.526231496888</c:v>
                </c:pt>
                <c:pt idx="4">
                  <c:v>251.188643150958</c:v>
                </c:pt>
                <c:pt idx="5">
                  <c:v>316.227766016838</c:v>
                </c:pt>
                <c:pt idx="6">
                  <c:v>398.107170553497</c:v>
                </c:pt>
                <c:pt idx="7">
                  <c:v>501.187233627272</c:v>
                </c:pt>
                <c:pt idx="8">
                  <c:v>630.957344480193</c:v>
                </c:pt>
                <c:pt idx="9">
                  <c:v>794.328234724281</c:v>
                </c:pt>
                <c:pt idx="10">
                  <c:v>1000</c:v>
                </c:pt>
                <c:pt idx="11">
                  <c:v>1258.92541179417</c:v>
                </c:pt>
                <c:pt idx="12">
                  <c:v>1584.89319246111</c:v>
                </c:pt>
                <c:pt idx="13">
                  <c:v>1995.26231496888</c:v>
                </c:pt>
                <c:pt idx="14">
                  <c:v>2511.88643150958</c:v>
                </c:pt>
                <c:pt idx="15">
                  <c:v>3162.27766016838</c:v>
                </c:pt>
                <c:pt idx="16">
                  <c:v>3981.07170553497</c:v>
                </c:pt>
                <c:pt idx="17">
                  <c:v>5011.87233627272</c:v>
                </c:pt>
                <c:pt idx="18">
                  <c:v>6309.57344480193</c:v>
                </c:pt>
                <c:pt idx="19">
                  <c:v>7943.28234724281</c:v>
                </c:pt>
                <c:pt idx="20">
                  <c:v>10000</c:v>
                </c:pt>
                <c:pt idx="21">
                  <c:v>12589.2541179417</c:v>
                </c:pt>
                <c:pt idx="22">
                  <c:v>15848.9319246111</c:v>
                </c:pt>
                <c:pt idx="23">
                  <c:v>19952.6231496888</c:v>
                </c:pt>
                <c:pt idx="24">
                  <c:v>25118.8643150958</c:v>
                </c:pt>
                <c:pt idx="25">
                  <c:v>31622.7766016838</c:v>
                </c:pt>
                <c:pt idx="26">
                  <c:v>39810.7170553497</c:v>
                </c:pt>
                <c:pt idx="27">
                  <c:v>50118.7233627272</c:v>
                </c:pt>
                <c:pt idx="28">
                  <c:v>63095.7344480193</c:v>
                </c:pt>
                <c:pt idx="29">
                  <c:v>79432.8234724282</c:v>
                </c:pt>
                <c:pt idx="30">
                  <c:v>100000</c:v>
                </c:pt>
                <c:pt idx="31">
                  <c:v>125892.541179417</c:v>
                </c:pt>
                <c:pt idx="32">
                  <c:v>158489.319246111</c:v>
                </c:pt>
                <c:pt idx="33">
                  <c:v>199526.231496888</c:v>
                </c:pt>
                <c:pt idx="34">
                  <c:v>251188.643150958</c:v>
                </c:pt>
                <c:pt idx="35">
                  <c:v>316227.766016838</c:v>
                </c:pt>
                <c:pt idx="36">
                  <c:v>398107.170553497</c:v>
                </c:pt>
                <c:pt idx="37">
                  <c:v>501187.233627272</c:v>
                </c:pt>
                <c:pt idx="38">
                  <c:v>630957.344480193</c:v>
                </c:pt>
                <c:pt idx="39">
                  <c:v>794328.234724282</c:v>
                </c:pt>
                <c:pt idx="40">
                  <c:v>1000000</c:v>
                </c:pt>
                <c:pt idx="41">
                  <c:v>1258925.41179417</c:v>
                </c:pt>
                <c:pt idx="42">
                  <c:v>1584893.19246111</c:v>
                </c:pt>
                <c:pt idx="43">
                  <c:v>1995262.31496888</c:v>
                </c:pt>
                <c:pt idx="44">
                  <c:v>2511886.43150958</c:v>
                </c:pt>
                <c:pt idx="45">
                  <c:v>3162277.66016838</c:v>
                </c:pt>
                <c:pt idx="46">
                  <c:v>3981071.70553497</c:v>
                </c:pt>
                <c:pt idx="47">
                  <c:v>5011872.33627272</c:v>
                </c:pt>
                <c:pt idx="48">
                  <c:v>6309573.44480193</c:v>
                </c:pt>
                <c:pt idx="49">
                  <c:v>7943282.34724282</c:v>
                </c:pt>
                <c:pt idx="50">
                  <c:v>10000000</c:v>
                </c:pt>
                <c:pt idx="51">
                  <c:v>12589254.1179417</c:v>
                </c:pt>
                <c:pt idx="52">
                  <c:v>15848931.9246111</c:v>
                </c:pt>
                <c:pt idx="53">
                  <c:v>19952623.1496888</c:v>
                </c:pt>
                <c:pt idx="54">
                  <c:v>25118864.3150958</c:v>
                </c:pt>
                <c:pt idx="55">
                  <c:v>31622776.6016845</c:v>
                </c:pt>
                <c:pt idx="56">
                  <c:v>39810717.0553497</c:v>
                </c:pt>
                <c:pt idx="57">
                  <c:v>50118723.3627272</c:v>
                </c:pt>
                <c:pt idx="58">
                  <c:v>63095734.4480207</c:v>
                </c:pt>
                <c:pt idx="59">
                  <c:v>79432823.47243</c:v>
                </c:pt>
                <c:pt idx="60">
                  <c:v>100000000.000002</c:v>
                </c:pt>
                <c:pt idx="61">
                  <c:v>125892541.179417</c:v>
                </c:pt>
                <c:pt idx="62">
                  <c:v>158489319.246115</c:v>
                </c:pt>
                <c:pt idx="63">
                  <c:v>199526231.496892</c:v>
                </c:pt>
                <c:pt idx="64">
                  <c:v>251188643.150963</c:v>
                </c:pt>
                <c:pt idx="65">
                  <c:v>316227766.016846</c:v>
                </c:pt>
                <c:pt idx="66">
                  <c:v>398107170.553507</c:v>
                </c:pt>
                <c:pt idx="67">
                  <c:v>501187233.627284</c:v>
                </c:pt>
                <c:pt idx="68">
                  <c:v>630957344.480207</c:v>
                </c:pt>
                <c:pt idx="69">
                  <c:v>794328234.724298</c:v>
                </c:pt>
                <c:pt idx="70">
                  <c:v>1000000000.00002</c:v>
                </c:pt>
                <c:pt idx="71">
                  <c:v>1258925411.7942</c:v>
                </c:pt>
                <c:pt idx="72">
                  <c:v>1584893192.46115</c:v>
                </c:pt>
                <c:pt idx="73">
                  <c:v>1995262314.96892</c:v>
                </c:pt>
                <c:pt idx="74">
                  <c:v>2511886431.50963</c:v>
                </c:pt>
                <c:pt idx="75">
                  <c:v>3162277660.16846</c:v>
                </c:pt>
                <c:pt idx="76">
                  <c:v>3981071705.53507</c:v>
                </c:pt>
                <c:pt idx="77">
                  <c:v>5011872336.27284</c:v>
                </c:pt>
                <c:pt idx="78">
                  <c:v>6309573444.80207</c:v>
                </c:pt>
                <c:pt idx="79">
                  <c:v>7943282347.24298</c:v>
                </c:pt>
                <c:pt idx="80">
                  <c:v>10000000000</c:v>
                </c:pt>
                <c:pt idx="81">
                  <c:v>12589254117.9417</c:v>
                </c:pt>
                <c:pt idx="82">
                  <c:v>15848931924.6111</c:v>
                </c:pt>
                <c:pt idx="83">
                  <c:v>19952623149.6888</c:v>
                </c:pt>
                <c:pt idx="84">
                  <c:v>25118864315.0958</c:v>
                </c:pt>
                <c:pt idx="85">
                  <c:v>31622776601.6838</c:v>
                </c:pt>
                <c:pt idx="86">
                  <c:v>39810717055.3497</c:v>
                </c:pt>
                <c:pt idx="87">
                  <c:v>50118723362.7272</c:v>
                </c:pt>
                <c:pt idx="88">
                  <c:v>63095734448.0194</c:v>
                </c:pt>
                <c:pt idx="89">
                  <c:v>79432823472.4282</c:v>
                </c:pt>
                <c:pt idx="90">
                  <c:v>100000000000</c:v>
                </c:pt>
                <c:pt idx="91">
                  <c:v>125892541179.417</c:v>
                </c:pt>
                <c:pt idx="92">
                  <c:v>158489319246.111</c:v>
                </c:pt>
                <c:pt idx="93">
                  <c:v>199526231496.888</c:v>
                </c:pt>
                <c:pt idx="94">
                  <c:v>251188643150.958</c:v>
                </c:pt>
                <c:pt idx="95">
                  <c:v>316227766016.838</c:v>
                </c:pt>
                <c:pt idx="96">
                  <c:v>398107170553.497</c:v>
                </c:pt>
                <c:pt idx="97">
                  <c:v>501187233627.272</c:v>
                </c:pt>
                <c:pt idx="98">
                  <c:v>630957344480.194</c:v>
                </c:pt>
                <c:pt idx="99">
                  <c:v>794328234724.282</c:v>
                </c:pt>
                <c:pt idx="100">
                  <c:v>1000000000000</c:v>
                </c:pt>
              </c:numCache>
            </c:numRef>
          </c:xVal>
          <c:yVal>
            <c:numRef>
              <c:f>'Jitter and FOM lines'!$C$65:$C$165</c:f>
              <c:numCache>
                <c:formatCode>General</c:formatCode>
                <c:ptCount val="101"/>
                <c:pt idx="0">
                  <c:v>0.669364342515239</c:v>
                </c:pt>
                <c:pt idx="1">
                  <c:v>0.669364342515245</c:v>
                </c:pt>
                <c:pt idx="2">
                  <c:v>0.669364342515255</c:v>
                </c:pt>
                <c:pt idx="3">
                  <c:v>0.669364342515271</c:v>
                </c:pt>
                <c:pt idx="4">
                  <c:v>0.669364342515296</c:v>
                </c:pt>
                <c:pt idx="5">
                  <c:v>0.669364342515335</c:v>
                </c:pt>
                <c:pt idx="6">
                  <c:v>0.669364342515398</c:v>
                </c:pt>
                <c:pt idx="7">
                  <c:v>0.669364342515497</c:v>
                </c:pt>
                <c:pt idx="8">
                  <c:v>0.669364342515654</c:v>
                </c:pt>
                <c:pt idx="9">
                  <c:v>0.669364342515903</c:v>
                </c:pt>
                <c:pt idx="10">
                  <c:v>0.669364342516297</c:v>
                </c:pt>
                <c:pt idx="11">
                  <c:v>0.669364342516922</c:v>
                </c:pt>
                <c:pt idx="12">
                  <c:v>0.669364342517913</c:v>
                </c:pt>
                <c:pt idx="13">
                  <c:v>0.669364342519483</c:v>
                </c:pt>
                <c:pt idx="14">
                  <c:v>0.669364342521972</c:v>
                </c:pt>
                <c:pt idx="15">
                  <c:v>0.669364342525916</c:v>
                </c:pt>
                <c:pt idx="16">
                  <c:v>0.669364342532167</c:v>
                </c:pt>
                <c:pt idx="17">
                  <c:v>0.669364342542074</c:v>
                </c:pt>
                <c:pt idx="18">
                  <c:v>0.669364342557776</c:v>
                </c:pt>
                <c:pt idx="19">
                  <c:v>0.669364342582662</c:v>
                </c:pt>
                <c:pt idx="20">
                  <c:v>0.669364342622104</c:v>
                </c:pt>
                <c:pt idx="21">
                  <c:v>0.669364342684615</c:v>
                </c:pt>
                <c:pt idx="22">
                  <c:v>0.669364342783687</c:v>
                </c:pt>
                <c:pt idx="23">
                  <c:v>0.669364342940707</c:v>
                </c:pt>
                <c:pt idx="24">
                  <c:v>0.669364343189567</c:v>
                </c:pt>
                <c:pt idx="25">
                  <c:v>0.669364343583983</c:v>
                </c:pt>
                <c:pt idx="26">
                  <c:v>0.66936434420909</c:v>
                </c:pt>
                <c:pt idx="27">
                  <c:v>0.669364345199819</c:v>
                </c:pt>
                <c:pt idx="28">
                  <c:v>0.669364346770017</c:v>
                </c:pt>
                <c:pt idx="29">
                  <c:v>0.669364349258614</c:v>
                </c:pt>
                <c:pt idx="30">
                  <c:v>0.669364353202775</c:v>
                </c:pt>
                <c:pt idx="31">
                  <c:v>0.669364359453849</c:v>
                </c:pt>
                <c:pt idx="32">
                  <c:v>0.669364369361132</c:v>
                </c:pt>
                <c:pt idx="33">
                  <c:v>0.669364385063118</c:v>
                </c:pt>
                <c:pt idx="34">
                  <c:v>0.669364409949087</c:v>
                </c:pt>
                <c:pt idx="35">
                  <c:v>0.66936444939069</c:v>
                </c:pt>
                <c:pt idx="36">
                  <c:v>0.669364511901411</c:v>
                </c:pt>
                <c:pt idx="37">
                  <c:v>0.669364610974217</c:v>
                </c:pt>
                <c:pt idx="38">
                  <c:v>0.669364767994002</c:v>
                </c:pt>
                <c:pt idx="39">
                  <c:v>0.669365016853514</c:v>
                </c:pt>
                <c:pt idx="40">
                  <c:v>0.669365411269073</c:v>
                </c:pt>
                <c:pt idx="41">
                  <c:v>0.66936603637513</c:v>
                </c:pt>
                <c:pt idx="42">
                  <c:v>0.669367027100268</c:v>
                </c:pt>
                <c:pt idx="43">
                  <c:v>0.669368597290792</c:v>
                </c:pt>
                <c:pt idx="44">
                  <c:v>0.66937108586752</c:v>
                </c:pt>
                <c:pt idx="45">
                  <c:v>0.669375029976883</c:v>
                </c:pt>
                <c:pt idx="46">
                  <c:v>0.66938128092136</c:v>
                </c:pt>
                <c:pt idx="47">
                  <c:v>0.669391187881138</c:v>
                </c:pt>
                <c:pt idx="48">
                  <c:v>0.669406889053913</c:v>
                </c:pt>
                <c:pt idx="49">
                  <c:v>0.669431772981413</c:v>
                </c:pt>
                <c:pt idx="50">
                  <c:v>0.669471209454106</c:v>
                </c:pt>
                <c:pt idx="51">
                  <c:v>0.66953370729308</c:v>
                </c:pt>
                <c:pt idx="52">
                  <c:v>0.66963274774432</c:v>
                </c:pt>
                <c:pt idx="53">
                  <c:v>0.669789686282781</c:v>
                </c:pt>
                <c:pt idx="54">
                  <c:v>0.670038341807982</c:v>
                </c:pt>
                <c:pt idx="55">
                  <c:v>0.670432245347607</c:v>
                </c:pt>
                <c:pt idx="56">
                  <c:v>0.671056066762358</c:v>
                </c:pt>
                <c:pt idx="57">
                  <c:v>0.672043570937547</c:v>
                </c:pt>
                <c:pt idx="58">
                  <c:v>0.673605694178923</c:v>
                </c:pt>
                <c:pt idx="59">
                  <c:v>0.676074099230487</c:v>
                </c:pt>
                <c:pt idx="60">
                  <c:v>0.679967902728317</c:v>
                </c:pt>
                <c:pt idx="61">
                  <c:v>0.686093900357719</c:v>
                </c:pt>
                <c:pt idx="62">
                  <c:v>0.695692464460632</c:v>
                </c:pt>
                <c:pt idx="63">
                  <c:v>0.71063964498548</c:v>
                </c:pt>
                <c:pt idx="64">
                  <c:v>0.733705846525398</c:v>
                </c:pt>
                <c:pt idx="65">
                  <c:v>0.768847111023943</c:v>
                </c:pt>
                <c:pt idx="66">
                  <c:v>0.821468680962998</c:v>
                </c:pt>
                <c:pt idx="67">
                  <c:v>0.89857801208102</c:v>
                </c:pt>
                <c:pt idx="68">
                  <c:v>1.00878612350354</c:v>
                </c:pt>
                <c:pt idx="69">
                  <c:v>1.16224140563736</c:v>
                </c:pt>
                <c:pt idx="70">
                  <c:v>1.37070098636466</c:v>
                </c:pt>
                <c:pt idx="71">
                  <c:v>1.64792910367931</c:v>
                </c:pt>
                <c:pt idx="72">
                  <c:v>2.01046930607686</c:v>
                </c:pt>
                <c:pt idx="73">
                  <c:v>2.47872080365164</c:v>
                </c:pt>
                <c:pt idx="74">
                  <c:v>3.0782484049377</c:v>
                </c:pt>
                <c:pt idx="75">
                  <c:v>3.84132455449065</c:v>
                </c:pt>
                <c:pt idx="76">
                  <c:v>4.80876966595982</c:v>
                </c:pt>
                <c:pt idx="77">
                  <c:v>6.03219949102268</c:v>
                </c:pt>
                <c:pt idx="78">
                  <c:v>7.57681533477467</c:v>
                </c:pt>
                <c:pt idx="79">
                  <c:v>9.52489867755755</c:v>
                </c:pt>
                <c:pt idx="80">
                  <c:v>11.9802047445794</c:v>
                </c:pt>
                <c:pt idx="81">
                  <c:v>15.0734939345616</c:v>
                </c:pt>
                <c:pt idx="82">
                  <c:v>18.9694983957839</c:v>
                </c:pt>
                <c:pt idx="83">
                  <c:v>23.8756961901735</c:v>
                </c:pt>
                <c:pt idx="84">
                  <c:v>30.0533610528017</c:v>
                </c:pt>
                <c:pt idx="85">
                  <c:v>37.8314765719388</c:v>
                </c:pt>
                <c:pt idx="86">
                  <c:v>47.6242559663179</c:v>
                </c:pt>
                <c:pt idx="87">
                  <c:v>59.9532005506728</c:v>
                </c:pt>
                <c:pt idx="88">
                  <c:v>75.4748716331957</c:v>
                </c:pt>
                <c:pt idx="89">
                  <c:v>95.0158548248309</c:v>
                </c:pt>
                <c:pt idx="90">
                  <c:v>119.616778749991</c:v>
                </c:pt>
                <c:pt idx="91">
                  <c:v>150.587732321881</c:v>
                </c:pt>
                <c:pt idx="92">
                  <c:v>189.578031757598</c:v>
                </c:pt>
                <c:pt idx="93">
                  <c:v>238.664052682565</c:v>
                </c:pt>
                <c:pt idx="94">
                  <c:v>300.459804704932</c:v>
                </c:pt>
                <c:pt idx="95">
                  <c:v>378.256136959648</c:v>
                </c:pt>
                <c:pt idx="96">
                  <c:v>476.19598782524</c:v>
                </c:pt>
                <c:pt idx="97">
                  <c:v>599.495011499879</c:v>
                </c:pt>
                <c:pt idx="98">
                  <c:v>754.719330606456</c:v>
                </c:pt>
                <c:pt idx="99">
                  <c:v>950.135206165761</c:v>
                </c:pt>
                <c:pt idx="100">
                  <c:v>1196.14924613894</c:v>
                </c:pt>
              </c:numCache>
            </c:numRef>
          </c:yVal>
          <c:smooth val="0"/>
        </c:ser>
        <c:axId val="6938898"/>
        <c:axId val="35355410"/>
      </c:scatterChart>
      <c:valAx>
        <c:axId val="6938898"/>
        <c:scaling>
          <c:logBase val="10"/>
          <c:orientation val="minMax"/>
          <c:max val="200000000000"/>
          <c:min val="10000"/>
        </c:scaling>
        <c:delete val="0"/>
        <c:axPos val="b"/>
        <c:majorGridlines>
          <c:spPr>
            <a:ln w="9360">
              <a:solidFill>
                <a:srgbClr val="878787"/>
              </a:solidFill>
              <a:round/>
            </a:ln>
          </c:spPr>
        </c:majorGridlines>
        <c:title>
          <c:tx>
            <c:rich>
              <a:bodyPr rot="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fsnyq [Hz]</a:t>
                </a:r>
              </a:p>
            </c:rich>
          </c:tx>
          <c:layout>
            <c:manualLayout>
              <c:xMode val="edge"/>
              <c:yMode val="edge"/>
              <c:x val="0.439188348064235"/>
              <c:y val="0.928125179113888"/>
            </c:manualLayout>
          </c:layout>
          <c:overlay val="0"/>
          <c:spPr>
            <a:noFill/>
            <a:ln w="25560">
              <a:noFill/>
            </a:ln>
          </c:spPr>
        </c:title>
        <c:numFmt formatCode="0.E+0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35355410"/>
        <c:crossesAt val="0.01"/>
        <c:crossBetween val="midCat"/>
      </c:valAx>
      <c:valAx>
        <c:axId val="35355410"/>
        <c:scaling>
          <c:logBase val="10"/>
          <c:orientation val="minMax"/>
          <c:max val="10000"/>
          <c:min val="0.2"/>
        </c:scaling>
        <c:delete val="0"/>
        <c:axPos val="l"/>
        <c:majorGridlines>
          <c:spPr>
            <a:ln w="3240">
              <a:solidFill>
                <a:srgbClr val="969696"/>
              </a:solidFill>
              <a:round/>
            </a:ln>
          </c:spPr>
        </c:majorGridlines>
        <c:title>
          <c:tx>
            <c:rich>
              <a:bodyPr rot="-540000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FOMW,hf [fJ/conv-step]</a:t>
                </a:r>
              </a:p>
            </c:rich>
          </c:tx>
          <c:layout>
            <c:manualLayout>
              <c:xMode val="edge"/>
              <c:yMode val="edge"/>
              <c:x val="0.00145234242084734"/>
              <c:y val="0.202556313406316"/>
            </c:manualLayout>
          </c:layout>
          <c:overlay val="0"/>
          <c:spPr>
            <a:noFill/>
            <a:ln w="25560">
              <a:noFill/>
            </a:ln>
          </c:spPr>
        </c:title>
        <c:numFmt formatCode="0.E+0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6938898"/>
        <c:crosses val="autoZero"/>
        <c:crossBetween val="midCat"/>
      </c:valAx>
      <c:spPr>
        <a:noFill/>
        <a:ln w="25560">
          <a:solidFill>
            <a:srgbClr val="000000"/>
          </a:solidFill>
          <a:round/>
        </a:ln>
      </c:spPr>
    </c:plotArea>
    <c:legend>
      <c:legendPos val="r"/>
      <c:layout>
        <c:manualLayout>
          <c:xMode val="edge"/>
          <c:yMode val="edge"/>
          <c:x val="0.733555694630251"/>
          <c:y val="0.636958330428954"/>
          <c:w val="0.200111161195639"/>
          <c:h val="0.192695626674596"/>
        </c:manualLayout>
      </c:layout>
      <c:overlay val="0"/>
      <c:spPr>
        <a:solidFill>
          <a:srgbClr val="ffffff"/>
        </a:solidFill>
        <a:ln w="3240">
          <a:solidFill>
            <a:srgbClr val="000000"/>
          </a:solidFill>
          <a:round/>
        </a:ln>
      </c:spPr>
      <c:txPr>
        <a:bodyPr/>
        <a:lstStyle/>
        <a:p>
          <a:pPr>
            <a:defRPr b="0" sz="1200"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23324619278808"/>
          <c:y val="0.0424141686249785"/>
          <c:w val="0.825013486036765"/>
          <c:h val="0.772511033415487"/>
        </c:manualLayout>
      </c:layout>
      <c:scatterChart>
        <c:scatterStyle val="lineMarker"/>
        <c:varyColors val="0"/>
        <c:ser>
          <c:idx val="0"/>
          <c:order val="0"/>
          <c:tx>
            <c:strRef>
              <c:f>"ISSCC 2023"</c:f>
              <c:strCache>
                <c:ptCount val="1"/>
                <c:pt idx="0">
                  <c:v>ISSCC 2023</c:v>
                </c:pt>
              </c:strCache>
            </c:strRef>
          </c:tx>
          <c:spPr>
            <a:solidFill>
              <a:srgbClr val="953735"/>
            </a:solidFill>
            <a:ln w="25560">
              <a:noFill/>
            </a:ln>
          </c:spPr>
          <c:marker>
            <c:symbol val="square"/>
            <c:size val="8"/>
            <c:spPr>
              <a:solidFill>
                <a:srgbClr val="953735"/>
              </a:solidFill>
            </c:spPr>
          </c:marker>
          <c:dPt>
            <c:idx val="9"/>
            <c:marker>
              <c:symbol val="x"/>
              <c:size val="8"/>
              <c:spPr>
                <a:solidFill>
                  <a:srgbClr val="953735"/>
                </a:solidFill>
              </c:spPr>
            </c:marker>
          </c:dPt>
          <c:dLbls>
            <c:dLbl>
              <c:idx val="9"/>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ISSCC!$AB$395:$AB$411</c:f>
              <c:numCache>
                <c:formatCode>General</c:formatCode>
                <c:ptCount val="17"/>
                <c:pt idx="0">
                  <c:v>1800000000</c:v>
                </c:pt>
                <c:pt idx="1">
                  <c:v>2600000000</c:v>
                </c:pt>
                <c:pt idx="2">
                  <c:v>2000000000</c:v>
                </c:pt>
                <c:pt idx="3">
                  <c:v>12000000</c:v>
                </c:pt>
                <c:pt idx="4">
                  <c:v>50000000</c:v>
                </c:pt>
                <c:pt idx="5">
                  <c:v>300000</c:v>
                </c:pt>
                <c:pt idx="6">
                  <c:v>200000000</c:v>
                </c:pt>
                <c:pt idx="7">
                  <c:v>2800000000</c:v>
                </c:pt>
                <c:pt idx="8">
                  <c:v>1250000000</c:v>
                </c:pt>
                <c:pt idx="9">
                  <c:v>24000000000</c:v>
                </c:pt>
                <c:pt idx="10">
                  <c:v>1000000000</c:v>
                </c:pt>
                <c:pt idx="11">
                  <c:v>4500000000</c:v>
                </c:pt>
                <c:pt idx="12">
                  <c:v>2700000000</c:v>
                </c:pt>
                <c:pt idx="13">
                  <c:v>10000000000</c:v>
                </c:pt>
                <c:pt idx="14">
                  <c:v>40000000000</c:v>
                </c:pt>
                <c:pt idx="15">
                  <c:v>2000</c:v>
                </c:pt>
                <c:pt idx="16">
                  <c:v>5000</c:v>
                </c:pt>
              </c:numCache>
            </c:numRef>
          </c:xVal>
          <c:yVal>
            <c:numRef>
              <c:f>ISSCC!$AH$395:$AH$411</c:f>
              <c:numCache>
                <c:formatCode>General</c:formatCode>
                <c:ptCount val="17"/>
                <c:pt idx="0">
                  <c:v>170.922955578101</c:v>
                </c:pt>
                <c:pt idx="1">
                  <c:v>161.109285520527</c:v>
                </c:pt>
                <c:pt idx="2">
                  <c:v>166.08636235841</c:v>
                </c:pt>
                <c:pt idx="3">
                  <c:v>179.336395576463</c:v>
                </c:pt>
                <c:pt idx="4">
                  <c:v>178.104439707588</c:v>
                </c:pt>
                <c:pt idx="5">
                  <c:v>181.919712763998</c:v>
                </c:pt>
                <c:pt idx="6">
                  <c:v>173.598615651886</c:v>
                </c:pt>
                <c:pt idx="7">
                  <c:v>160.696508294366</c:v>
                </c:pt>
                <c:pt idx="8">
                  <c:v>154.471264163912</c:v>
                </c:pt>
                <c:pt idx="9">
                  <c:v>148.541199826559</c:v>
                </c:pt>
                <c:pt idx="10">
                  <c:v>169.236641390712</c:v>
                </c:pt>
                <c:pt idx="11">
                  <c:v>153.682786787357</c:v>
                </c:pt>
                <c:pt idx="12">
                  <c:v>162.432125137753</c:v>
                </c:pt>
                <c:pt idx="13">
                  <c:v>148.379107421183</c:v>
                </c:pt>
                <c:pt idx="14">
                  <c:v>144.517507096021</c:v>
                </c:pt>
                <c:pt idx="15">
                  <c:v>179.419842860064</c:v>
                </c:pt>
                <c:pt idx="16">
                  <c:v>171.019366650372</c:v>
                </c:pt>
              </c:numCache>
            </c:numRef>
          </c:yVal>
          <c:smooth val="0"/>
        </c:ser>
        <c:ser>
          <c:idx val="1"/>
          <c:order val="1"/>
          <c:tx>
            <c:strRef>
              <c:f>"VLSI 2023"</c:f>
              <c:strCache>
                <c:ptCount val="1"/>
                <c:pt idx="0">
                  <c:v>VLSI 2023</c:v>
                </c:pt>
              </c:strCache>
            </c:strRef>
          </c:tx>
          <c:spPr>
            <a:solidFill>
              <a:srgbClr val="1f497d"/>
            </a:solidFill>
            <a:ln w="28440">
              <a:noFill/>
            </a:ln>
          </c:spPr>
          <c:marker>
            <c:symbol val="diamond"/>
            <c:size val="10"/>
            <c:spPr>
              <a:solidFill>
                <a:srgbClr val="1f497d"/>
              </a:solidFill>
            </c:spPr>
          </c:marker>
          <c:dPt>
            <c:idx val="2"/>
            <c:marker>
              <c:symbol val="diamond"/>
              <c:size val="10"/>
              <c:spPr>
                <a:solidFill>
                  <a:srgbClr val="1f497d"/>
                </a:solidFill>
              </c:spPr>
            </c:marker>
          </c:dPt>
          <c:dLbls>
            <c:dLbl>
              <c:idx val="2"/>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dLbl>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VLSI!$AB$257:$AB$267</c:f>
              <c:numCache>
                <c:formatCode>General</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VLSI!$AH$257:$AH$267</c:f>
              <c:numCache>
                <c:formatCode>General</c:formatCode>
                <c:ptCount val="11"/>
                <c:pt idx="0">
                  <c:v>156.197887582884</c:v>
                </c:pt>
                <c:pt idx="1">
                  <c:v>172.104849854574</c:v>
                </c:pt>
                <c:pt idx="2">
                  <c:v>162.98483405694</c:v>
                </c:pt>
                <c:pt idx="3">
                  <c:v>162</c:v>
                </c:pt>
                <c:pt idx="4">
                  <c:v>156.559153109718</c:v>
                </c:pt>
                <c:pt idx="5">
                  <c:v>179.767895565494</c:v>
                </c:pt>
                <c:pt idx="6">
                  <c:v>174.295328164842</c:v>
                </c:pt>
                <c:pt idx="7">
                  <c:v>167.665315444204</c:v>
                </c:pt>
                <c:pt idx="8">
                  <c:v>153.484847880584</c:v>
                </c:pt>
                <c:pt idx="9">
                  <c:v>172.739966563652</c:v>
                </c:pt>
                <c:pt idx="10">
                  <c:v>151.01029995664</c:v>
                </c:pt>
              </c:numCache>
            </c:numRef>
          </c:yVal>
          <c:smooth val="0"/>
        </c:ser>
        <c:ser>
          <c:idx val="2"/>
          <c:order val="2"/>
          <c:tx>
            <c:strRef>
              <c:f>"ISSCC 1997-2022"</c:f>
              <c:strCache>
                <c:ptCount val="1"/>
                <c:pt idx="0">
                  <c:v>ISSCC 1997-2022</c:v>
                </c:pt>
              </c:strCache>
            </c:strRef>
          </c:tx>
          <c:spPr>
            <a:solidFill>
              <a:srgbClr val="000000"/>
            </a:solidFill>
            <a:ln w="28440">
              <a:noFill/>
            </a:ln>
          </c:spPr>
          <c:marker>
            <c:symbol val="circl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ISSCC!$AB$2:$AB$394</c:f>
              <c:numCache>
                <c:formatCode>General</c:formatCode>
                <c:ptCount val="393"/>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c:v>
                </c:pt>
                <c:pt idx="216">
                  <c:v>20000</c:v>
                </c:pt>
                <c:pt idx="217">
                  <c:v>100000</c:v>
                </c:pt>
                <c:pt idx="218">
                  <c:v>40000000</c:v>
                </c:pt>
                <c:pt idx="219">
                  <c:v>48001920.0768031</c:v>
                </c:pt>
                <c:pt idx="220">
                  <c:v>300000075.000019</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c:v>5000000000</c:v>
                </c:pt>
                <c:pt idx="379">
                  <c:v>130000000</c:v>
                </c:pt>
                <c:pt idx="380">
                  <c:v>200000000</c:v>
                </c:pt>
                <c:pt idx="381">
                  <c:v>260000000</c:v>
                </c:pt>
                <c:pt idx="382">
                  <c:v>2000000</c:v>
                </c:pt>
                <c:pt idx="383">
                  <c:v>2702.7027027027</c:v>
                </c:pt>
                <c:pt idx="384">
                  <c:v>20000</c:v>
                </c:pt>
                <c:pt idx="385">
                  <c:v>5000</c:v>
                </c:pt>
                <c:pt idx="386">
                  <c:v>2000</c:v>
                </c:pt>
                <c:pt idx="387">
                  <c:v>40000</c:v>
                </c:pt>
                <c:pt idx="388">
                  <c:v>720000000</c:v>
                </c:pt>
                <c:pt idx="389">
                  <c:v>240000000</c:v>
                </c:pt>
                <c:pt idx="390">
                  <c:v>1000000</c:v>
                </c:pt>
                <c:pt idx="391">
                  <c:v>24000000</c:v>
                </c:pt>
                <c:pt idx="392">
                  <c:v>16000</c:v>
                </c:pt>
              </c:numCache>
            </c:numRef>
          </c:xVal>
          <c:yVal>
            <c:numRef>
              <c:f>ISSCC!$AH$2:$AH$394</c:f>
              <c:numCache>
                <c:formatCode>General</c:formatCode>
                <c:ptCount val="393"/>
                <c:pt idx="0">
                  <c:v>125.750187539524</c:v>
                </c:pt>
                <c:pt idx="1">
                  <c:v>143.208187539524</c:v>
                </c:pt>
                <c:pt idx="2">
                  <c:v>135.206910872938</c:v>
                </c:pt>
                <c:pt idx="3">
                  <c:v>128.903051183114</c:v>
                </c:pt>
                <c:pt idx="4">
                  <c:v>157.739966563652</c:v>
                </c:pt>
                <c:pt idx="5">
                  <c:v>152.565473235138</c:v>
                </c:pt>
                <c:pt idx="6">
                  <c:v>143.596373105058</c:v>
                </c:pt>
                <c:pt idx="7">
                  <c:v>139.436974992327</c:v>
                </c:pt>
                <c:pt idx="8">
                  <c:v>120.604462975322</c:v>
                </c:pt>
                <c:pt idx="9">
                  <c:v>123.870866433571</c:v>
                </c:pt>
                <c:pt idx="10">
                  <c:v>158.004276450948</c:v>
                </c:pt>
                <c:pt idx="11">
                  <c:v>165.393021596464</c:v>
                </c:pt>
                <c:pt idx="12">
                  <c:v>145.177287669604</c:v>
                </c:pt>
                <c:pt idx="13">
                  <c:v>148.02059991328</c:v>
                </c:pt>
                <c:pt idx="14">
                  <c:v>141.42059991328</c:v>
                </c:pt>
                <c:pt idx="15">
                  <c:v>130.489815478445</c:v>
                </c:pt>
                <c:pt idx="16">
                  <c:v>132.881166390211</c:v>
                </c:pt>
                <c:pt idx="17">
                  <c:v>139.757241303992</c:v>
                </c:pt>
                <c:pt idx="18">
                  <c:v>130.589332277135</c:v>
                </c:pt>
                <c:pt idx="19">
                  <c:v>119.908555305749</c:v>
                </c:pt>
                <c:pt idx="20">
                  <c:v>119.2</c:v>
                </c:pt>
                <c:pt idx="21">
                  <c:v>160.988639339075</c:v>
                </c:pt>
                <c:pt idx="22">
                  <c:v>161.447274948967</c:v>
                </c:pt>
                <c:pt idx="23">
                  <c:v>145.436974992327</c:v>
                </c:pt>
                <c:pt idx="24">
                  <c:v>128.728787452803</c:v>
                </c:pt>
                <c:pt idx="25">
                  <c:v>129.467874862247</c:v>
                </c:pt>
                <c:pt idx="26">
                  <c:v>136.917600346882</c:v>
                </c:pt>
                <c:pt idx="27">
                  <c:v>126.784754016455</c:v>
                </c:pt>
                <c:pt idx="28">
                  <c:v>139.015166390211</c:v>
                </c:pt>
                <c:pt idx="29">
                  <c:v>139.949387366083</c:v>
                </c:pt>
                <c:pt idx="30">
                  <c:v>122.828800173441</c:v>
                </c:pt>
                <c:pt idx="31">
                  <c:v>116.294260687941</c:v>
                </c:pt>
                <c:pt idx="32">
                  <c:v>151.02059991328</c:v>
                </c:pt>
                <c:pt idx="33">
                  <c:v>139.97940008672</c:v>
                </c:pt>
                <c:pt idx="34">
                  <c:v>148.784149053993</c:v>
                </c:pt>
                <c:pt idx="35">
                  <c:v>138.685210829577</c:v>
                </c:pt>
                <c:pt idx="36">
                  <c:v>126.341199826559</c:v>
                </c:pt>
                <c:pt idx="37">
                  <c:v>144.526675035687</c:v>
                </c:pt>
                <c:pt idx="38">
                  <c:v>155.270879970299</c:v>
                </c:pt>
                <c:pt idx="39">
                  <c:v>150.655462488491</c:v>
                </c:pt>
                <c:pt idx="40">
                  <c:v>150.01029995664</c:v>
                </c:pt>
                <c:pt idx="41">
                  <c:v>142.596373105058</c:v>
                </c:pt>
                <c:pt idx="42">
                  <c:v>136.68636235841</c:v>
                </c:pt>
                <c:pt idx="43">
                  <c:v>159.774917998372</c:v>
                </c:pt>
                <c:pt idx="44">
                  <c:v>158.249387366083</c:v>
                </c:pt>
                <c:pt idx="45">
                  <c:v>125.765168543662</c:v>
                </c:pt>
                <c:pt idx="46">
                  <c:v>128.405414347746</c:v>
                </c:pt>
                <c:pt idx="47">
                  <c:v>141.556974992327</c:v>
                </c:pt>
                <c:pt idx="48">
                  <c:v>146.615417481808</c:v>
                </c:pt>
                <c:pt idx="49">
                  <c:v>153.516041477433</c:v>
                </c:pt>
                <c:pt idx="50">
                  <c:v>147.665315444204</c:v>
                </c:pt>
                <c:pt idx="51">
                  <c:v>125.466721639824</c:v>
                </c:pt>
                <c:pt idx="52">
                  <c:v>124.740650184996</c:v>
                </c:pt>
                <c:pt idx="53">
                  <c:v>132.532125137753</c:v>
                </c:pt>
                <c:pt idx="54">
                  <c:v>140.889353929735</c:v>
                </c:pt>
                <c:pt idx="55">
                  <c:v>143.719712763998</c:v>
                </c:pt>
                <c:pt idx="56">
                  <c:v>144.208187539524</c:v>
                </c:pt>
                <c:pt idx="57">
                  <c:v>132.815435063954</c:v>
                </c:pt>
                <c:pt idx="58">
                  <c:v>149.195439355419</c:v>
                </c:pt>
                <c:pt idx="59">
                  <c:v>128.045476277507</c:v>
                </c:pt>
                <c:pt idx="60">
                  <c:v>154.924298239021</c:v>
                </c:pt>
                <c:pt idx="61">
                  <c:v>157.825160557861</c:v>
                </c:pt>
                <c:pt idx="62">
                  <c:v>154.214472360202</c:v>
                </c:pt>
                <c:pt idx="63">
                  <c:v>137.38631997765</c:v>
                </c:pt>
                <c:pt idx="64">
                  <c:v>136.786348534767</c:v>
                </c:pt>
                <c:pt idx="65">
                  <c:v>146.030899869919</c:v>
                </c:pt>
                <c:pt idx="66">
                  <c:v>153.640680443503</c:v>
                </c:pt>
                <c:pt idx="67">
                  <c:v>145.43633966871</c:v>
                </c:pt>
                <c:pt idx="68">
                  <c:v>153.814860601221</c:v>
                </c:pt>
                <c:pt idx="69">
                  <c:v>147.030899869919</c:v>
                </c:pt>
                <c:pt idx="70">
                  <c:v>137.070866433571</c:v>
                </c:pt>
                <c:pt idx="71">
                  <c:v>160.606673061697</c:v>
                </c:pt>
                <c:pt idx="72">
                  <c:v>153.610819339696</c:v>
                </c:pt>
                <c:pt idx="73">
                  <c:v>167.771212547197</c:v>
                </c:pt>
                <c:pt idx="74">
                  <c:v>155.4900099566</c:v>
                </c:pt>
                <c:pt idx="75">
                  <c:v>158.779021420643</c:v>
                </c:pt>
                <c:pt idx="76">
                  <c:v>135.767541260632</c:v>
                </c:pt>
                <c:pt idx="77">
                  <c:v>119.452</c:v>
                </c:pt>
                <c:pt idx="78">
                  <c:v>125.086383061657</c:v>
                </c:pt>
                <c:pt idx="79">
                  <c:v>145.859709005907</c:v>
                </c:pt>
                <c:pt idx="80">
                  <c:v>139.851561519523</c:v>
                </c:pt>
                <c:pt idx="81">
                  <c:v>148.116332698288</c:v>
                </c:pt>
                <c:pt idx="82">
                  <c:v>148.236680443503</c:v>
                </c:pt>
                <c:pt idx="83">
                  <c:v>161.041199826559</c:v>
                </c:pt>
                <c:pt idx="84">
                  <c:v>142.122185821905</c:v>
                </c:pt>
                <c:pt idx="85">
                  <c:v>149.958800173441</c:v>
                </c:pt>
                <c:pt idx="86">
                  <c:v>159.642414347746</c:v>
                </c:pt>
                <c:pt idx="87">
                  <c:v>142.429674602085</c:v>
                </c:pt>
                <c:pt idx="88">
                  <c:v>162.549019599857</c:v>
                </c:pt>
                <c:pt idx="89">
                  <c:v>154.653014261025</c:v>
                </c:pt>
                <c:pt idx="90">
                  <c:v>144.218487496164</c:v>
                </c:pt>
                <c:pt idx="91">
                  <c:v>151.840296545431</c:v>
                </c:pt>
                <c:pt idx="92">
                  <c:v>133.796283648972</c:v>
                </c:pt>
                <c:pt idx="93">
                  <c:v>138.670912590557</c:v>
                </c:pt>
                <c:pt idx="94">
                  <c:v>140.110589166632</c:v>
                </c:pt>
                <c:pt idx="95">
                  <c:v>135.638029146726</c:v>
                </c:pt>
                <c:pt idx="96">
                  <c:v>142.248607226102</c:v>
                </c:pt>
                <c:pt idx="97">
                  <c:v>117.212463990472</c:v>
                </c:pt>
                <c:pt idx="98">
                  <c:v>135.771212547197</c:v>
                </c:pt>
                <c:pt idx="99">
                  <c:v>149.055337738384</c:v>
                </c:pt>
                <c:pt idx="100">
                  <c:v>150.32644078974</c:v>
                </c:pt>
                <c:pt idx="101">
                  <c:v>150.058454059816</c:v>
                </c:pt>
                <c:pt idx="102">
                  <c:v>150.097519816658</c:v>
                </c:pt>
                <c:pt idx="103">
                  <c:v>149.841130396988</c:v>
                </c:pt>
                <c:pt idx="104">
                  <c:v>146.775460514501</c:v>
                </c:pt>
                <c:pt idx="105">
                  <c:v>137.320232147054</c:v>
                </c:pt>
                <c:pt idx="106">
                  <c:v>154.802112417116</c:v>
                </c:pt>
                <c:pt idx="107">
                  <c:v>140.788107009301</c:v>
                </c:pt>
                <c:pt idx="108">
                  <c:v>155.086204838826</c:v>
                </c:pt>
                <c:pt idx="109">
                  <c:v>163.233063903751</c:v>
                </c:pt>
                <c:pt idx="110">
                  <c:v>149.697887582884</c:v>
                </c:pt>
                <c:pt idx="111">
                  <c:v>157.457574905607</c:v>
                </c:pt>
                <c:pt idx="112">
                  <c:v>159.32828271597</c:v>
                </c:pt>
                <c:pt idx="113">
                  <c:v>145.196373105058</c:v>
                </c:pt>
                <c:pt idx="114">
                  <c:v>143.538719643218</c:v>
                </c:pt>
                <c:pt idx="115">
                  <c:v>145.638200260161</c:v>
                </c:pt>
                <c:pt idx="116">
                  <c:v>142.528787452803</c:v>
                </c:pt>
                <c:pt idx="117">
                  <c:v>159.239087409443</c:v>
                </c:pt>
                <c:pt idx="118">
                  <c:v>143.873757246629</c:v>
                </c:pt>
                <c:pt idx="119">
                  <c:v>166.457574905607</c:v>
                </c:pt>
                <c:pt idx="120">
                  <c:v>154</c:v>
                </c:pt>
                <c:pt idx="121">
                  <c:v>153.279021420643</c:v>
                </c:pt>
                <c:pt idx="122">
                  <c:v>156.08259380438</c:v>
                </c:pt>
                <c:pt idx="123">
                  <c:v>164</c:v>
                </c:pt>
                <c:pt idx="124">
                  <c:v>149.553876579866</c:v>
                </c:pt>
                <c:pt idx="125">
                  <c:v>149.788107009301</c:v>
                </c:pt>
                <c:pt idx="126">
                  <c:v>164.348525047243</c:v>
                </c:pt>
                <c:pt idx="127">
                  <c:v>159.089989253353</c:v>
                </c:pt>
                <c:pt idx="128">
                  <c:v>153.208187539524</c:v>
                </c:pt>
                <c:pt idx="129">
                  <c:v>156.98970004336</c:v>
                </c:pt>
                <c:pt idx="130">
                  <c:v>157.593035420107</c:v>
                </c:pt>
                <c:pt idx="131">
                  <c:v>149.373272974977</c:v>
                </c:pt>
                <c:pt idx="132">
                  <c:v>146.026675035687</c:v>
                </c:pt>
                <c:pt idx="133">
                  <c:v>150.801087409443</c:v>
                </c:pt>
                <c:pt idx="134">
                  <c:v>146.041199826559</c:v>
                </c:pt>
                <c:pt idx="135">
                  <c:v>158.01029995664</c:v>
                </c:pt>
                <c:pt idx="136">
                  <c:v>149.487219860019</c:v>
                </c:pt>
                <c:pt idx="137">
                  <c:v>149.418487496164</c:v>
                </c:pt>
                <c:pt idx="138">
                  <c:v>145.728952016352</c:v>
                </c:pt>
                <c:pt idx="139">
                  <c:v>137.744794765625</c:v>
                </c:pt>
                <c:pt idx="140">
                  <c:v>133.386073148418</c:v>
                </c:pt>
                <c:pt idx="141">
                  <c:v>125.516399890191</c:v>
                </c:pt>
                <c:pt idx="142">
                  <c:v>115.642714304386</c:v>
                </c:pt>
                <c:pt idx="143">
                  <c:v>140.528453851189</c:v>
                </c:pt>
                <c:pt idx="144">
                  <c:v>145.01029995664</c:v>
                </c:pt>
                <c:pt idx="145">
                  <c:v>154.528419686578</c:v>
                </c:pt>
                <c:pt idx="146">
                  <c:v>149.882461389442</c:v>
                </c:pt>
                <c:pt idx="147">
                  <c:v>163.426675035687</c:v>
                </c:pt>
                <c:pt idx="148">
                  <c:v>164.968066773069</c:v>
                </c:pt>
                <c:pt idx="149">
                  <c:v>151.68402002101</c:v>
                </c:pt>
                <c:pt idx="150">
                  <c:v>158.783960731302</c:v>
                </c:pt>
                <c:pt idx="151">
                  <c:v>149.291466346851</c:v>
                </c:pt>
                <c:pt idx="152">
                  <c:v>146.330107009301</c:v>
                </c:pt>
                <c:pt idx="153">
                  <c:v>152.0399340112</c:v>
                </c:pt>
                <c:pt idx="154">
                  <c:v>147.25394030381</c:v>
                </c:pt>
                <c:pt idx="155">
                  <c:v>140.993810742857</c:v>
                </c:pt>
                <c:pt idx="156">
                  <c:v>144.445821326527</c:v>
                </c:pt>
                <c:pt idx="157">
                  <c:v>144.579919469777</c:v>
                </c:pt>
                <c:pt idx="158">
                  <c:v>157.172161432803</c:v>
                </c:pt>
                <c:pt idx="159">
                  <c:v>138.577287669604</c:v>
                </c:pt>
                <c:pt idx="160">
                  <c:v>157.495799976911</c:v>
                </c:pt>
                <c:pt idx="161">
                  <c:v>168.602164033832</c:v>
                </c:pt>
                <c:pt idx="162">
                  <c:v>159.426675035687</c:v>
                </c:pt>
                <c:pt idx="163">
                  <c:v>155.572421683184</c:v>
                </c:pt>
                <c:pt idx="164">
                  <c:v>159.457574905607</c:v>
                </c:pt>
                <c:pt idx="165">
                  <c:v>143.545853722001</c:v>
                </c:pt>
                <c:pt idx="166">
                  <c:v>168.447274948967</c:v>
                </c:pt>
                <c:pt idx="167">
                  <c:v>160.233063903751</c:v>
                </c:pt>
                <c:pt idx="168">
                  <c:v>163.218487496164</c:v>
                </c:pt>
                <c:pt idx="169">
                  <c:v>152.554257923904</c:v>
                </c:pt>
                <c:pt idx="170">
                  <c:v>162</c:v>
                </c:pt>
                <c:pt idx="171">
                  <c:v>163.041199826559</c:v>
                </c:pt>
                <c:pt idx="172">
                  <c:v>148.718487496164</c:v>
                </c:pt>
                <c:pt idx="173">
                  <c:v>155.304807473814</c:v>
                </c:pt>
                <c:pt idx="174">
                  <c:v>134.907300390242</c:v>
                </c:pt>
                <c:pt idx="175">
                  <c:v>122.83</c:v>
                </c:pt>
                <c:pt idx="176">
                  <c:v>147.347274948967</c:v>
                </c:pt>
                <c:pt idx="177">
                  <c:v>134.846123420134</c:v>
                </c:pt>
                <c:pt idx="178">
                  <c:v>142.809219076239</c:v>
                </c:pt>
                <c:pt idx="179">
                  <c:v>137.424226808222</c:v>
                </c:pt>
                <c:pt idx="180">
                  <c:v>142.678474726069</c:v>
                </c:pt>
                <c:pt idx="181">
                  <c:v>140.075937651664</c:v>
                </c:pt>
                <c:pt idx="182">
                  <c:v>143</c:v>
                </c:pt>
                <c:pt idx="183">
                  <c:v>149.575773191778</c:v>
                </c:pt>
                <c:pt idx="184">
                  <c:v>159.104192878356</c:v>
                </c:pt>
                <c:pt idx="185">
                  <c:v>154.650266520292</c:v>
                </c:pt>
                <c:pt idx="186">
                  <c:v>152.223048140745</c:v>
                </c:pt>
                <c:pt idx="187">
                  <c:v>159.447274948967</c:v>
                </c:pt>
                <c:pt idx="188">
                  <c:v>152.709932190414</c:v>
                </c:pt>
                <c:pt idx="189">
                  <c:v>161.715107430454</c:v>
                </c:pt>
                <c:pt idx="190">
                  <c:v>165.528915608526</c:v>
                </c:pt>
                <c:pt idx="191">
                  <c:v>152.79840696594</c:v>
                </c:pt>
                <c:pt idx="192">
                  <c:v>149.666092919825</c:v>
                </c:pt>
                <c:pt idx="193">
                  <c:v>132.807426220147</c:v>
                </c:pt>
                <c:pt idx="194">
                  <c:v>159.174910872938</c:v>
                </c:pt>
                <c:pt idx="195">
                  <c:v>152.135749724493</c:v>
                </c:pt>
                <c:pt idx="196">
                  <c:v>147.364193371874</c:v>
                </c:pt>
                <c:pt idx="197">
                  <c:v>162.027635923971</c:v>
                </c:pt>
                <c:pt idx="198">
                  <c:v>154.357574905607</c:v>
                </c:pt>
                <c:pt idx="199">
                  <c:v>157.246907182741</c:v>
                </c:pt>
                <c:pt idx="200">
                  <c:v>157.746907182741</c:v>
                </c:pt>
                <c:pt idx="201">
                  <c:v>165.811755751542</c:v>
                </c:pt>
                <c:pt idx="202">
                  <c:v>154.682446253475</c:v>
                </c:pt>
                <c:pt idx="203">
                  <c:v>161.441261562883</c:v>
                </c:pt>
                <c:pt idx="204">
                  <c:v>162.458915608526</c:v>
                </c:pt>
                <c:pt idx="205">
                  <c:v>157.104208702386</c:v>
                </c:pt>
                <c:pt idx="206">
                  <c:v>126.487387366083</c:v>
                </c:pt>
                <c:pt idx="207">
                  <c:v>142.827021149313</c:v>
                </c:pt>
                <c:pt idx="208">
                  <c:v>148.393021596464</c:v>
                </c:pt>
                <c:pt idx="209">
                  <c:v>154.80870692258</c:v>
                </c:pt>
                <c:pt idx="210">
                  <c:v>161.02059991328</c:v>
                </c:pt>
                <c:pt idx="211">
                  <c:v>147.38970004336</c:v>
                </c:pt>
                <c:pt idx="212">
                  <c:v>161.861327796308</c:v>
                </c:pt>
                <c:pt idx="213">
                  <c:v>151.886700476962</c:v>
                </c:pt>
                <c:pt idx="214">
                  <c:v>158.448500216801</c:v>
                </c:pt>
                <c:pt idx="215">
                  <c:v>163.753307690615</c:v>
                </c:pt>
                <c:pt idx="216">
                  <c:v>152.249387366083</c:v>
                </c:pt>
                <c:pt idx="217">
                  <c:v>169.528419686578</c:v>
                </c:pt>
                <c:pt idx="218">
                  <c:v>160</c:v>
                </c:pt>
                <c:pt idx="219">
                  <c:v>151.010473677907</c:v>
                </c:pt>
                <c:pt idx="220">
                  <c:v>158.357286781351</c:v>
                </c:pt>
                <c:pt idx="221">
                  <c:v>165.958800173441</c:v>
                </c:pt>
                <c:pt idx="222">
                  <c:v>162.185210829577</c:v>
                </c:pt>
                <c:pt idx="223">
                  <c:v>164.702112417116</c:v>
                </c:pt>
                <c:pt idx="224">
                  <c:v>155.371212547197</c:v>
                </c:pt>
                <c:pt idx="225">
                  <c:v>129.81940008672</c:v>
                </c:pt>
                <c:pt idx="226">
                  <c:v>169.724298239021</c:v>
                </c:pt>
                <c:pt idx="227">
                  <c:v>159.700257143004</c:v>
                </c:pt>
                <c:pt idx="228">
                  <c:v>164.664610916298</c:v>
                </c:pt>
                <c:pt idx="229">
                  <c:v>163.310576433531</c:v>
                </c:pt>
                <c:pt idx="230">
                  <c:v>152.442708038931</c:v>
                </c:pt>
                <c:pt idx="231">
                  <c:v>168.942835150674</c:v>
                </c:pt>
                <c:pt idx="232">
                  <c:v>168.112575424357</c:v>
                </c:pt>
                <c:pt idx="233">
                  <c:v>134.759552040819</c:v>
                </c:pt>
                <c:pt idx="234">
                  <c:v>170.242078980768</c:v>
                </c:pt>
                <c:pt idx="235">
                  <c:v>175.704582613977</c:v>
                </c:pt>
                <c:pt idx="236">
                  <c:v>166.846907182741</c:v>
                </c:pt>
                <c:pt idx="237">
                  <c:v>157.122786854975</c:v>
                </c:pt>
                <c:pt idx="238">
                  <c:v>182.791977734834</c:v>
                </c:pt>
                <c:pt idx="239">
                  <c:v>171.28970004336</c:v>
                </c:pt>
                <c:pt idx="240">
                  <c:v>159.746123420134</c:v>
                </c:pt>
                <c:pt idx="241">
                  <c:v>157.689337264017</c:v>
                </c:pt>
                <c:pt idx="242">
                  <c:v>135.649587626244</c:v>
                </c:pt>
                <c:pt idx="243">
                  <c:v>143.549053764468</c:v>
                </c:pt>
                <c:pt idx="244">
                  <c:v>138.185121120599</c:v>
                </c:pt>
                <c:pt idx="245">
                  <c:v>152.224298239021</c:v>
                </c:pt>
                <c:pt idx="246">
                  <c:v>157.397887582884</c:v>
                </c:pt>
                <c:pt idx="247">
                  <c:v>162.392996023011</c:v>
                </c:pt>
                <c:pt idx="248">
                  <c:v>176.275773191778</c:v>
                </c:pt>
                <c:pt idx="249">
                  <c:v>176.387207139381</c:v>
                </c:pt>
                <c:pt idx="250">
                  <c:v>167.347683018297</c:v>
                </c:pt>
                <c:pt idx="251">
                  <c:v>170.259687322723</c:v>
                </c:pt>
                <c:pt idx="252">
                  <c:v>159.380348972326</c:v>
                </c:pt>
                <c:pt idx="253">
                  <c:v>163.557574905607</c:v>
                </c:pt>
                <c:pt idx="254">
                  <c:v>141.290866798588</c:v>
                </c:pt>
                <c:pt idx="255">
                  <c:v>142.280151954099</c:v>
                </c:pt>
                <c:pt idx="256">
                  <c:v>145.688200260161</c:v>
                </c:pt>
                <c:pt idx="257">
                  <c:v>155.625082001628</c:v>
                </c:pt>
                <c:pt idx="258">
                  <c:v>147.400020703247</c:v>
                </c:pt>
                <c:pt idx="259">
                  <c:v>143.436421223378</c:v>
                </c:pt>
                <c:pt idx="260">
                  <c:v>160.42059991328</c:v>
                </c:pt>
                <c:pt idx="261">
                  <c:v>155.489840760339</c:v>
                </c:pt>
                <c:pt idx="262">
                  <c:v>154.197887582884</c:v>
                </c:pt>
                <c:pt idx="263">
                  <c:v>138.308229130456</c:v>
                </c:pt>
                <c:pt idx="264">
                  <c:v>153.567086218813</c:v>
                </c:pt>
                <c:pt idx="265">
                  <c:v>162.668754016455</c:v>
                </c:pt>
                <c:pt idx="266">
                  <c:v>177.292101670469</c:v>
                </c:pt>
                <c:pt idx="267">
                  <c:v>172.309541260632</c:v>
                </c:pt>
                <c:pt idx="268">
                  <c:v>159.705536242747</c:v>
                </c:pt>
                <c:pt idx="269">
                  <c:v>159.466415464097</c:v>
                </c:pt>
                <c:pt idx="270">
                  <c:v>150.575773191778</c:v>
                </c:pt>
                <c:pt idx="271">
                  <c:v>174.844873321858</c:v>
                </c:pt>
                <c:pt idx="272">
                  <c:v>174.87940008672</c:v>
                </c:pt>
                <c:pt idx="273">
                  <c:v>172.523921466383</c:v>
                </c:pt>
                <c:pt idx="274">
                  <c:v>154.333666327523</c:v>
                </c:pt>
                <c:pt idx="275">
                  <c:v>162.750438838631</c:v>
                </c:pt>
                <c:pt idx="276">
                  <c:v>147.335773191778</c:v>
                </c:pt>
                <c:pt idx="277">
                  <c:v>148.318487496164</c:v>
                </c:pt>
                <c:pt idx="278">
                  <c:v>158.618982048778</c:v>
                </c:pt>
                <c:pt idx="279">
                  <c:v>140.95640008672</c:v>
                </c:pt>
                <c:pt idx="280">
                  <c:v>167.905155605157</c:v>
                </c:pt>
                <c:pt idx="281">
                  <c:v>164.809396675511</c:v>
                </c:pt>
                <c:pt idx="282">
                  <c:v>170.241003475908</c:v>
                </c:pt>
                <c:pt idx="283">
                  <c:v>177.830532103694</c:v>
                </c:pt>
                <c:pt idx="284">
                  <c:v>151.455462488491</c:v>
                </c:pt>
                <c:pt idx="285">
                  <c:v>161.35059991328</c:v>
                </c:pt>
                <c:pt idx="286">
                  <c:v>169.135460514501</c:v>
                </c:pt>
                <c:pt idx="287">
                  <c:v>164.96196279044</c:v>
                </c:pt>
                <c:pt idx="288">
                  <c:v>179.041003475908</c:v>
                </c:pt>
                <c:pt idx="289">
                  <c:v>150.585994592185</c:v>
                </c:pt>
                <c:pt idx="290">
                  <c:v>175.979019599857</c:v>
                </c:pt>
                <c:pt idx="291">
                  <c:v>145.086073148418</c:v>
                </c:pt>
                <c:pt idx="292">
                  <c:v>154.239087409443</c:v>
                </c:pt>
                <c:pt idx="293">
                  <c:v>159.091255292973</c:v>
                </c:pt>
                <c:pt idx="294">
                  <c:v>158.538753807829</c:v>
                </c:pt>
                <c:pt idx="295">
                  <c:v>148.559319556497</c:v>
                </c:pt>
                <c:pt idx="296">
                  <c:v>153.209126305522</c:v>
                </c:pt>
                <c:pt idx="297">
                  <c:v>152.32644078974</c:v>
                </c:pt>
                <c:pt idx="298">
                  <c:v>153.852112417116</c:v>
                </c:pt>
                <c:pt idx="299">
                  <c:v>150.249387366083</c:v>
                </c:pt>
                <c:pt idx="300">
                  <c:v>147.365720064371</c:v>
                </c:pt>
                <c:pt idx="301">
                  <c:v>160.97606240177</c:v>
                </c:pt>
                <c:pt idx="302">
                  <c:v>150.671783546969</c:v>
                </c:pt>
                <c:pt idx="303">
                  <c:v>180.062121726544</c:v>
                </c:pt>
                <c:pt idx="304">
                  <c:v>171.591864077192</c:v>
                </c:pt>
                <c:pt idx="305">
                  <c:v>165.545162531851</c:v>
                </c:pt>
                <c:pt idx="306">
                  <c:v>167.729958975547</c:v>
                </c:pt>
                <c:pt idx="307">
                  <c:v>160.449551689349</c:v>
                </c:pt>
                <c:pt idx="308">
                  <c:v>162.57831920632</c:v>
                </c:pt>
                <c:pt idx="309">
                  <c:v>167.343363860391</c:v>
                </c:pt>
                <c:pt idx="310">
                  <c:v>142.853263730311</c:v>
                </c:pt>
                <c:pt idx="311">
                  <c:v>147.7</c:v>
                </c:pt>
                <c:pt idx="312">
                  <c:v>168.707590314118</c:v>
                </c:pt>
                <c:pt idx="313">
                  <c:v>183.957574905607</c:v>
                </c:pt>
                <c:pt idx="314">
                  <c:v>177.716007312822</c:v>
                </c:pt>
                <c:pt idx="315">
                  <c:v>166.186073148418</c:v>
                </c:pt>
                <c:pt idx="316">
                  <c:v>183.657990111358</c:v>
                </c:pt>
                <c:pt idx="317">
                  <c:v>186.825130897738</c:v>
                </c:pt>
                <c:pt idx="318">
                  <c:v>175.545037781744</c:v>
                </c:pt>
                <c:pt idx="319">
                  <c:v>162.218487496164</c:v>
                </c:pt>
                <c:pt idx="320">
                  <c:v>160.3</c:v>
                </c:pt>
                <c:pt idx="321">
                  <c:v>146.052346384956</c:v>
                </c:pt>
                <c:pt idx="322">
                  <c:v>154.365473235138</c:v>
                </c:pt>
                <c:pt idx="323">
                  <c:v>154.132800173441</c:v>
                </c:pt>
                <c:pt idx="324">
                  <c:v>165.866595081375</c:v>
                </c:pt>
                <c:pt idx="325">
                  <c:v>168.183564120552</c:v>
                </c:pt>
                <c:pt idx="326">
                  <c:v>160.476368256905</c:v>
                </c:pt>
                <c:pt idx="327">
                  <c:v>177.685994592185</c:v>
                </c:pt>
                <c:pt idx="328">
                  <c:v>181.861861476163</c:v>
                </c:pt>
                <c:pt idx="329">
                  <c:v>167.18970004336</c:v>
                </c:pt>
                <c:pt idx="330">
                  <c:v>176.838351876992</c:v>
                </c:pt>
                <c:pt idx="331">
                  <c:v>146.477374770345</c:v>
                </c:pt>
                <c:pt idx="332">
                  <c:v>155.950948885606</c:v>
                </c:pt>
                <c:pt idx="333">
                  <c:v>155.619141514789</c:v>
                </c:pt>
                <c:pt idx="334">
                  <c:v>171.651499783199</c:v>
                </c:pt>
                <c:pt idx="335">
                  <c:v>166.250266520292</c:v>
                </c:pt>
                <c:pt idx="336">
                  <c:v>172.181564120552</c:v>
                </c:pt>
                <c:pt idx="337">
                  <c:v>168.935871528876</c:v>
                </c:pt>
                <c:pt idx="338">
                  <c:v>165.279860123508</c:v>
                </c:pt>
                <c:pt idx="339">
                  <c:v>170.47812395596</c:v>
                </c:pt>
                <c:pt idx="340">
                  <c:v>161.034487496164</c:v>
                </c:pt>
                <c:pt idx="341">
                  <c:v>147.901209135988</c:v>
                </c:pt>
                <c:pt idx="342">
                  <c:v>164.86278840073</c:v>
                </c:pt>
                <c:pt idx="343">
                  <c:v>181.931064433468</c:v>
                </c:pt>
                <c:pt idx="344">
                  <c:v>178.234000947926</c:v>
                </c:pt>
                <c:pt idx="345">
                  <c:v>176.808187539524</c:v>
                </c:pt>
                <c:pt idx="346">
                  <c:v>181.464962396589</c:v>
                </c:pt>
                <c:pt idx="347">
                  <c:v>177.138200260161</c:v>
                </c:pt>
                <c:pt idx="348">
                  <c:v>156.473376581029</c:v>
                </c:pt>
                <c:pt idx="349">
                  <c:v>156.652573434202</c:v>
                </c:pt>
                <c:pt idx="350">
                  <c:v>146.402991571325</c:v>
                </c:pt>
                <c:pt idx="351">
                  <c:v>150.031062920521</c:v>
                </c:pt>
                <c:pt idx="352">
                  <c:v>148.931212547197</c:v>
                </c:pt>
                <c:pt idx="353">
                  <c:v>180.238719643218</c:v>
                </c:pt>
                <c:pt idx="354">
                  <c:v>174.294425147827</c:v>
                </c:pt>
                <c:pt idx="355">
                  <c:v>152.559319556497</c:v>
                </c:pt>
                <c:pt idx="356">
                  <c:v>169.790219426417</c:v>
                </c:pt>
                <c:pt idx="357">
                  <c:v>172.270866433571</c:v>
                </c:pt>
                <c:pt idx="358">
                  <c:v>155.9798649602</c:v>
                </c:pt>
                <c:pt idx="359">
                  <c:v>147.157290794696</c:v>
                </c:pt>
                <c:pt idx="360">
                  <c:v>183.757532524847</c:v>
                </c:pt>
                <c:pt idx="361">
                  <c:v>183.271964414575</c:v>
                </c:pt>
                <c:pt idx="362">
                  <c:v>166.228952016352</c:v>
                </c:pt>
                <c:pt idx="363">
                  <c:v>176.187082889411</c:v>
                </c:pt>
                <c:pt idx="364">
                  <c:v>158.931779024128</c:v>
                </c:pt>
                <c:pt idx="365">
                  <c:v>151.481144737611</c:v>
                </c:pt>
                <c:pt idx="366">
                  <c:v>181.964610916298</c:v>
                </c:pt>
                <c:pt idx="367">
                  <c:v>184.728754016455</c:v>
                </c:pt>
                <c:pt idx="368">
                  <c:v>182.003330559515</c:v>
                </c:pt>
                <c:pt idx="369">
                  <c:v>179.566868385445</c:v>
                </c:pt>
                <c:pt idx="370">
                  <c:v>171.268500216801</c:v>
                </c:pt>
                <c:pt idx="371">
                  <c:v>177.975694635545</c:v>
                </c:pt>
                <c:pt idx="372">
                  <c:v>167.216375079048</c:v>
                </c:pt>
                <c:pt idx="373">
                  <c:v>178.936607226102</c:v>
                </c:pt>
                <c:pt idx="374">
                  <c:v>174.665720064371</c:v>
                </c:pt>
                <c:pt idx="375">
                  <c:v>145.756494025206</c:v>
                </c:pt>
                <c:pt idx="376">
                  <c:v>158.458719643218</c:v>
                </c:pt>
                <c:pt idx="377">
                  <c:v>143.56450567805</c:v>
                </c:pt>
                <c:pt idx="378">
                  <c:v>156.087082889411</c:v>
                </c:pt>
                <c:pt idx="379">
                  <c:v>181.490995042591</c:v>
                </c:pt>
                <c:pt idx="380">
                  <c:v>175.560566476932</c:v>
                </c:pt>
                <c:pt idx="381">
                  <c:v>171.771716180406</c:v>
                </c:pt>
                <c:pt idx="382">
                  <c:v>186.005810742857</c:v>
                </c:pt>
                <c:pt idx="383">
                  <c:v>177.352866037788</c:v>
                </c:pt>
                <c:pt idx="384">
                  <c:v>176.279021420643</c:v>
                </c:pt>
                <c:pt idx="385">
                  <c:v>179.644873321858</c:v>
                </c:pt>
                <c:pt idx="386">
                  <c:v>179.42118103266</c:v>
                </c:pt>
                <c:pt idx="387">
                  <c:v>185.324655821027</c:v>
                </c:pt>
                <c:pt idx="388">
                  <c:v>158.576454138129</c:v>
                </c:pt>
                <c:pt idx="389">
                  <c:v>1</c:v>
                </c:pt>
                <c:pt idx="390">
                  <c:v>179.825138909042</c:v>
                </c:pt>
                <c:pt idx="391">
                  <c:v>153.953673936639</c:v>
                </c:pt>
                <c:pt idx="392">
                  <c:v>168.239087409443</c:v>
                </c:pt>
              </c:numCache>
            </c:numRef>
          </c:yVal>
          <c:smooth val="0"/>
        </c:ser>
        <c:ser>
          <c:idx val="3"/>
          <c:order val="3"/>
          <c:tx>
            <c:strRef>
              <c:f>"VLSI 1997-2022"</c:f>
              <c:strCache>
                <c:ptCount val="1"/>
                <c:pt idx="0">
                  <c:v>VLSI 1997-2022</c:v>
                </c:pt>
              </c:strCache>
            </c:strRef>
          </c:tx>
          <c:spPr>
            <a:solidFill>
              <a:srgbClr val="000000"/>
            </a:solidFill>
            <a:ln w="28440">
              <a:noFill/>
            </a:ln>
          </c:spPr>
          <c:marker>
            <c:symbol val="x"/>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VLSI!$AB$2:$AB$256</c:f>
              <c:numCache>
                <c:formatCode>General</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10666666.6666667</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VLSI!$AH$2:$AH$256</c:f>
              <c:numCache>
                <c:formatCode>General</c:formatCode>
                <c:ptCount val="255"/>
                <c:pt idx="0">
                  <c:v>156.381166390211</c:v>
                </c:pt>
                <c:pt idx="1">
                  <c:v>109.085499783199</c:v>
                </c:pt>
                <c:pt idx="2">
                  <c:v>141.480035410338</c:v>
                </c:pt>
                <c:pt idx="3">
                  <c:v>127.736974992327</c:v>
                </c:pt>
                <c:pt idx="4">
                  <c:v>123.579919469777</c:v>
                </c:pt>
                <c:pt idx="5">
                  <c:v>129.202164033832</c:v>
                </c:pt>
                <c:pt idx="6">
                  <c:v>124.469100130081</c:v>
                </c:pt>
                <c:pt idx="7">
                  <c:v>127.114860601221</c:v>
                </c:pt>
                <c:pt idx="8">
                  <c:v>151.01029995664</c:v>
                </c:pt>
                <c:pt idx="9">
                  <c:v>145.907403776917</c:v>
                </c:pt>
                <c:pt idx="10">
                  <c:v>127.744873321858</c:v>
                </c:pt>
                <c:pt idx="11">
                  <c:v>134.208187539524</c:v>
                </c:pt>
                <c:pt idx="12">
                  <c:v>143.283889300503</c:v>
                </c:pt>
                <c:pt idx="13">
                  <c:v>125.559319556497</c:v>
                </c:pt>
                <c:pt idx="14">
                  <c:v>139.353574992327</c:v>
                </c:pt>
                <c:pt idx="15">
                  <c:v>132.447274948967</c:v>
                </c:pt>
                <c:pt idx="16">
                  <c:v>150.928787452803</c:v>
                </c:pt>
                <c:pt idx="17">
                  <c:v>156.086059324774</c:v>
                </c:pt>
                <c:pt idx="18">
                  <c:v>153.597887582884</c:v>
                </c:pt>
                <c:pt idx="19">
                  <c:v>152.98970004336</c:v>
                </c:pt>
                <c:pt idx="20">
                  <c:v>145.969100130081</c:v>
                </c:pt>
                <c:pt idx="21">
                  <c:v>143.340832060334</c:v>
                </c:pt>
                <c:pt idx="22">
                  <c:v>139.32828271597</c:v>
                </c:pt>
                <c:pt idx="23">
                  <c:v>129.31798275933</c:v>
                </c:pt>
                <c:pt idx="24">
                  <c:v>127.287082889411</c:v>
                </c:pt>
                <c:pt idx="25">
                  <c:v>123.053948010664</c:v>
                </c:pt>
                <c:pt idx="26">
                  <c:v>131.611509092627</c:v>
                </c:pt>
                <c:pt idx="27">
                  <c:v>139.145412633917</c:v>
                </c:pt>
                <c:pt idx="28">
                  <c:v>146.555420107731</c:v>
                </c:pt>
                <c:pt idx="29">
                  <c:v>137.218487496164</c:v>
                </c:pt>
                <c:pt idx="30">
                  <c:v>153.831342385022</c:v>
                </c:pt>
                <c:pt idx="31">
                  <c:v>166.29738284605</c:v>
                </c:pt>
                <c:pt idx="32">
                  <c:v>1</c:v>
                </c:pt>
                <c:pt idx="33">
                  <c:v>118.350266520292</c:v>
                </c:pt>
                <c:pt idx="34">
                  <c:v>136.704849854574</c:v>
                </c:pt>
                <c:pt idx="35">
                  <c:v>142.789321377283</c:v>
                </c:pt>
                <c:pt idx="36">
                  <c:v>155.123700991287</c:v>
                </c:pt>
                <c:pt idx="37">
                  <c:v>148.136435264734</c:v>
                </c:pt>
                <c:pt idx="38">
                  <c:v>142.98970004336</c:v>
                </c:pt>
                <c:pt idx="39">
                  <c:v>129.50870692258</c:v>
                </c:pt>
                <c:pt idx="40">
                  <c:v>133.718487496164</c:v>
                </c:pt>
                <c:pt idx="41">
                  <c:v>132.739087409443</c:v>
                </c:pt>
                <c:pt idx="42">
                  <c:v>128.828787452803</c:v>
                </c:pt>
                <c:pt idx="43">
                  <c:v>132.197887582884</c:v>
                </c:pt>
                <c:pt idx="44">
                  <c:v>161.041199826559</c:v>
                </c:pt>
                <c:pt idx="45">
                  <c:v>160.655462488491</c:v>
                </c:pt>
                <c:pt idx="46">
                  <c:v>147.192353496133</c:v>
                </c:pt>
                <c:pt idx="47">
                  <c:v>127.135092748275</c:v>
                </c:pt>
                <c:pt idx="48">
                  <c:v>144.142877873397</c:v>
                </c:pt>
                <c:pt idx="49">
                  <c:v>133.698119729938</c:v>
                </c:pt>
                <c:pt idx="50">
                  <c:v>141.666048578127</c:v>
                </c:pt>
                <c:pt idx="51">
                  <c:v>132.365589685383</c:v>
                </c:pt>
                <c:pt idx="52">
                  <c:v>152.374910872938</c:v>
                </c:pt>
                <c:pt idx="53">
                  <c:v>152.969100130081</c:v>
                </c:pt>
                <c:pt idx="54">
                  <c:v>141.472421683184</c:v>
                </c:pt>
                <c:pt idx="55">
                  <c:v>147.716041477433</c:v>
                </c:pt>
                <c:pt idx="56">
                  <c:v>154.549019599857</c:v>
                </c:pt>
                <c:pt idx="57">
                  <c:v>156.907300390242</c:v>
                </c:pt>
                <c:pt idx="58">
                  <c:v>157.491864077192</c:v>
                </c:pt>
                <c:pt idx="59">
                  <c:v>147.166987712965</c:v>
                </c:pt>
                <c:pt idx="60">
                  <c:v>135.449387366083</c:v>
                </c:pt>
                <c:pt idx="61">
                  <c:v>153.01029995664</c:v>
                </c:pt>
                <c:pt idx="62">
                  <c:v>138.894787452803</c:v>
                </c:pt>
                <c:pt idx="63">
                  <c:v>140.611944607415</c:v>
                </c:pt>
                <c:pt idx="64">
                  <c:v>130.927900303521</c:v>
                </c:pt>
                <c:pt idx="65">
                  <c:v>127.476872463853</c:v>
                </c:pt>
                <c:pt idx="66">
                  <c:v>169.584207560534</c:v>
                </c:pt>
                <c:pt idx="67">
                  <c:v>160.777807052661</c:v>
                </c:pt>
                <c:pt idx="68">
                  <c:v>148.781512503836</c:v>
                </c:pt>
                <c:pt idx="69">
                  <c:v>151.79456602978</c:v>
                </c:pt>
                <c:pt idx="70">
                  <c:v>150.095775165768</c:v>
                </c:pt>
                <c:pt idx="71">
                  <c:v>148.027917534551</c:v>
                </c:pt>
                <c:pt idx="72">
                  <c:v>155.340673318068</c:v>
                </c:pt>
                <c:pt idx="73">
                  <c:v>155.407819773298</c:v>
                </c:pt>
                <c:pt idx="74">
                  <c:v>155.24088367705</c:v>
                </c:pt>
                <c:pt idx="75">
                  <c:v>156.674910872938</c:v>
                </c:pt>
                <c:pt idx="76">
                  <c:v>148.518487496164</c:v>
                </c:pt>
                <c:pt idx="77">
                  <c:v>156.826675035687</c:v>
                </c:pt>
                <c:pt idx="78">
                  <c:v>159.351821769905</c:v>
                </c:pt>
                <c:pt idx="79">
                  <c:v>142.177287669604</c:v>
                </c:pt>
                <c:pt idx="80">
                  <c:v>154.876944733821</c:v>
                </c:pt>
                <c:pt idx="81">
                  <c:v>159.650266520292</c:v>
                </c:pt>
                <c:pt idx="82">
                  <c:v>137.91363764159</c:v>
                </c:pt>
                <c:pt idx="83">
                  <c:v>133.177620246502</c:v>
                </c:pt>
                <c:pt idx="84">
                  <c:v>132.665315444204</c:v>
                </c:pt>
                <c:pt idx="85">
                  <c:v>149.328419686578</c:v>
                </c:pt>
                <c:pt idx="86">
                  <c:v>160.538719643218</c:v>
                </c:pt>
                <c:pt idx="87">
                  <c:v>158.839966563652</c:v>
                </c:pt>
                <c:pt idx="88">
                  <c:v>162.447274948967</c:v>
                </c:pt>
                <c:pt idx="89">
                  <c:v>161.118639112994</c:v>
                </c:pt>
                <c:pt idx="90">
                  <c:v>151.716110699497</c:v>
                </c:pt>
                <c:pt idx="91">
                  <c:v>158.202164033832</c:v>
                </c:pt>
                <c:pt idx="92">
                  <c:v>133.79666231505</c:v>
                </c:pt>
                <c:pt idx="93">
                  <c:v>130.646007300373</c:v>
                </c:pt>
                <c:pt idx="94">
                  <c:v>162.229783148378</c:v>
                </c:pt>
                <c:pt idx="95">
                  <c:v>162.906719643218</c:v>
                </c:pt>
                <c:pt idx="96">
                  <c:v>167.367439286435</c:v>
                </c:pt>
                <c:pt idx="97">
                  <c:v>160.977498325741</c:v>
                </c:pt>
                <c:pt idx="98">
                  <c:v>159.539839276822</c:v>
                </c:pt>
                <c:pt idx="99">
                  <c:v>151.538719643218</c:v>
                </c:pt>
                <c:pt idx="100">
                  <c:v>156.880684966343</c:v>
                </c:pt>
                <c:pt idx="101">
                  <c:v>127.895722299956</c:v>
                </c:pt>
                <c:pt idx="102">
                  <c:v>166.361431973613</c:v>
                </c:pt>
                <c:pt idx="103">
                  <c:v>145.771212547197</c:v>
                </c:pt>
                <c:pt idx="104">
                  <c:v>151.740312677277</c:v>
                </c:pt>
                <c:pt idx="105">
                  <c:v>137.768906758207</c:v>
                </c:pt>
                <c:pt idx="106">
                  <c:v>146.02059991328</c:v>
                </c:pt>
                <c:pt idx="107">
                  <c:v>144.948500216801</c:v>
                </c:pt>
                <c:pt idx="108">
                  <c:v>161.836302222137</c:v>
                </c:pt>
                <c:pt idx="109">
                  <c:v>157.647007733975</c:v>
                </c:pt>
                <c:pt idx="110">
                  <c:v>163.521814434466</c:v>
                </c:pt>
                <c:pt idx="111">
                  <c:v>156.981515521806</c:v>
                </c:pt>
                <c:pt idx="112">
                  <c:v>124.796100551234</c:v>
                </c:pt>
                <c:pt idx="113">
                  <c:v>141.657241303992</c:v>
                </c:pt>
                <c:pt idx="114">
                  <c:v>151.796215314124</c:v>
                </c:pt>
                <c:pt idx="115">
                  <c:v>144.446985738975</c:v>
                </c:pt>
                <c:pt idx="116">
                  <c:v>141.30768280269</c:v>
                </c:pt>
                <c:pt idx="117">
                  <c:v>154.21774106386</c:v>
                </c:pt>
                <c:pt idx="118">
                  <c:v>159.111179110849</c:v>
                </c:pt>
                <c:pt idx="119">
                  <c:v>153.167931769661</c:v>
                </c:pt>
                <c:pt idx="120">
                  <c:v>153.941864077192</c:v>
                </c:pt>
                <c:pt idx="121">
                  <c:v>152.506187539524</c:v>
                </c:pt>
                <c:pt idx="122">
                  <c:v>157.781261562883</c:v>
                </c:pt>
                <c:pt idx="123">
                  <c:v>170.985210829577</c:v>
                </c:pt>
                <c:pt idx="124">
                  <c:v>165.900668766687</c:v>
                </c:pt>
                <c:pt idx="125">
                  <c:v>158.604849854574</c:v>
                </c:pt>
                <c:pt idx="126">
                  <c:v>153.078895349887</c:v>
                </c:pt>
                <c:pt idx="127">
                  <c:v>159.829666607012</c:v>
                </c:pt>
                <c:pt idx="128">
                  <c:v>168.731779024128</c:v>
                </c:pt>
                <c:pt idx="129">
                  <c:v>157.538719643218</c:v>
                </c:pt>
                <c:pt idx="130">
                  <c:v>156.722875380997</c:v>
                </c:pt>
                <c:pt idx="131">
                  <c:v>155.723907856959</c:v>
                </c:pt>
                <c:pt idx="132">
                  <c:v>164.761861476163</c:v>
                </c:pt>
                <c:pt idx="133">
                  <c:v>147.32393759823</c:v>
                </c:pt>
                <c:pt idx="134">
                  <c:v>171.187082889411</c:v>
                </c:pt>
                <c:pt idx="135">
                  <c:v>162.592473656291</c:v>
                </c:pt>
                <c:pt idx="136">
                  <c:v>156.993021596464</c:v>
                </c:pt>
                <c:pt idx="137">
                  <c:v>155.433063903751</c:v>
                </c:pt>
                <c:pt idx="138">
                  <c:v>147.973846321359</c:v>
                </c:pt>
                <c:pt idx="139">
                  <c:v>145.585210829577</c:v>
                </c:pt>
                <c:pt idx="140">
                  <c:v>157.722885599827</c:v>
                </c:pt>
                <c:pt idx="141">
                  <c:v>164.813400877066</c:v>
                </c:pt>
                <c:pt idx="142">
                  <c:v>134.996968170184</c:v>
                </c:pt>
                <c:pt idx="143">
                  <c:v>177.733554793892</c:v>
                </c:pt>
                <c:pt idx="144">
                  <c:v>171.658800173441</c:v>
                </c:pt>
                <c:pt idx="145">
                  <c:v>165.97940008672</c:v>
                </c:pt>
                <c:pt idx="146">
                  <c:v>147.23374257617</c:v>
                </c:pt>
                <c:pt idx="147">
                  <c:v>155.191864077192</c:v>
                </c:pt>
                <c:pt idx="148">
                  <c:v>162.913621509744</c:v>
                </c:pt>
                <c:pt idx="149">
                  <c:v>164.551773169161</c:v>
                </c:pt>
                <c:pt idx="150">
                  <c:v>160.159504701347</c:v>
                </c:pt>
                <c:pt idx="151">
                  <c:v>171.382721639824</c:v>
                </c:pt>
                <c:pt idx="152">
                  <c:v>163.069134294691</c:v>
                </c:pt>
                <c:pt idx="153">
                  <c:v>165.058800173441</c:v>
                </c:pt>
                <c:pt idx="154">
                  <c:v>167.376083105017</c:v>
                </c:pt>
                <c:pt idx="155">
                  <c:v>163.097887582884</c:v>
                </c:pt>
                <c:pt idx="156">
                  <c:v>167.205995887707</c:v>
                </c:pt>
                <c:pt idx="157">
                  <c:v>165.141727472467</c:v>
                </c:pt>
                <c:pt idx="158">
                  <c:v>172.685210829577</c:v>
                </c:pt>
                <c:pt idx="159">
                  <c:v>141.224273408579</c:v>
                </c:pt>
                <c:pt idx="160">
                  <c:v>162.218487496164</c:v>
                </c:pt>
                <c:pt idx="161">
                  <c:v>133.00802860342</c:v>
                </c:pt>
                <c:pt idx="162">
                  <c:v>160.071264163912</c:v>
                </c:pt>
                <c:pt idx="163">
                  <c:v>161.165762445131</c:v>
                </c:pt>
                <c:pt idx="164">
                  <c:v>166.726675035687</c:v>
                </c:pt>
                <c:pt idx="165">
                  <c:v>162.676429218643</c:v>
                </c:pt>
                <c:pt idx="166">
                  <c:v>165.71900687922</c:v>
                </c:pt>
                <c:pt idx="167">
                  <c:v>168.027900303521</c:v>
                </c:pt>
                <c:pt idx="168">
                  <c:v>172.492829217176</c:v>
                </c:pt>
                <c:pt idx="169">
                  <c:v>167.974258713952</c:v>
                </c:pt>
                <c:pt idx="170">
                  <c:v>175.306560860489</c:v>
                </c:pt>
                <c:pt idx="171">
                  <c:v>171.409239012072</c:v>
                </c:pt>
                <c:pt idx="172">
                  <c:v>171.869619513137</c:v>
                </c:pt>
                <c:pt idx="173">
                  <c:v>164.142996094166</c:v>
                </c:pt>
                <c:pt idx="174">
                  <c:v>138.48970004336</c:v>
                </c:pt>
                <c:pt idx="175">
                  <c:v>160.850266520292</c:v>
                </c:pt>
                <c:pt idx="176">
                  <c:v>155.279829574251</c:v>
                </c:pt>
                <c:pt idx="177">
                  <c:v>168.267486367862</c:v>
                </c:pt>
                <c:pt idx="178">
                  <c:v>165.177071355435</c:v>
                </c:pt>
                <c:pt idx="179">
                  <c:v>173.438141382538</c:v>
                </c:pt>
                <c:pt idx="180">
                  <c:v>180.761996481832</c:v>
                </c:pt>
                <c:pt idx="181">
                  <c:v>136.737903606052</c:v>
                </c:pt>
                <c:pt idx="182">
                  <c:v>146.1745341003</c:v>
                </c:pt>
                <c:pt idx="183">
                  <c:v>160.192761346082</c:v>
                </c:pt>
                <c:pt idx="184">
                  <c:v>148.362121726544</c:v>
                </c:pt>
                <c:pt idx="185">
                  <c:v>168.167507096021</c:v>
                </c:pt>
                <c:pt idx="186">
                  <c:v>169.188199633999</c:v>
                </c:pt>
                <c:pt idx="187">
                  <c:v>152.257686773284</c:v>
                </c:pt>
                <c:pt idx="188">
                  <c:v>174.106673061697</c:v>
                </c:pt>
                <c:pt idx="189">
                  <c:v>170.24110132071</c:v>
                </c:pt>
                <c:pt idx="190">
                  <c:v>162.797887582884</c:v>
                </c:pt>
                <c:pt idx="191">
                  <c:v>159.548329103366</c:v>
                </c:pt>
                <c:pt idx="192">
                  <c:v>176.572421683184</c:v>
                </c:pt>
                <c:pt idx="193">
                  <c:v>169.277287669604</c:v>
                </c:pt>
                <c:pt idx="194">
                  <c:v>172.637932702769</c:v>
                </c:pt>
                <c:pt idx="195">
                  <c:v>182.024298239021</c:v>
                </c:pt>
                <c:pt idx="196">
                  <c:v>170.777386175453</c:v>
                </c:pt>
                <c:pt idx="197">
                  <c:v>167.025773191778</c:v>
                </c:pt>
                <c:pt idx="198">
                  <c:v>159.929666607012</c:v>
                </c:pt>
                <c:pt idx="199">
                  <c:v>179.450041384709</c:v>
                </c:pt>
                <c:pt idx="200">
                  <c:v>164.90902382588</c:v>
                </c:pt>
                <c:pt idx="201">
                  <c:v>147.477807052661</c:v>
                </c:pt>
                <c:pt idx="202">
                  <c:v>168.676083105017</c:v>
                </c:pt>
                <c:pt idx="203">
                  <c:v>171.337807052661</c:v>
                </c:pt>
                <c:pt idx="204">
                  <c:v>158.149657736073</c:v>
                </c:pt>
                <c:pt idx="205">
                  <c:v>156.383026981663</c:v>
                </c:pt>
                <c:pt idx="206">
                  <c:v>152.910819791532</c:v>
                </c:pt>
                <c:pt idx="207">
                  <c:v>179.577023290054</c:v>
                </c:pt>
                <c:pt idx="208">
                  <c:v>170.724520237811</c:v>
                </c:pt>
                <c:pt idx="209">
                  <c:v>171.536974992327</c:v>
                </c:pt>
                <c:pt idx="210">
                  <c:v>170.134002482796</c:v>
                </c:pt>
                <c:pt idx="211">
                  <c:v>176.406673061697</c:v>
                </c:pt>
                <c:pt idx="212">
                  <c:v>163.170866433571</c:v>
                </c:pt>
                <c:pt idx="213">
                  <c:v>146.852669062462</c:v>
                </c:pt>
                <c:pt idx="214">
                  <c:v>174.893892921716</c:v>
                </c:pt>
                <c:pt idx="215">
                  <c:v>172.507819773298</c:v>
                </c:pt>
                <c:pt idx="216">
                  <c:v>166.189353929735</c:v>
                </c:pt>
                <c:pt idx="217">
                  <c:v>180.563564033832</c:v>
                </c:pt>
                <c:pt idx="218">
                  <c:v>157.855420107731</c:v>
                </c:pt>
                <c:pt idx="219">
                  <c:v>150.991864077192</c:v>
                </c:pt>
                <c:pt idx="220">
                  <c:v>181.500415205752</c:v>
                </c:pt>
                <c:pt idx="221">
                  <c:v>173.677287669604</c:v>
                </c:pt>
                <c:pt idx="222">
                  <c:v>171.119712763998</c:v>
                </c:pt>
                <c:pt idx="223">
                  <c:v>178.469100130081</c:v>
                </c:pt>
                <c:pt idx="224">
                  <c:v>139.100367766226</c:v>
                </c:pt>
                <c:pt idx="225">
                  <c:v>166.115435063954</c:v>
                </c:pt>
                <c:pt idx="226">
                  <c:v>161.828419686578</c:v>
                </c:pt>
                <c:pt idx="227">
                  <c:v>158.389498239021</c:v>
                </c:pt>
                <c:pt idx="228">
                  <c:v>183.075773191778</c:v>
                </c:pt>
                <c:pt idx="229">
                  <c:v>169.453580244439</c:v>
                </c:pt>
                <c:pt idx="230">
                  <c:v>171.219366650372</c:v>
                </c:pt>
                <c:pt idx="231">
                  <c:v>170.951821769905</c:v>
                </c:pt>
                <c:pt idx="232">
                  <c:v>160.642092517496</c:v>
                </c:pt>
                <c:pt idx="233">
                  <c:v>140.069619513137</c:v>
                </c:pt>
                <c:pt idx="234">
                  <c:v>173.757207139381</c:v>
                </c:pt>
                <c:pt idx="235">
                  <c:v>169.872727025023</c:v>
                </c:pt>
                <c:pt idx="236">
                  <c:v>136.013376581029</c:v>
                </c:pt>
                <c:pt idx="237">
                  <c:v>171.807819773298</c:v>
                </c:pt>
                <c:pt idx="238">
                  <c:v>147.684014751196</c:v>
                </c:pt>
                <c:pt idx="239">
                  <c:v>154.270866433571</c:v>
                </c:pt>
                <c:pt idx="240">
                  <c:v>163.436687756325</c:v>
                </c:pt>
                <c:pt idx="241">
                  <c:v>151.639398369101</c:v>
                </c:pt>
                <c:pt idx="242">
                  <c:v>174.329666607012</c:v>
                </c:pt>
                <c:pt idx="243">
                  <c:v>175.476400520322</c:v>
                </c:pt>
                <c:pt idx="244">
                  <c:v>175.2940451611</c:v>
                </c:pt>
                <c:pt idx="245">
                  <c:v>173.955462488491</c:v>
                </c:pt>
                <c:pt idx="246">
                  <c:v>172.351821769905</c:v>
                </c:pt>
                <c:pt idx="247">
                  <c:v>175.487219860019</c:v>
                </c:pt>
                <c:pt idx="248">
                  <c:v>160.328419686578</c:v>
                </c:pt>
                <c:pt idx="249">
                  <c:v>171.116440082019</c:v>
                </c:pt>
                <c:pt idx="250">
                  <c:v>153.065217070037</c:v>
                </c:pt>
                <c:pt idx="251">
                  <c:v>143.469467896306</c:v>
                </c:pt>
                <c:pt idx="252">
                  <c:v>153.006023505692</c:v>
                </c:pt>
                <c:pt idx="253">
                  <c:v>147.030899869919</c:v>
                </c:pt>
                <c:pt idx="254">
                  <c:v>156.51221125073</c:v>
                </c:pt>
              </c:numCache>
            </c:numRef>
          </c:yVal>
          <c:smooth val="0"/>
        </c:ser>
        <c:ser>
          <c:idx val="4"/>
          <c:order val="4"/>
          <c:tx>
            <c:strRef>
              <c:f>"Envelope"</c:f>
              <c:strCache>
                <c:ptCount val="1"/>
                <c:pt idx="0">
                  <c:v>Envelope</c:v>
                </c:pt>
              </c:strCache>
            </c:strRef>
          </c:tx>
          <c:spPr>
            <a:solidFill>
              <a:srgbClr val="000000"/>
            </a:solidFill>
            <a:ln w="38160">
              <a:solidFill>
                <a:srgbClr val="000000"/>
              </a:solidFill>
              <a:prstDash val="sysDash"/>
              <a:round/>
            </a:ln>
          </c:spPr>
          <c:marker>
            <c:symbol val="none"/>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'Jitter and FOM lines'!$B$65:$B$165</c:f>
              <c:numCache>
                <c:formatCode>General</c:formatCode>
                <c:ptCount val="101"/>
                <c:pt idx="0">
                  <c:v>100</c:v>
                </c:pt>
                <c:pt idx="1">
                  <c:v>125.892541179417</c:v>
                </c:pt>
                <c:pt idx="2">
                  <c:v>158.489319246111</c:v>
                </c:pt>
                <c:pt idx="3">
                  <c:v>199.526231496888</c:v>
                </c:pt>
                <c:pt idx="4">
                  <c:v>251.188643150958</c:v>
                </c:pt>
                <c:pt idx="5">
                  <c:v>316.227766016838</c:v>
                </c:pt>
                <c:pt idx="6">
                  <c:v>398.107170553497</c:v>
                </c:pt>
                <c:pt idx="7">
                  <c:v>501.187233627272</c:v>
                </c:pt>
                <c:pt idx="8">
                  <c:v>630.957344480193</c:v>
                </c:pt>
                <c:pt idx="9">
                  <c:v>794.328234724281</c:v>
                </c:pt>
                <c:pt idx="10">
                  <c:v>1000</c:v>
                </c:pt>
                <c:pt idx="11">
                  <c:v>1258.92541179417</c:v>
                </c:pt>
                <c:pt idx="12">
                  <c:v>1584.89319246111</c:v>
                </c:pt>
                <c:pt idx="13">
                  <c:v>1995.26231496888</c:v>
                </c:pt>
                <c:pt idx="14">
                  <c:v>2511.88643150958</c:v>
                </c:pt>
                <c:pt idx="15">
                  <c:v>3162.27766016838</c:v>
                </c:pt>
                <c:pt idx="16">
                  <c:v>3981.07170553497</c:v>
                </c:pt>
                <c:pt idx="17">
                  <c:v>5011.87233627272</c:v>
                </c:pt>
                <c:pt idx="18">
                  <c:v>6309.57344480193</c:v>
                </c:pt>
                <c:pt idx="19">
                  <c:v>7943.28234724281</c:v>
                </c:pt>
                <c:pt idx="20">
                  <c:v>10000</c:v>
                </c:pt>
                <c:pt idx="21">
                  <c:v>12589.2541179417</c:v>
                </c:pt>
                <c:pt idx="22">
                  <c:v>15848.9319246111</c:v>
                </c:pt>
                <c:pt idx="23">
                  <c:v>19952.6231496888</c:v>
                </c:pt>
                <c:pt idx="24">
                  <c:v>25118.8643150958</c:v>
                </c:pt>
                <c:pt idx="25">
                  <c:v>31622.7766016838</c:v>
                </c:pt>
                <c:pt idx="26">
                  <c:v>39810.7170553497</c:v>
                </c:pt>
                <c:pt idx="27">
                  <c:v>50118.7233627272</c:v>
                </c:pt>
                <c:pt idx="28">
                  <c:v>63095.7344480193</c:v>
                </c:pt>
                <c:pt idx="29">
                  <c:v>79432.8234724282</c:v>
                </c:pt>
                <c:pt idx="30">
                  <c:v>100000</c:v>
                </c:pt>
                <c:pt idx="31">
                  <c:v>125892.541179417</c:v>
                </c:pt>
                <c:pt idx="32">
                  <c:v>158489.319246111</c:v>
                </c:pt>
                <c:pt idx="33">
                  <c:v>199526.231496888</c:v>
                </c:pt>
                <c:pt idx="34">
                  <c:v>251188.643150958</c:v>
                </c:pt>
                <c:pt idx="35">
                  <c:v>316227.766016838</c:v>
                </c:pt>
                <c:pt idx="36">
                  <c:v>398107.170553497</c:v>
                </c:pt>
                <c:pt idx="37">
                  <c:v>501187.233627272</c:v>
                </c:pt>
                <c:pt idx="38">
                  <c:v>630957.344480193</c:v>
                </c:pt>
                <c:pt idx="39">
                  <c:v>794328.234724282</c:v>
                </c:pt>
                <c:pt idx="40">
                  <c:v>1000000</c:v>
                </c:pt>
                <c:pt idx="41">
                  <c:v>1258925.41179417</c:v>
                </c:pt>
                <c:pt idx="42">
                  <c:v>1584893.19246111</c:v>
                </c:pt>
                <c:pt idx="43">
                  <c:v>1995262.31496888</c:v>
                </c:pt>
                <c:pt idx="44">
                  <c:v>2511886.43150958</c:v>
                </c:pt>
                <c:pt idx="45">
                  <c:v>3162277.66016838</c:v>
                </c:pt>
                <c:pt idx="46">
                  <c:v>3981071.70553497</c:v>
                </c:pt>
                <c:pt idx="47">
                  <c:v>5011872.33627272</c:v>
                </c:pt>
                <c:pt idx="48">
                  <c:v>6309573.44480193</c:v>
                </c:pt>
                <c:pt idx="49">
                  <c:v>7943282.34724282</c:v>
                </c:pt>
                <c:pt idx="50">
                  <c:v>10000000</c:v>
                </c:pt>
                <c:pt idx="51">
                  <c:v>12589254.1179417</c:v>
                </c:pt>
                <c:pt idx="52">
                  <c:v>15848931.9246111</c:v>
                </c:pt>
                <c:pt idx="53">
                  <c:v>19952623.1496888</c:v>
                </c:pt>
                <c:pt idx="54">
                  <c:v>25118864.3150958</c:v>
                </c:pt>
                <c:pt idx="55">
                  <c:v>31622776.6016845</c:v>
                </c:pt>
                <c:pt idx="56">
                  <c:v>39810717.0553497</c:v>
                </c:pt>
                <c:pt idx="57">
                  <c:v>50118723.3627272</c:v>
                </c:pt>
                <c:pt idx="58">
                  <c:v>63095734.4480207</c:v>
                </c:pt>
                <c:pt idx="59">
                  <c:v>79432823.47243</c:v>
                </c:pt>
                <c:pt idx="60">
                  <c:v>100000000.000002</c:v>
                </c:pt>
                <c:pt idx="61">
                  <c:v>125892541.179417</c:v>
                </c:pt>
                <c:pt idx="62">
                  <c:v>158489319.246115</c:v>
                </c:pt>
                <c:pt idx="63">
                  <c:v>199526231.496892</c:v>
                </c:pt>
                <c:pt idx="64">
                  <c:v>251188643.150963</c:v>
                </c:pt>
                <c:pt idx="65">
                  <c:v>316227766.016846</c:v>
                </c:pt>
                <c:pt idx="66">
                  <c:v>398107170.553507</c:v>
                </c:pt>
                <c:pt idx="67">
                  <c:v>501187233.627284</c:v>
                </c:pt>
                <c:pt idx="68">
                  <c:v>630957344.480207</c:v>
                </c:pt>
                <c:pt idx="69">
                  <c:v>794328234.724298</c:v>
                </c:pt>
                <c:pt idx="70">
                  <c:v>1000000000.00002</c:v>
                </c:pt>
                <c:pt idx="71">
                  <c:v>1258925411.7942</c:v>
                </c:pt>
                <c:pt idx="72">
                  <c:v>1584893192.46115</c:v>
                </c:pt>
                <c:pt idx="73">
                  <c:v>1995262314.96892</c:v>
                </c:pt>
                <c:pt idx="74">
                  <c:v>2511886431.50963</c:v>
                </c:pt>
                <c:pt idx="75">
                  <c:v>3162277660.16846</c:v>
                </c:pt>
                <c:pt idx="76">
                  <c:v>3981071705.53507</c:v>
                </c:pt>
                <c:pt idx="77">
                  <c:v>5011872336.27284</c:v>
                </c:pt>
                <c:pt idx="78">
                  <c:v>6309573444.80207</c:v>
                </c:pt>
                <c:pt idx="79">
                  <c:v>7943282347.24298</c:v>
                </c:pt>
                <c:pt idx="80">
                  <c:v>10000000000</c:v>
                </c:pt>
                <c:pt idx="81">
                  <c:v>12589254117.9417</c:v>
                </c:pt>
                <c:pt idx="82">
                  <c:v>15848931924.6111</c:v>
                </c:pt>
                <c:pt idx="83">
                  <c:v>19952623149.6888</c:v>
                </c:pt>
                <c:pt idx="84">
                  <c:v>25118864315.0958</c:v>
                </c:pt>
                <c:pt idx="85">
                  <c:v>31622776601.6838</c:v>
                </c:pt>
                <c:pt idx="86">
                  <c:v>39810717055.3497</c:v>
                </c:pt>
                <c:pt idx="87">
                  <c:v>50118723362.7272</c:v>
                </c:pt>
                <c:pt idx="88">
                  <c:v>63095734448.0194</c:v>
                </c:pt>
                <c:pt idx="89">
                  <c:v>79432823472.4282</c:v>
                </c:pt>
                <c:pt idx="90">
                  <c:v>100000000000</c:v>
                </c:pt>
                <c:pt idx="91">
                  <c:v>125892541179.417</c:v>
                </c:pt>
                <c:pt idx="92">
                  <c:v>158489319246.111</c:v>
                </c:pt>
                <c:pt idx="93">
                  <c:v>199526231496.888</c:v>
                </c:pt>
                <c:pt idx="94">
                  <c:v>251188643150.958</c:v>
                </c:pt>
                <c:pt idx="95">
                  <c:v>316227766016.838</c:v>
                </c:pt>
                <c:pt idx="96">
                  <c:v>398107170553.497</c:v>
                </c:pt>
                <c:pt idx="97">
                  <c:v>501187233627.272</c:v>
                </c:pt>
                <c:pt idx="98">
                  <c:v>630957344480.194</c:v>
                </c:pt>
                <c:pt idx="99">
                  <c:v>794328234724.282</c:v>
                </c:pt>
                <c:pt idx="100">
                  <c:v>1000000000000</c:v>
                </c:pt>
              </c:numCache>
            </c:numRef>
          </c:xVal>
          <c:yVal>
            <c:numRef>
              <c:f>'Jitter and FOM lines'!$D$65:$D$165</c:f>
              <c:numCache>
                <c:formatCode>General</c:formatCode>
                <c:ptCount val="101"/>
                <c:pt idx="0">
                  <c:v>185.481803699986</c:v>
                </c:pt>
                <c:pt idx="1">
                  <c:v>185.481803699979</c:v>
                </c:pt>
                <c:pt idx="2">
                  <c:v>185.481803699968</c:v>
                </c:pt>
                <c:pt idx="3">
                  <c:v>185.48180369995</c:v>
                </c:pt>
                <c:pt idx="4">
                  <c:v>185.481803699921</c:v>
                </c:pt>
                <c:pt idx="5">
                  <c:v>185.481803699876</c:v>
                </c:pt>
                <c:pt idx="6">
                  <c:v>185.481803699804</c:v>
                </c:pt>
                <c:pt idx="7">
                  <c:v>185.48180369969</c:v>
                </c:pt>
                <c:pt idx="8">
                  <c:v>185.481803699509</c:v>
                </c:pt>
                <c:pt idx="9">
                  <c:v>185.481803699223</c:v>
                </c:pt>
                <c:pt idx="10">
                  <c:v>185.481803698769</c:v>
                </c:pt>
                <c:pt idx="11">
                  <c:v>185.48180369805</c:v>
                </c:pt>
                <c:pt idx="12">
                  <c:v>185.48180369691</c:v>
                </c:pt>
                <c:pt idx="13">
                  <c:v>185.481803695104</c:v>
                </c:pt>
                <c:pt idx="14">
                  <c:v>185.481803692241</c:v>
                </c:pt>
                <c:pt idx="15">
                  <c:v>185.481803687703</c:v>
                </c:pt>
                <c:pt idx="16">
                  <c:v>185.481803680512</c:v>
                </c:pt>
                <c:pt idx="17">
                  <c:v>185.481803669114</c:v>
                </c:pt>
                <c:pt idx="18">
                  <c:v>185.481803651049</c:v>
                </c:pt>
                <c:pt idx="19">
                  <c:v>185.481803622419</c:v>
                </c:pt>
                <c:pt idx="20">
                  <c:v>185.481803577044</c:v>
                </c:pt>
                <c:pt idx="21">
                  <c:v>185.481803505128</c:v>
                </c:pt>
                <c:pt idx="22">
                  <c:v>185.48180339115</c:v>
                </c:pt>
                <c:pt idx="23">
                  <c:v>185.481803210507</c:v>
                </c:pt>
                <c:pt idx="24">
                  <c:v>185.481802924207</c:v>
                </c:pt>
                <c:pt idx="25">
                  <c:v>185.481802470452</c:v>
                </c:pt>
                <c:pt idx="26">
                  <c:v>185.481801751299</c:v>
                </c:pt>
                <c:pt idx="27">
                  <c:v>185.481800611519</c:v>
                </c:pt>
                <c:pt idx="28">
                  <c:v>185.48179880509</c:v>
                </c:pt>
                <c:pt idx="29">
                  <c:v>185.481795942096</c:v>
                </c:pt>
                <c:pt idx="30">
                  <c:v>185.481791404565</c:v>
                </c:pt>
                <c:pt idx="31">
                  <c:v>185.481784213082</c:v>
                </c:pt>
                <c:pt idx="32">
                  <c:v>185.481772815398</c:v>
                </c:pt>
                <c:pt idx="33">
                  <c:v>185.481754751408</c:v>
                </c:pt>
                <c:pt idx="34">
                  <c:v>185.481726122223</c:v>
                </c:pt>
                <c:pt idx="35">
                  <c:v>185.481680748794</c:v>
                </c:pt>
                <c:pt idx="36">
                  <c:v>185.481608838698</c:v>
                </c:pt>
                <c:pt idx="37">
                  <c:v>185.481494873755</c:v>
                </c:pt>
                <c:pt idx="38">
                  <c:v>185.481314263742</c:v>
                </c:pt>
                <c:pt idx="39">
                  <c:v>185.481028046931</c:v>
                </c:pt>
                <c:pt idx="40">
                  <c:v>185.480574501117</c:v>
                </c:pt>
                <c:pt idx="41">
                  <c:v>185.479855873432</c:v>
                </c:pt>
                <c:pt idx="42">
                  <c:v>185.478717412237</c:v>
                </c:pt>
                <c:pt idx="43">
                  <c:v>185.476914294577</c:v>
                </c:pt>
                <c:pt idx="44">
                  <c:v>185.474059609086</c:v>
                </c:pt>
                <c:pt idx="45">
                  <c:v>185.469542910783</c:v>
                </c:pt>
                <c:pt idx="46">
                  <c:v>185.462403615158</c:v>
                </c:pt>
                <c:pt idx="47">
                  <c:v>185.451136456013</c:v>
                </c:pt>
                <c:pt idx="48">
                  <c:v>185.433398108553</c:v>
                </c:pt>
                <c:pt idx="49">
                  <c:v>185.405578208189</c:v>
                </c:pt>
                <c:pt idx="50">
                  <c:v>185.36220396539</c:v>
                </c:pt>
                <c:pt idx="51">
                  <c:v>185.295187302252</c:v>
                </c:pt>
                <c:pt idx="52">
                  <c:v>185.193036163872</c:v>
                </c:pt>
                <c:pt idx="53">
                  <c:v>185.040380423605</c:v>
                </c:pt>
                <c:pt idx="54">
                  <c:v>184.818480062418</c:v>
                </c:pt>
                <c:pt idx="55">
                  <c:v>184.507529820799</c:v>
                </c:pt>
                <c:pt idx="56">
                  <c:v>184.090998101286</c:v>
                </c:pt>
                <c:pt idx="57">
                  <c:v>183.56066535659</c:v>
                </c:pt>
                <c:pt idx="58">
                  <c:v>182.919588311732</c:v>
                </c:pt>
                <c:pt idx="59">
                  <c:v>182.18096274554</c:v>
                </c:pt>
                <c:pt idx="60">
                  <c:v>181.363691738089</c:v>
                </c:pt>
                <c:pt idx="61">
                  <c:v>180.487435731324</c:v>
                </c:pt>
                <c:pt idx="62">
                  <c:v>179.569304535618</c:v>
                </c:pt>
                <c:pt idx="63">
                  <c:v>178.62259496183</c:v>
                </c:pt>
                <c:pt idx="64">
                  <c:v>177.656904555647</c:v>
                </c:pt>
                <c:pt idx="65">
                  <c:v>176.678834737142</c:v>
                </c:pt>
                <c:pt idx="66">
                  <c:v>175.692786578418</c:v>
                </c:pt>
                <c:pt idx="67">
                  <c:v>174.701635943125</c:v>
                </c:pt>
                <c:pt idx="68">
                  <c:v>173.7072381279</c:v>
                </c:pt>
                <c:pt idx="69">
                  <c:v>172.710780318603</c:v>
                </c:pt>
                <c:pt idx="70">
                  <c:v>171.713018266553</c:v>
                </c:pt>
                <c:pt idx="71">
                  <c:v>170.714431503919</c:v>
                </c:pt>
                <c:pt idx="72">
                  <c:v>169.715323669895</c:v>
                </c:pt>
                <c:pt idx="73">
                  <c:v>168.715886777232</c:v>
                </c:pt>
                <c:pt idx="74">
                  <c:v>167.716242149091</c:v>
                </c:pt>
                <c:pt idx="75">
                  <c:v>166.716466403504</c:v>
                </c:pt>
                <c:pt idx="76">
                  <c:v>165.716607910389</c:v>
                </c:pt>
                <c:pt idx="77">
                  <c:v>164.716697199943</c:v>
                </c:pt>
                <c:pt idx="78">
                  <c:v>163.716753539732</c:v>
                </c:pt>
                <c:pt idx="79">
                  <c:v>162.716789088488</c:v>
                </c:pt>
                <c:pt idx="80">
                  <c:v>161.716811518536</c:v>
                </c:pt>
                <c:pt idx="81">
                  <c:v>160.716825671059</c:v>
                </c:pt>
                <c:pt idx="82">
                  <c:v>159.716834600745</c:v>
                </c:pt>
                <c:pt idx="83">
                  <c:v>158.716840235014</c:v>
                </c:pt>
                <c:pt idx="84">
                  <c:v>157.716843790006</c:v>
                </c:pt>
                <c:pt idx="85">
                  <c:v>156.716846033056</c:v>
                </c:pt>
                <c:pt idx="86">
                  <c:v>155.716847448327</c:v>
                </c:pt>
                <c:pt idx="87">
                  <c:v>154.716848341303</c:v>
                </c:pt>
                <c:pt idx="88">
                  <c:v>153.716848904733</c:v>
                </c:pt>
                <c:pt idx="89">
                  <c:v>152.716849260233</c:v>
                </c:pt>
                <c:pt idx="90">
                  <c:v>151.716849484539</c:v>
                </c:pt>
                <c:pt idx="91">
                  <c:v>150.716849626066</c:v>
                </c:pt>
                <c:pt idx="92">
                  <c:v>149.716849715364</c:v>
                </c:pt>
                <c:pt idx="93">
                  <c:v>148.716849771707</c:v>
                </c:pt>
                <c:pt idx="94">
                  <c:v>147.716849807257</c:v>
                </c:pt>
                <c:pt idx="95">
                  <c:v>146.716849829687</c:v>
                </c:pt>
                <c:pt idx="96">
                  <c:v>145.71684984384</c:v>
                </c:pt>
                <c:pt idx="97">
                  <c:v>144.71684985277</c:v>
                </c:pt>
                <c:pt idx="98">
                  <c:v>143.716849858404</c:v>
                </c:pt>
                <c:pt idx="99">
                  <c:v>142.716849861959</c:v>
                </c:pt>
                <c:pt idx="100">
                  <c:v>141.716849864202</c:v>
                </c:pt>
              </c:numCache>
            </c:numRef>
          </c:yVal>
          <c:smooth val="0"/>
        </c:ser>
        <c:axId val="49343242"/>
        <c:axId val="67940975"/>
      </c:scatterChart>
      <c:valAx>
        <c:axId val="49343242"/>
        <c:scaling>
          <c:logBase val="10"/>
          <c:orientation val="minMax"/>
          <c:max val="1000000000000"/>
          <c:min val="100"/>
        </c:scaling>
        <c:delete val="0"/>
        <c:axPos val="b"/>
        <c:majorGridlines>
          <c:spPr>
            <a:ln w="9360">
              <a:solidFill>
                <a:srgbClr val="878787"/>
              </a:solidFill>
              <a:round/>
            </a:ln>
          </c:spPr>
        </c:majorGridlines>
        <c:title>
          <c:tx>
            <c:rich>
              <a:bodyPr rot="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fsnyq [Hz]</a:t>
                </a:r>
              </a:p>
            </c:rich>
          </c:tx>
          <c:layout>
            <c:manualLayout>
              <c:xMode val="edge"/>
              <c:yMode val="edge"/>
              <c:x val="0.442176023901407"/>
              <c:y val="0.8909268069009"/>
            </c:manualLayout>
          </c:layout>
          <c:overlay val="0"/>
          <c:spPr>
            <a:noFill/>
            <a:ln w="25560">
              <a:noFill/>
            </a:ln>
          </c:spPr>
        </c:title>
        <c:numFmt formatCode="0.E+0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67940975"/>
        <c:crossesAt val="0.01"/>
        <c:crossBetween val="midCat"/>
        <c:majorUnit val="-0.521390227654325"/>
      </c:valAx>
      <c:valAx>
        <c:axId val="67940975"/>
        <c:scaling>
          <c:orientation val="minMax"/>
          <c:max val="190"/>
          <c:min val="120"/>
        </c:scaling>
        <c:delete val="0"/>
        <c:axPos val="l"/>
        <c:majorGridlines>
          <c:spPr>
            <a:ln w="3240">
              <a:solidFill>
                <a:srgbClr val="969696"/>
              </a:solidFill>
              <a:round/>
            </a:ln>
          </c:spPr>
        </c:majorGridlines>
        <c:title>
          <c:tx>
            <c:rich>
              <a:bodyPr rot="-5400000"/>
              <a:lstStyle/>
              <a:p>
                <a:pPr>
                  <a:defRPr b="1" lang="en-US" sz="2000" spc="-1" strike="noStrike">
                    <a:solidFill>
                      <a:srgbClr val="000000"/>
                    </a:solidFill>
                    <a:latin typeface="Arial"/>
                    <a:ea typeface="Arial"/>
                  </a:defRPr>
                </a:pPr>
                <a:r>
                  <a:rPr b="1" lang="en-US" sz="2000" spc="-1" strike="noStrike">
                    <a:solidFill>
                      <a:srgbClr val="000000"/>
                    </a:solidFill>
                    <a:latin typeface="Arial"/>
                    <a:ea typeface="Arial"/>
                  </a:rPr>
                  <a:t>FOMS,hf [dB]</a:t>
                </a:r>
              </a:p>
            </c:rich>
          </c:tx>
          <c:layout>
            <c:manualLayout>
              <c:xMode val="edge"/>
              <c:yMode val="edge"/>
              <c:x val="0.00145234242084734"/>
              <c:y val="0.316157505588353"/>
            </c:manualLayout>
          </c:layout>
          <c:overlay val="0"/>
          <c:spPr>
            <a:noFill/>
            <a:ln w="25560">
              <a:noFill/>
            </a:ln>
          </c:spPr>
        </c:title>
        <c:numFmt formatCode="#,##0" sourceLinked="0"/>
        <c:majorTickMark val="out"/>
        <c:minorTickMark val="none"/>
        <c:tickLblPos val="nextTo"/>
        <c:spPr>
          <a:ln w="3240">
            <a:solidFill>
              <a:srgbClr val="000000"/>
            </a:solidFill>
            <a:round/>
          </a:ln>
        </c:spPr>
        <c:txPr>
          <a:bodyPr/>
          <a:lstStyle/>
          <a:p>
            <a:pPr>
              <a:defRPr b="0" sz="1600" spc="-1" strike="noStrike">
                <a:solidFill>
                  <a:srgbClr val="000000"/>
                </a:solidFill>
                <a:latin typeface="Arial"/>
                <a:ea typeface="Arial"/>
              </a:defRPr>
            </a:pPr>
          </a:p>
        </c:txPr>
        <c:crossAx val="49343242"/>
        <c:crosses val="autoZero"/>
        <c:crossBetween val="midCat"/>
      </c:valAx>
      <c:spPr>
        <a:noFill/>
        <a:ln w="25560">
          <a:solidFill>
            <a:srgbClr val="000000"/>
          </a:solidFill>
          <a:round/>
        </a:ln>
      </c:spPr>
    </c:plotArea>
    <c:legend>
      <c:legendPos val="r"/>
      <c:layout>
        <c:manualLayout>
          <c:xMode val="edge"/>
          <c:yMode val="edge"/>
          <c:x val="0.73985549044567"/>
          <c:y val="0.0572362992566964"/>
          <c:w val="0.198443626544136"/>
          <c:h val="0.210139070257589"/>
        </c:manualLayout>
      </c:layout>
      <c:overlay val="0"/>
      <c:spPr>
        <a:solidFill>
          <a:srgbClr val="ffffff"/>
        </a:solidFill>
        <a:ln w="3240">
          <a:solidFill>
            <a:srgbClr val="000000"/>
          </a:solidFill>
          <a:round/>
        </a:ln>
      </c:spPr>
      <c:txPr>
        <a:bodyPr/>
        <a:lstStyle/>
        <a:p>
          <a:pPr>
            <a:defRPr b="0" sz="1200"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256320</xdr:colOff>
      <xdr:row>38</xdr:row>
      <xdr:rowOff>103320</xdr:rowOff>
    </xdr:to>
    <xdr:graphicFrame>
      <xdr:nvGraphicFramePr>
        <xdr:cNvPr id="0" name="Chart 1"/>
        <xdr:cNvGraphicFramePr/>
      </xdr:nvGraphicFramePr>
      <xdr:xfrm>
        <a:off x="0" y="0"/>
        <a:ext cx="867528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256320</xdr:colOff>
      <xdr:row>38</xdr:row>
      <xdr:rowOff>103320</xdr:rowOff>
    </xdr:to>
    <xdr:graphicFrame>
      <xdr:nvGraphicFramePr>
        <xdr:cNvPr id="1" name="Chart 1"/>
        <xdr:cNvGraphicFramePr/>
      </xdr:nvGraphicFramePr>
      <xdr:xfrm>
        <a:off x="0" y="0"/>
        <a:ext cx="867528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256320</xdr:colOff>
      <xdr:row>38</xdr:row>
      <xdr:rowOff>103320</xdr:rowOff>
    </xdr:to>
    <xdr:graphicFrame>
      <xdr:nvGraphicFramePr>
        <xdr:cNvPr id="2" name="Chart 1"/>
        <xdr:cNvGraphicFramePr/>
      </xdr:nvGraphicFramePr>
      <xdr:xfrm>
        <a:off x="0" y="0"/>
        <a:ext cx="867528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256320</xdr:colOff>
      <xdr:row>38</xdr:row>
      <xdr:rowOff>103320</xdr:rowOff>
    </xdr:to>
    <xdr:graphicFrame>
      <xdr:nvGraphicFramePr>
        <xdr:cNvPr id="3" name="Chart 1"/>
        <xdr:cNvGraphicFramePr/>
      </xdr:nvGraphicFramePr>
      <xdr:xfrm>
        <a:off x="0" y="0"/>
        <a:ext cx="8675280" cy="62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hyperlink" Target="https://ieeexplore.ieee.org/document/5205306" TargetMode="External"/><Relationship Id="rId2" Type="http://schemas.openxmlformats.org/officeDocument/2006/relationships/hyperlink" Target="https://ieeexplore.ieee.org/document/5205307" TargetMode="External"/><Relationship Id="rId3" Type="http://schemas.openxmlformats.org/officeDocument/2006/relationships/hyperlink" Target="https://ieeexplore.ieee.org/document/5205308" TargetMode="External"/><Relationship Id="rId4" Type="http://schemas.openxmlformats.org/officeDocument/2006/relationships/hyperlink" Target="https://ieeexplore.ieee.org/document/5205309" TargetMode="External"/><Relationship Id="rId5" Type="http://schemas.openxmlformats.org/officeDocument/2006/relationships/hyperlink" Target="https://ieeexplore.ieee.org/document/5205343" TargetMode="External"/><Relationship Id="rId6" Type="http://schemas.openxmlformats.org/officeDocument/2006/relationships/hyperlink" Target="https://ieeexplore.ieee.org/document/5205344" TargetMode="External"/><Relationship Id="rId7" Type="http://schemas.openxmlformats.org/officeDocument/2006/relationships/hyperlink" Target="https://ieeexplore.ieee.org/document/5205345" TargetMode="External"/><Relationship Id="rId8" Type="http://schemas.openxmlformats.org/officeDocument/2006/relationships/hyperlink" Target="https://ieeexplore.ieee.org/document/5205346" TargetMode="External"/><Relationship Id="rId9" Type="http://schemas.openxmlformats.org/officeDocument/2006/relationships/hyperlink" Target="https://ieeexplore.ieee.org/document/5205306" TargetMode="External"/><Relationship Id="rId10" Type="http://schemas.openxmlformats.org/officeDocument/2006/relationships/hyperlink" Target="https://ieeexplore.ieee.org/document/5205316" TargetMode="External"/><Relationship Id="rId11" Type="http://schemas.openxmlformats.org/officeDocument/2006/relationships/hyperlink" Target="https://ieeexplore.ieee.org/document/5205318" TargetMode="External"/><Relationship Id="rId12" Type="http://schemas.openxmlformats.org/officeDocument/2006/relationships/hyperlink" Target="https://ieeexplore.ieee.org/document/5986411" TargetMode="External"/><Relationship Id="rId13" Type="http://schemas.openxmlformats.org/officeDocument/2006/relationships/hyperlink" Target="https://ieeexplore.ieee.org/document/5986412" TargetMode="External"/><Relationship Id="rId14" Type="http://schemas.openxmlformats.org/officeDocument/2006/relationships/hyperlink" Target="https://ieeexplore.ieee.org/document/5986413" TargetMode="External"/><Relationship Id="rId15" Type="http://schemas.openxmlformats.org/officeDocument/2006/relationships/hyperlink" Target="https://ieeexplore.ieee.org/document/5986414" TargetMode="External"/><Relationship Id="rId16" Type="http://schemas.openxmlformats.org/officeDocument/2006/relationships/hyperlink" Target="https://ieeexplore.ieee.org/document/5986415" TargetMode="External"/><Relationship Id="rId17" Type="http://schemas.openxmlformats.org/officeDocument/2006/relationships/hyperlink" Target="https://ieeexplore.ieee.org/document/5986066" TargetMode="External"/><Relationship Id="rId18" Type="http://schemas.openxmlformats.org/officeDocument/2006/relationships/hyperlink" Target="https://ieeexplore.ieee.org/document/5986067" TargetMode="External"/><Relationship Id="rId19" Type="http://schemas.openxmlformats.org/officeDocument/2006/relationships/hyperlink" Target="https://ieeexplore.ieee.org/document/5986068" TargetMode="External"/><Relationship Id="rId20" Type="http://schemas.openxmlformats.org/officeDocument/2006/relationships/hyperlink" Target="https://ieeexplore.ieee.org/document/5986069" TargetMode="External"/><Relationship Id="rId21" Type="http://schemas.openxmlformats.org/officeDocument/2006/relationships/hyperlink" Target="https://ieeexplore.ieee.org/document/5986070" TargetMode="External"/><Relationship Id="rId22" Type="http://schemas.openxmlformats.org/officeDocument/2006/relationships/hyperlink" Target="https://ieeexplore.ieee.org/document/5986078" TargetMode="External"/><Relationship Id="rId23" Type="http://schemas.openxmlformats.org/officeDocument/2006/relationships/hyperlink" Target="https://ieeexplore.ieee.org/document/5986079" TargetMode="External"/><Relationship Id="rId24" Type="http://schemas.openxmlformats.org/officeDocument/2006/relationships/hyperlink" Target="https://ieeexplore.ieee.org/document/5986444" TargetMode="External"/><Relationship Id="rId25" Type="http://schemas.openxmlformats.org/officeDocument/2006/relationships/hyperlink" Target="https://ieeexplore.ieee.org/document/5986445" TargetMode="External"/><Relationship Id="rId26" Type="http://schemas.openxmlformats.org/officeDocument/2006/relationships/hyperlink" Target="https://ieeexplore.ieee.org/document/5986446" TargetMode="External"/><Relationship Id="rId27" Type="http://schemas.openxmlformats.org/officeDocument/2006/relationships/hyperlink" Target="https://ieeexplore.ieee.org/document/5986447" TargetMode="External"/><Relationship Id="rId28" Type="http://schemas.openxmlformats.org/officeDocument/2006/relationships/hyperlink" Target="https://ieeexplore.ieee.org/document/5986448" TargetMode="External"/><Relationship Id="rId29" Type="http://schemas.openxmlformats.org/officeDocument/2006/relationships/hyperlink" Target="https://ieeexplore.ieee.org/document/6578719" TargetMode="External"/><Relationship Id="rId30" Type="http://schemas.openxmlformats.org/officeDocument/2006/relationships/hyperlink" Target="https://ieeexplore.ieee.org/abstract/document/6578720" TargetMode="External"/><Relationship Id="rId31" Type="http://schemas.openxmlformats.org/officeDocument/2006/relationships/hyperlink" Target="https://ieeexplore.ieee.org/document/6578721" TargetMode="External"/><Relationship Id="rId32" Type="http://schemas.openxmlformats.org/officeDocument/2006/relationships/hyperlink" Target="https://ieeexplore.ieee.org/document/6578722" TargetMode="External"/><Relationship Id="rId33" Type="http://schemas.openxmlformats.org/officeDocument/2006/relationships/hyperlink" Target="https://ieeexplore.ieee.org/document/6578723" TargetMode="External"/><Relationship Id="rId34" Type="http://schemas.openxmlformats.org/officeDocument/2006/relationships/hyperlink" Target="https://ieeexplore.ieee.org/document/6578730" TargetMode="External"/><Relationship Id="rId35" Type="http://schemas.openxmlformats.org/officeDocument/2006/relationships/hyperlink" Target="https://ieeexplore.ieee.org/document/6578731" TargetMode="External"/><Relationship Id="rId36" Type="http://schemas.openxmlformats.org/officeDocument/2006/relationships/hyperlink" Target="https://ieeexplore.ieee.org/document/6578732" TargetMode="External"/><Relationship Id="rId37" Type="http://schemas.openxmlformats.org/officeDocument/2006/relationships/hyperlink" Target="https://ieeexplore.ieee.org/document/6578733" TargetMode="External"/><Relationship Id="rId38" Type="http://schemas.openxmlformats.org/officeDocument/2006/relationships/hyperlink" Target="https://ieeexplore.ieee.org/document/6578686" TargetMode="External"/><Relationship Id="rId39" Type="http://schemas.openxmlformats.org/officeDocument/2006/relationships/hyperlink" Target="https://ieeexplore.ieee.org/document/6578688" TargetMode="External"/><Relationship Id="rId40" Type="http://schemas.openxmlformats.org/officeDocument/2006/relationships/hyperlink" Target="https://ieeexplore.ieee.org/document/6578690" TargetMode="Externa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8"/>
  <sheetViews>
    <sheetView showFormulas="false" showGridLines="true" showRowColHeaders="true" showZeros="true" rightToLeft="false" tabSelected="false" showOutlineSymbols="true" defaultGridColor="true" view="normal" topLeftCell="A69" colorId="64" zoomScale="100" zoomScaleNormal="100" zoomScalePageLayoutView="100" workbookViewId="0">
      <selection pane="topLeft" activeCell="A92" activeCellId="0" sqref="A92"/>
    </sheetView>
  </sheetViews>
  <sheetFormatPr defaultColWidth="8.70703125" defaultRowHeight="12.75" zeroHeight="false" outlineLevelRow="0" outlineLevelCol="0"/>
  <cols>
    <col collapsed="false" customWidth="true" hidden="false" outlineLevel="0" max="1" min="1" style="0" width="176.4"/>
  </cols>
  <sheetData>
    <row r="1" s="2" customFormat="true" ht="12.75" hidden="false" customHeight="false" outlineLevel="0" collapsed="false">
      <c r="A1" s="1" t="s">
        <v>0</v>
      </c>
    </row>
    <row r="2" customFormat="false" ht="12.75" hidden="false" customHeight="false" outlineLevel="0" collapsed="false">
      <c r="A2" s="3" t="s">
        <v>1</v>
      </c>
    </row>
    <row r="3" customFormat="false" ht="12.75" hidden="false" customHeight="false" outlineLevel="0" collapsed="false">
      <c r="A3" s="4"/>
    </row>
    <row r="4" customFormat="false" ht="51" hidden="false" customHeight="false" outlineLevel="0" collapsed="false">
      <c r="A4" s="5" t="s">
        <v>2</v>
      </c>
      <c r="B4" s="6"/>
    </row>
    <row r="6" customFormat="false" ht="12.75" hidden="false" customHeight="false" outlineLevel="0" collapsed="false">
      <c r="A6" s="4" t="s">
        <v>3</v>
      </c>
    </row>
    <row r="7" customFormat="false" ht="12.75" hidden="false" customHeight="false" outlineLevel="0" collapsed="false">
      <c r="A7" s="6" t="s">
        <v>4</v>
      </c>
    </row>
    <row r="9" customFormat="false" ht="12.75" hidden="false" customHeight="false" outlineLevel="0" collapsed="false">
      <c r="A9" s="7" t="s">
        <v>5</v>
      </c>
    </row>
    <row r="11" customFormat="false" ht="25.5" hidden="false" customHeight="false" outlineLevel="0" collapsed="false">
      <c r="A11" s="3" t="s">
        <v>6</v>
      </c>
    </row>
    <row r="12" customFormat="false" ht="12.75" hidden="false" customHeight="true" outlineLevel="0" collapsed="false">
      <c r="A12" s="3" t="s">
        <v>7</v>
      </c>
    </row>
    <row r="13" customFormat="false" ht="40.5" hidden="false" customHeight="true" outlineLevel="0" collapsed="false">
      <c r="A13" s="8" t="s">
        <v>8</v>
      </c>
    </row>
    <row r="14" customFormat="false" ht="38.25" hidden="false" customHeight="false" outlineLevel="0" collapsed="false">
      <c r="A14" s="9" t="s">
        <v>9</v>
      </c>
    </row>
    <row r="15" customFormat="false" ht="38.25" hidden="false" customHeight="false" outlineLevel="0" collapsed="false">
      <c r="A15" s="8" t="s">
        <v>10</v>
      </c>
    </row>
    <row r="16" customFormat="false" ht="12.75" hidden="false" customHeight="false" outlineLevel="0" collapsed="false">
      <c r="A16" s="2" t="s">
        <v>11</v>
      </c>
    </row>
    <row r="17" customFormat="false" ht="12.75" hidden="false" customHeight="false" outlineLevel="0" collapsed="false">
      <c r="A17" s="2" t="s">
        <v>12</v>
      </c>
    </row>
    <row r="18" customFormat="false" ht="25.5" hidden="false" customHeight="false" outlineLevel="0" collapsed="false">
      <c r="A18" s="8" t="s">
        <v>13</v>
      </c>
    </row>
    <row r="20" customFormat="false" ht="12.75" hidden="false" customHeight="false" outlineLevel="0" collapsed="false">
      <c r="A20" s="7" t="s">
        <v>14</v>
      </c>
    </row>
    <row r="22" customFormat="false" ht="25.5" hidden="false" customHeight="false" outlineLevel="0" collapsed="false">
      <c r="A22" s="3" t="s">
        <v>15</v>
      </c>
    </row>
    <row r="23" customFormat="false" ht="38.25" hidden="false" customHeight="false" outlineLevel="0" collapsed="false">
      <c r="A23" s="10" t="s">
        <v>16</v>
      </c>
    </row>
    <row r="26" customFormat="false" ht="12.75" hidden="false" customHeight="false" outlineLevel="0" collapsed="false">
      <c r="A26" s="7" t="s">
        <v>17</v>
      </c>
    </row>
    <row r="28" customFormat="false" ht="76.5" hidden="false" customHeight="false" outlineLevel="0" collapsed="false">
      <c r="A28" s="11" t="s">
        <v>18</v>
      </c>
    </row>
    <row r="30" customFormat="false" ht="12.75" hidden="false" customHeight="false" outlineLevel="0" collapsed="false">
      <c r="A30" s="7" t="s">
        <v>19</v>
      </c>
    </row>
    <row r="32" customFormat="false" ht="39" hidden="false" customHeight="true" outlineLevel="0" collapsed="false">
      <c r="A32" s="12" t="s">
        <v>20</v>
      </c>
    </row>
    <row r="33" customFormat="false" ht="51" hidden="false" customHeight="false" outlineLevel="0" collapsed="false">
      <c r="A33" s="13" t="s">
        <v>21</v>
      </c>
    </row>
    <row r="35" customFormat="false" ht="12.75" hidden="false" customHeight="false" outlineLevel="0" collapsed="false">
      <c r="A35" s="7" t="s">
        <v>22</v>
      </c>
    </row>
    <row r="37" customFormat="false" ht="25.5" hidden="false" customHeight="false" outlineLevel="0" collapsed="false">
      <c r="A37" s="14" t="s">
        <v>23</v>
      </c>
    </row>
    <row r="38" customFormat="false" ht="63.75" hidden="false" customHeight="false" outlineLevel="0" collapsed="false">
      <c r="A38" s="14" t="s">
        <v>24</v>
      </c>
    </row>
    <row r="40" customFormat="false" ht="25.5" hidden="false" customHeight="false" outlineLevel="0" collapsed="false">
      <c r="A40" s="15" t="s">
        <v>25</v>
      </c>
    </row>
    <row r="41" customFormat="false" ht="12.75" hidden="false" customHeight="false" outlineLevel="0" collapsed="false">
      <c r="A41" s="4"/>
    </row>
    <row r="42" customFormat="false" ht="12.75" hidden="false" customHeight="false" outlineLevel="0" collapsed="false">
      <c r="A42" s="4" t="s">
        <v>26</v>
      </c>
    </row>
    <row r="43" customFormat="false" ht="12.75" hidden="false" customHeight="false" outlineLevel="0" collapsed="false">
      <c r="A43" s="4" t="s">
        <v>27</v>
      </c>
    </row>
    <row r="44" customFormat="false" ht="12.75" hidden="false" customHeight="false" outlineLevel="0" collapsed="false">
      <c r="A44" s="16"/>
    </row>
    <row r="45" customFormat="false" ht="12.75" hidden="false" customHeight="false" outlineLevel="0" collapsed="false">
      <c r="A45" s="15" t="s">
        <v>28</v>
      </c>
    </row>
    <row r="46" customFormat="false" ht="12.75" hidden="false" customHeight="false" outlineLevel="0" collapsed="false">
      <c r="A46" s="15" t="s">
        <v>29</v>
      </c>
    </row>
    <row r="47" customFormat="false" ht="12.75" hidden="false" customHeight="false" outlineLevel="0" collapsed="false">
      <c r="A47" s="15" t="s">
        <v>30</v>
      </c>
    </row>
    <row r="48" customFormat="false" ht="12.75" hidden="false" customHeight="false" outlineLevel="0" collapsed="false">
      <c r="A48" s="14" t="s">
        <v>31</v>
      </c>
    </row>
    <row r="49" customFormat="false" ht="12.75" hidden="false" customHeight="false" outlineLevel="0" collapsed="false">
      <c r="A49" s="15" t="s">
        <v>32</v>
      </c>
    </row>
    <row r="50" customFormat="false" ht="12.75" hidden="false" customHeight="false" outlineLevel="0" collapsed="false">
      <c r="A50" s="15" t="s">
        <v>33</v>
      </c>
    </row>
    <row r="52" customFormat="false" ht="12.75" hidden="false" customHeight="false" outlineLevel="0" collapsed="false">
      <c r="A52" s="8" t="s">
        <v>34</v>
      </c>
    </row>
    <row r="53" customFormat="false" ht="12.75" hidden="false" customHeight="false" outlineLevel="0" collapsed="false">
      <c r="A53" s="14" t="s">
        <v>35</v>
      </c>
    </row>
    <row r="54" customFormat="false" ht="12.75" hidden="false" customHeight="false" outlineLevel="0" collapsed="false">
      <c r="A54" s="14" t="s">
        <v>36</v>
      </c>
    </row>
    <row r="55" customFormat="false" ht="12.75" hidden="false" customHeight="false" outlineLevel="0" collapsed="false">
      <c r="A55" s="13" t="s">
        <v>37</v>
      </c>
    </row>
    <row r="56" customFormat="false" ht="12.75" hidden="false" customHeight="false" outlineLevel="0" collapsed="false">
      <c r="A56" s="13" t="s">
        <v>38</v>
      </c>
    </row>
    <row r="57" customFormat="false" ht="12.75" hidden="false" customHeight="false" outlineLevel="0" collapsed="false">
      <c r="A57" s="17" t="s">
        <v>39</v>
      </c>
    </row>
    <row r="58" customFormat="false" ht="12.75" hidden="false" customHeight="false" outlineLevel="0" collapsed="false">
      <c r="A58" s="17" t="s">
        <v>40</v>
      </c>
    </row>
    <row r="59" customFormat="false" ht="12.75" hidden="false" customHeight="false" outlineLevel="0" collapsed="false">
      <c r="A59" s="13" t="s">
        <v>41</v>
      </c>
    </row>
    <row r="60" customFormat="false" ht="12.75" hidden="false" customHeight="false" outlineLevel="0" collapsed="false">
      <c r="A60" s="14" t="s">
        <v>42</v>
      </c>
    </row>
    <row r="61" customFormat="false" ht="12.75" hidden="false" customHeight="false" outlineLevel="0" collapsed="false">
      <c r="A61" s="14" t="s">
        <v>43</v>
      </c>
    </row>
    <row r="62" customFormat="false" ht="12.75" hidden="false" customHeight="false" outlineLevel="0" collapsed="false">
      <c r="A62" s="14" t="s">
        <v>44</v>
      </c>
    </row>
    <row r="63" customFormat="false" ht="12.75" hidden="false" customHeight="false" outlineLevel="0" collapsed="false">
      <c r="A63" s="17" t="s">
        <v>45</v>
      </c>
    </row>
    <row r="64" customFormat="false" ht="12.75" hidden="false" customHeight="false" outlineLevel="0" collapsed="false">
      <c r="A64" s="14" t="s">
        <v>46</v>
      </c>
    </row>
    <row r="65" customFormat="false" ht="12.75" hidden="false" customHeight="false" outlineLevel="0" collapsed="false">
      <c r="A65" s="14" t="s">
        <v>47</v>
      </c>
    </row>
    <row r="66" customFormat="false" ht="12.75" hidden="false" customHeight="false" outlineLevel="0" collapsed="false">
      <c r="A66" s="18" t="s">
        <v>48</v>
      </c>
    </row>
    <row r="67" customFormat="false" ht="12.75" hidden="false" customHeight="false" outlineLevel="0" collapsed="false">
      <c r="A67" s="14" t="s">
        <v>49</v>
      </c>
    </row>
    <row r="68" customFormat="false" ht="12.75" hidden="false" customHeight="false" outlineLevel="0" collapsed="false">
      <c r="A68" s="14" t="s">
        <v>50</v>
      </c>
    </row>
    <row r="69" customFormat="false" ht="12.75" hidden="false" customHeight="false" outlineLevel="0" collapsed="false">
      <c r="A69" s="14" t="s">
        <v>51</v>
      </c>
    </row>
    <row r="70" customFormat="false" ht="12.75" hidden="false" customHeight="false" outlineLevel="0" collapsed="false">
      <c r="A70" s="14" t="s">
        <v>52</v>
      </c>
    </row>
    <row r="71" customFormat="false" ht="12.75" hidden="false" customHeight="false" outlineLevel="0" collapsed="false">
      <c r="A71" s="14" t="s">
        <v>53</v>
      </c>
    </row>
    <row r="72" customFormat="false" ht="12.75" hidden="false" customHeight="false" outlineLevel="0" collapsed="false">
      <c r="A72" s="14" t="s">
        <v>54</v>
      </c>
    </row>
    <row r="73" customFormat="false" ht="12.75" hidden="false" customHeight="false" outlineLevel="0" collapsed="false">
      <c r="A73" s="14" t="s">
        <v>55</v>
      </c>
    </row>
    <row r="74" customFormat="false" ht="12.75" hidden="false" customHeight="false" outlineLevel="0" collapsed="false">
      <c r="A74" s="14" t="s">
        <v>56</v>
      </c>
    </row>
    <row r="75" customFormat="false" ht="12.75" hidden="false" customHeight="false" outlineLevel="0" collapsed="false">
      <c r="A75" s="14" t="s">
        <v>57</v>
      </c>
    </row>
    <row r="76" customFormat="false" ht="12.75" hidden="false" customHeight="false" outlineLevel="0" collapsed="false">
      <c r="A76" s="14" t="s">
        <v>58</v>
      </c>
    </row>
    <row r="77" customFormat="false" ht="12.75" hidden="false" customHeight="false" outlineLevel="0" collapsed="false">
      <c r="A77" s="14" t="s">
        <v>59</v>
      </c>
    </row>
    <row r="78" customFormat="false" ht="12.75" hidden="false" customHeight="false" outlineLevel="0" collapsed="false">
      <c r="A78" s="14" t="s">
        <v>60</v>
      </c>
    </row>
    <row r="79" customFormat="false" ht="12.75" hidden="false" customHeight="false" outlineLevel="0" collapsed="false">
      <c r="A79" s="14" t="s">
        <v>61</v>
      </c>
    </row>
    <row r="80" customFormat="false" ht="12.75" hidden="false" customHeight="false" outlineLevel="0" collapsed="false">
      <c r="A80" s="14" t="s">
        <v>62</v>
      </c>
    </row>
    <row r="81" customFormat="false" ht="12.75" hidden="false" customHeight="false" outlineLevel="0" collapsed="false">
      <c r="A81" s="14" t="s">
        <v>63</v>
      </c>
    </row>
    <row r="82" customFormat="false" ht="12.75" hidden="false" customHeight="false" outlineLevel="0" collapsed="false">
      <c r="A82" s="14" t="s">
        <v>64</v>
      </c>
    </row>
    <row r="83" customFormat="false" ht="12.75" hidden="false" customHeight="false" outlineLevel="0" collapsed="false">
      <c r="A83" s="14" t="s">
        <v>65</v>
      </c>
    </row>
    <row r="84" customFormat="false" ht="12.75" hidden="false" customHeight="false" outlineLevel="0" collapsed="false">
      <c r="A84" s="14" t="s">
        <v>66</v>
      </c>
    </row>
    <row r="85" customFormat="false" ht="12.75" hidden="false" customHeight="false" outlineLevel="0" collapsed="false">
      <c r="A85" s="14" t="s">
        <v>67</v>
      </c>
    </row>
    <row r="86" customFormat="false" ht="12.75" hidden="false" customHeight="false" outlineLevel="0" collapsed="false">
      <c r="A86" s="14" t="s">
        <v>68</v>
      </c>
    </row>
    <row r="87" customFormat="false" ht="12.75" hidden="false" customHeight="false" outlineLevel="0" collapsed="false">
      <c r="A87" s="14" t="s">
        <v>69</v>
      </c>
    </row>
    <row r="88" customFormat="false" ht="12.75" hidden="false" customHeight="false" outlineLevel="0" collapsed="false">
      <c r="A88" s="14" t="s">
        <v>70</v>
      </c>
    </row>
    <row r="89" customFormat="false" ht="12.75" hidden="false" customHeight="false" outlineLevel="0" collapsed="false">
      <c r="A89" s="14" t="s">
        <v>71</v>
      </c>
    </row>
    <row r="90" customFormat="false" ht="12.75" hidden="false" customHeight="false" outlineLevel="0" collapsed="false">
      <c r="A90" s="14" t="s">
        <v>72</v>
      </c>
    </row>
    <row r="91" customFormat="false" ht="12.75" hidden="false" customHeight="false" outlineLevel="0" collapsed="false">
      <c r="A91" s="14" t="s">
        <v>73</v>
      </c>
    </row>
    <row r="92" customFormat="false" ht="12.75" hidden="false" customHeight="false" outlineLevel="0" collapsed="false">
      <c r="A92" s="14" t="s">
        <v>74</v>
      </c>
    </row>
    <row r="95" customFormat="false" ht="12.75" hidden="false" customHeight="false" outlineLevel="0" collapsed="false">
      <c r="A95" s="19"/>
    </row>
    <row r="96" customFormat="false" ht="12.75" hidden="false" customHeight="false" outlineLevel="0" collapsed="false">
      <c r="A96" s="19"/>
    </row>
    <row r="97" customFormat="false" ht="12.75" hidden="false" customHeight="false" outlineLevel="0" collapsed="false">
      <c r="A97" s="19"/>
    </row>
    <row r="98" customFormat="false" ht="12.75" hidden="false" customHeight="false" outlineLevel="0" collapsed="false">
      <c r="A98" s="19"/>
    </row>
    <row r="99" customFormat="false" ht="12.75" hidden="false" customHeight="false" outlineLevel="0" collapsed="false">
      <c r="A99" s="19"/>
    </row>
    <row r="100" customFormat="false" ht="12.75" hidden="false" customHeight="false" outlineLevel="0" collapsed="false">
      <c r="A100" s="20"/>
    </row>
    <row r="101" customFormat="false" ht="12.75" hidden="false" customHeight="false" outlineLevel="0" collapsed="false">
      <c r="A101" s="19"/>
    </row>
    <row r="102" customFormat="false" ht="12.75" hidden="false" customHeight="false" outlineLevel="0" collapsed="false">
      <c r="A102" s="19"/>
    </row>
    <row r="103" customFormat="false" ht="12.75" hidden="false" customHeight="false" outlineLevel="0" collapsed="false">
      <c r="A103" s="20"/>
    </row>
    <row r="104" customFormat="false" ht="12.75" hidden="false" customHeight="false" outlineLevel="0" collapsed="false">
      <c r="A104" s="19"/>
    </row>
    <row r="105" customFormat="false" ht="12.75" hidden="false" customHeight="false" outlineLevel="0" collapsed="false">
      <c r="A105" s="19"/>
    </row>
    <row r="106" customFormat="false" ht="12.75" hidden="false" customHeight="false" outlineLevel="0" collapsed="false">
      <c r="A106" s="20"/>
    </row>
    <row r="107" customFormat="false" ht="12.75" hidden="false" customHeight="false" outlineLevel="0" collapsed="false">
      <c r="A107" s="19"/>
    </row>
    <row r="108" customFormat="false" ht="12.75" hidden="false" customHeight="false" outlineLevel="0" collapsed="false">
      <c r="A108" s="19"/>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4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P35" activeCellId="0" sqref="P35"/>
    </sheetView>
  </sheetViews>
  <sheetFormatPr defaultColWidth="9.13671875" defaultRowHeight="12.75" zeroHeight="false" outlineLevelRow="0" outlineLevelCol="0"/>
  <cols>
    <col collapsed="false" customWidth="true" hidden="false" outlineLevel="0" max="1" min="1" style="21" width="11.07"/>
    <col collapsed="false" customWidth="true" hidden="false" outlineLevel="0" max="2" min="2" style="22" width="5.86"/>
    <col collapsed="false" customWidth="true" hidden="false" outlineLevel="0" max="3" min="3" style="22" width="7.4"/>
    <col collapsed="false" customWidth="true" hidden="false" outlineLevel="0" max="4" min="4" style="23" width="17.53"/>
    <col collapsed="false" customWidth="true" hidden="false" outlineLevel="0" max="5" min="5" style="24" width="13.66"/>
    <col collapsed="false" customWidth="true" hidden="false" outlineLevel="0" max="6" min="6" style="25" width="8.33"/>
    <col collapsed="false" customWidth="true" hidden="false" outlineLevel="0" max="7" min="7" style="26" width="20.8"/>
    <col collapsed="false" customWidth="true" hidden="false" outlineLevel="0" max="8" min="8" style="26" width="14.01"/>
    <col collapsed="false" customWidth="true" hidden="false" outlineLevel="0" max="9" min="9" style="27" width="17.4"/>
    <col collapsed="false" customWidth="true" hidden="false" outlineLevel="0" max="10" min="10" style="21" width="10.46"/>
    <col collapsed="false" customWidth="true" hidden="false" outlineLevel="0" max="11" min="11" style="28" width="27.73"/>
    <col collapsed="false" customWidth="true" hidden="false" outlineLevel="0" max="12" min="12" style="28" width="13.2"/>
    <col collapsed="false" customWidth="true" hidden="false" outlineLevel="0" max="13" min="13" style="28" width="12.4"/>
    <col collapsed="false" customWidth="true" hidden="false" outlineLevel="0" max="14" min="14" style="28" width="13.07"/>
    <col collapsed="false" customWidth="true" hidden="false" outlineLevel="0" max="15" min="15" style="22" width="13.4"/>
    <col collapsed="false" customWidth="true" hidden="false" outlineLevel="0" max="16" min="16" style="29" width="15.4"/>
    <col collapsed="false" customWidth="true" hidden="false" outlineLevel="0" max="17" min="17" style="30" width="15.53"/>
    <col collapsed="false" customWidth="true" hidden="false" outlineLevel="0" max="18" min="18" style="22" width="12.53"/>
    <col collapsed="false" customWidth="true" hidden="false" outlineLevel="0" max="19" min="19" style="30" width="16.33"/>
    <col collapsed="false" customWidth="true" hidden="false" outlineLevel="0" max="20" min="20" style="31" width="11.12"/>
    <col collapsed="false" customWidth="true" hidden="false" outlineLevel="0" max="21" min="21" style="30" width="9.66"/>
    <col collapsed="false" customWidth="true" hidden="false" outlineLevel="0" max="22" min="22" style="29" width="12.13"/>
    <col collapsed="false" customWidth="true" hidden="false" outlineLevel="0" max="23" min="23" style="22" width="12.53"/>
    <col collapsed="false" customWidth="true" hidden="false" outlineLevel="0" max="24" min="24" style="29" width="18.33"/>
    <col collapsed="false" customWidth="true" hidden="false" outlineLevel="0" max="25" min="25" style="22" width="12.66"/>
    <col collapsed="false" customWidth="true" hidden="false" outlineLevel="0" max="26" min="26" style="32" width="12.66"/>
    <col collapsed="false" customWidth="true" hidden="false" outlineLevel="0" max="27" min="27" style="33" width="8.86"/>
    <col collapsed="false" customWidth="true" hidden="false" outlineLevel="0" max="29" min="28" style="22" width="12.13"/>
    <col collapsed="false" customWidth="true" hidden="false" outlineLevel="0" max="30" min="30" style="22" width="14.35"/>
    <col collapsed="false" customWidth="true" hidden="false" outlineLevel="0" max="31" min="31" style="29" width="21.13"/>
    <col collapsed="false" customWidth="true" hidden="false" outlineLevel="0" max="32" min="32" style="29" width="21.66"/>
    <col collapsed="false" customWidth="true" hidden="false" outlineLevel="0" max="33" min="33" style="29" width="12.13"/>
    <col collapsed="false" customWidth="true" hidden="false" outlineLevel="0" max="34" min="34" style="22" width="12.86"/>
    <col collapsed="false" customWidth="true" hidden="false" outlineLevel="0" max="35" min="35" style="34" width="14.13"/>
    <col collapsed="false" customWidth="true" hidden="false" outlineLevel="0" max="36" min="36" style="22" width="19.12"/>
    <col collapsed="false" customWidth="false" hidden="false" outlineLevel="0" max="1024" min="37" style="22" width="9.13"/>
  </cols>
  <sheetData>
    <row r="1" customFormat="false" ht="12.75" hidden="false" customHeight="false" outlineLevel="0" collapsed="false">
      <c r="A1" s="35" t="s">
        <v>75</v>
      </c>
      <c r="B1" s="35" t="s">
        <v>76</v>
      </c>
      <c r="C1" s="35" t="s">
        <v>77</v>
      </c>
      <c r="D1" s="35" t="s">
        <v>78</v>
      </c>
      <c r="E1" s="35" t="s">
        <v>79</v>
      </c>
      <c r="F1" s="35" t="s">
        <v>80</v>
      </c>
      <c r="G1" s="35" t="s">
        <v>81</v>
      </c>
      <c r="H1" s="35" t="s">
        <v>82</v>
      </c>
      <c r="I1" s="35" t="s">
        <v>83</v>
      </c>
      <c r="J1" s="35" t="s">
        <v>84</v>
      </c>
      <c r="K1" s="36" t="s">
        <v>85</v>
      </c>
      <c r="L1" s="35" t="s">
        <v>86</v>
      </c>
      <c r="M1" s="35" t="s">
        <v>87</v>
      </c>
      <c r="N1" s="35" t="s">
        <v>88</v>
      </c>
      <c r="O1" s="37" t="s">
        <v>89</v>
      </c>
      <c r="P1" s="36" t="s">
        <v>90</v>
      </c>
      <c r="Q1" s="31" t="s">
        <v>91</v>
      </c>
      <c r="R1" s="38" t="s">
        <v>92</v>
      </c>
      <c r="S1" s="38" t="s">
        <v>93</v>
      </c>
      <c r="T1" s="38" t="s">
        <v>94</v>
      </c>
      <c r="U1" s="38" t="s">
        <v>95</v>
      </c>
      <c r="V1" s="35" t="s">
        <v>96</v>
      </c>
      <c r="W1" s="38" t="s">
        <v>97</v>
      </c>
      <c r="X1" s="35" t="s">
        <v>98</v>
      </c>
      <c r="Y1" s="38" t="s">
        <v>99</v>
      </c>
      <c r="Z1" s="38" t="s">
        <v>100</v>
      </c>
      <c r="AA1" s="39" t="s">
        <v>101</v>
      </c>
      <c r="AB1" s="39" t="s">
        <v>102</v>
      </c>
      <c r="AC1" s="39" t="s">
        <v>103</v>
      </c>
      <c r="AD1" s="38" t="s">
        <v>104</v>
      </c>
      <c r="AE1" s="39" t="s">
        <v>105</v>
      </c>
      <c r="AF1" s="39" t="s">
        <v>106</v>
      </c>
      <c r="AG1" s="39" t="s">
        <v>107</v>
      </c>
      <c r="AH1" s="39" t="s">
        <v>108</v>
      </c>
      <c r="AI1" s="34" t="s">
        <v>109</v>
      </c>
      <c r="AJ1" s="17" t="s">
        <v>110</v>
      </c>
    </row>
    <row r="2" s="47" customFormat="true" ht="12.75" hidden="false" customHeight="false" outlineLevel="0" collapsed="false">
      <c r="A2" s="40" t="n">
        <v>1997</v>
      </c>
      <c r="B2" s="41" t="n">
        <v>8.1</v>
      </c>
      <c r="C2" s="42" t="s">
        <v>111</v>
      </c>
      <c r="D2" s="42" t="s">
        <v>112</v>
      </c>
      <c r="E2" s="43" t="n">
        <v>1</v>
      </c>
      <c r="F2" s="44" t="s">
        <v>113</v>
      </c>
      <c r="G2" s="45" t="s">
        <v>114</v>
      </c>
      <c r="H2" s="45" t="s">
        <v>115</v>
      </c>
      <c r="I2" s="44" t="s">
        <v>116</v>
      </c>
      <c r="J2" s="46" t="str">
        <f aca="false">IF(I2&lt;&gt;"?", HYPERLINK(CONCATENATE("https://doi.org/",I2)), "")</f>
        <v>https://doi.org/10.1109/ISSCC.1997.585301</v>
      </c>
      <c r="K2" s="45" t="s">
        <v>117</v>
      </c>
      <c r="L2" s="41" t="n">
        <v>5</v>
      </c>
      <c r="M2" s="41"/>
      <c r="N2" s="41"/>
      <c r="O2" s="47" t="s">
        <v>117</v>
      </c>
      <c r="P2" s="45" t="n">
        <v>2.155</v>
      </c>
      <c r="Q2" s="41"/>
      <c r="R2" s="48" t="n">
        <f aca="false">Z2/2</f>
        <v>100000</v>
      </c>
      <c r="S2" s="41" t="n">
        <f aca="false">9.1*6.02+1.76</f>
        <v>56.542</v>
      </c>
      <c r="T2" s="41"/>
      <c r="U2" s="41"/>
      <c r="V2" s="41"/>
      <c r="W2" s="41"/>
      <c r="X2" s="49" t="n">
        <f aca="false">+IF(ISNUMBER($S2),$S2,MIN($V2,$T2,$U2,$W2))</f>
        <v>56.542</v>
      </c>
      <c r="Y2" s="48" t="n">
        <f aca="false">0.0024*5</f>
        <v>0.012</v>
      </c>
      <c r="Z2" s="48" t="n">
        <v>200000</v>
      </c>
      <c r="AA2" s="50" t="n">
        <v>1</v>
      </c>
      <c r="AB2" s="48" t="n">
        <f aca="false">Z2/AA2</f>
        <v>200000</v>
      </c>
      <c r="AC2" s="48"/>
      <c r="AD2" s="51" t="n">
        <f aca="false">Y2/AB2*1000000000000</f>
        <v>60000</v>
      </c>
      <c r="AE2" s="49" t="str">
        <f aca="false">IF(ISNUMBER($Q2), $AD2*1000/2^(($Q2-1.76)/6.02), "")</f>
        <v/>
      </c>
      <c r="AF2" s="49" t="n">
        <f aca="false">$AD2*1000/2^(($X2-1.76)/6.02)</f>
        <v>109339.80369572</v>
      </c>
      <c r="AG2" s="31" t="str">
        <f aca="false">IF(ISNUMBER($Q2), $Q2+10*LOG10($AB2/2/$Y2), "")</f>
        <v/>
      </c>
      <c r="AH2" s="31" t="n">
        <f aca="false">$X2+10*LOG10($AB2/2/$Y2)</f>
        <v>125.750187539524</v>
      </c>
      <c r="AI2" s="52" t="n">
        <f aca="false">AF2/AB2</f>
        <v>0.546699018478598</v>
      </c>
      <c r="AJ2" s="53" t="n">
        <f aca="false">AH2+10*LOG10(AB2)</f>
        <v>178.760487496164</v>
      </c>
    </row>
    <row r="3" customFormat="false" ht="12.75" hidden="false" customHeight="false" outlineLevel="0" collapsed="false">
      <c r="A3" s="50" t="n">
        <v>1997</v>
      </c>
      <c r="B3" s="41" t="n">
        <v>8.2</v>
      </c>
      <c r="C3" s="42" t="s">
        <v>111</v>
      </c>
      <c r="D3" s="42" t="s">
        <v>118</v>
      </c>
      <c r="E3" s="42" t="s">
        <v>119</v>
      </c>
      <c r="F3" s="44" t="s">
        <v>120</v>
      </c>
      <c r="G3" s="45" t="s">
        <v>121</v>
      </c>
      <c r="H3" s="45" t="s">
        <v>122</v>
      </c>
      <c r="I3" s="44" t="s">
        <v>123</v>
      </c>
      <c r="J3" s="46" t="str">
        <f aca="false">IF(I3&lt;&gt;"?", HYPERLINK(CONCATENATE("https://doi.org/",I3)), "")</f>
        <v>https://doi.org/10.1109/ISSCC.1997.585303</v>
      </c>
      <c r="K3" s="45" t="s">
        <v>117</v>
      </c>
      <c r="L3" s="41" t="n">
        <v>5</v>
      </c>
      <c r="M3" s="41"/>
      <c r="N3" s="41"/>
      <c r="O3" s="34" t="s">
        <v>117</v>
      </c>
      <c r="P3" s="45" t="n">
        <v>7</v>
      </c>
      <c r="Q3" s="54"/>
      <c r="R3" s="48" t="n">
        <f aca="false">Z3/2</f>
        <v>25000000</v>
      </c>
      <c r="S3" s="41"/>
      <c r="T3" s="41" t="n">
        <v>64</v>
      </c>
      <c r="U3" s="41"/>
      <c r="V3" s="41"/>
      <c r="W3" s="41" t="n">
        <v>75</v>
      </c>
      <c r="X3" s="49" t="n">
        <f aca="false">+IF(ISNUMBER($S3),$S3,MIN($V3,$T3,$U3,$W3))</f>
        <v>64</v>
      </c>
      <c r="Y3" s="48" t="n">
        <v>0.3</v>
      </c>
      <c r="Z3" s="48" t="n">
        <v>50000000</v>
      </c>
      <c r="AA3" s="50" t="n">
        <v>1</v>
      </c>
      <c r="AB3" s="48" t="n">
        <f aca="false">Z3/AA3</f>
        <v>50000000</v>
      </c>
      <c r="AC3" s="48"/>
      <c r="AD3" s="51" t="n">
        <f aca="false">Y3/AB3*1000000000000</f>
        <v>6000</v>
      </c>
      <c r="AE3" s="49" t="str">
        <f aca="false">IF(ISNUMBER($Q3), $AD3*1000/2^(($Q3-1.76)/6.02), "")</f>
        <v/>
      </c>
      <c r="AF3" s="49" t="n">
        <f aca="false">$AD3*1000/2^(($X3-1.76)/6.02)</f>
        <v>4632.77415478838</v>
      </c>
      <c r="AG3" s="31" t="str">
        <f aca="false">IF(ISNUMBER($Q3), $Q3+10*LOG10($AB3/2/$Y3), "")</f>
        <v/>
      </c>
      <c r="AH3" s="31" t="n">
        <f aca="false">$X3+10*LOG10($AB3/2/$Y3)</f>
        <v>143.208187539524</v>
      </c>
      <c r="AI3" s="52" t="n">
        <f aca="false">AF3/AB3</f>
        <v>9.26554830957677E-005</v>
      </c>
      <c r="AJ3" s="53" t="n">
        <f aca="false">AH3+10*LOG10(AB3)</f>
        <v>220.197887582884</v>
      </c>
    </row>
    <row r="4" customFormat="false" ht="12.75" hidden="false" customHeight="false" outlineLevel="0" collapsed="false">
      <c r="A4" s="50" t="n">
        <v>1997</v>
      </c>
      <c r="B4" s="41" t="n">
        <v>8.3</v>
      </c>
      <c r="C4" s="42" t="s">
        <v>111</v>
      </c>
      <c r="D4" s="42" t="s">
        <v>118</v>
      </c>
      <c r="E4" s="43" t="n">
        <v>0.5</v>
      </c>
      <c r="F4" s="44" t="s">
        <v>124</v>
      </c>
      <c r="G4" s="45" t="s">
        <v>125</v>
      </c>
      <c r="H4" s="45" t="s">
        <v>126</v>
      </c>
      <c r="I4" s="44" t="s">
        <v>123</v>
      </c>
      <c r="J4" s="46" t="str">
        <f aca="false">IF(I4&lt;&gt;"?", HYPERLINK(CONCATENATE("https://doi.org/",I4)), "")</f>
        <v>https://doi.org/10.1109/ISSCC.1997.585303</v>
      </c>
      <c r="K4" s="45" t="s">
        <v>117</v>
      </c>
      <c r="L4" s="41" t="n">
        <v>5</v>
      </c>
      <c r="M4" s="41"/>
      <c r="N4" s="41"/>
      <c r="O4" s="34" t="s">
        <v>117</v>
      </c>
      <c r="P4" s="45" t="n">
        <v>1</v>
      </c>
      <c r="Q4" s="54"/>
      <c r="R4" s="48" t="n">
        <f aca="false">Z4/2</f>
        <v>25000000</v>
      </c>
      <c r="S4" s="41" t="n">
        <f aca="false">1.76+8.6*6.02</f>
        <v>53.532</v>
      </c>
      <c r="T4" s="41"/>
      <c r="U4" s="41"/>
      <c r="V4" s="41"/>
      <c r="W4" s="41"/>
      <c r="X4" s="49" t="n">
        <f aca="false">+IF(ISNUMBER($S4),$S4,MIN($V4,$T4,$U4,$W4))</f>
        <v>53.532</v>
      </c>
      <c r="Y4" s="48" t="n">
        <v>0.17</v>
      </c>
      <c r="Z4" s="48" t="n">
        <v>50000000</v>
      </c>
      <c r="AA4" s="50" t="n">
        <v>1</v>
      </c>
      <c r="AB4" s="48" t="n">
        <f aca="false">Z4/AA4</f>
        <v>50000000</v>
      </c>
      <c r="AC4" s="48"/>
      <c r="AD4" s="51" t="n">
        <f aca="false">Y4/AB4*1000000000000</f>
        <v>3400</v>
      </c>
      <c r="AE4" s="49" t="str">
        <f aca="false">IF(ISNUMBER($Q4), $AD4*1000/2^(($Q4-1.76)/6.02), "")</f>
        <v/>
      </c>
      <c r="AF4" s="49" t="n">
        <f aca="false">$AD4*1000/2^(($X4-1.76)/6.02)</f>
        <v>8762.35721997626</v>
      </c>
      <c r="AG4" s="31" t="str">
        <f aca="false">IF(ISNUMBER($Q4), $Q4+10*LOG10($AB4/2/$Y4), "")</f>
        <v/>
      </c>
      <c r="AH4" s="31" t="n">
        <f aca="false">$X4+10*LOG10($AB4/2/$Y4)</f>
        <v>135.206910872938</v>
      </c>
      <c r="AI4" s="52" t="n">
        <f aca="false">AF4/AB4</f>
        <v>0.000175247144399525</v>
      </c>
      <c r="AJ4" s="53" t="n">
        <f aca="false">AH4+10*LOG10(AB4)</f>
        <v>212.196610916298</v>
      </c>
    </row>
    <row r="5" customFormat="false" ht="13.5" hidden="false" customHeight="true" outlineLevel="0" collapsed="false">
      <c r="A5" s="50" t="n">
        <v>1997</v>
      </c>
      <c r="B5" s="41" t="n">
        <v>8.4</v>
      </c>
      <c r="C5" s="42" t="s">
        <v>111</v>
      </c>
      <c r="D5" s="42" t="s">
        <v>127</v>
      </c>
      <c r="E5" s="42" t="s">
        <v>128</v>
      </c>
      <c r="F5" s="44" t="s">
        <v>129</v>
      </c>
      <c r="G5" s="45" t="s">
        <v>130</v>
      </c>
      <c r="H5" s="55" t="s">
        <v>131</v>
      </c>
      <c r="I5" s="44" t="s">
        <v>132</v>
      </c>
      <c r="J5" s="46" t="str">
        <f aca="false">IF(I5&lt;&gt;"?", HYPERLINK(CONCATENATE("https://doi.org/",I5)), "")</f>
        <v>https://doi.org/10.1109/ISSCC.1997.585305</v>
      </c>
      <c r="K5" s="45" t="s">
        <v>117</v>
      </c>
      <c r="L5" s="41" t="n">
        <v>5</v>
      </c>
      <c r="M5" s="41"/>
      <c r="N5" s="41" t="n">
        <v>-4.5</v>
      </c>
      <c r="O5" s="34" t="s">
        <v>117</v>
      </c>
      <c r="P5" s="56" t="n">
        <v>0</v>
      </c>
      <c r="Q5" s="54"/>
      <c r="R5" s="48" t="n">
        <f aca="false">Z5/2</f>
        <v>64000000</v>
      </c>
      <c r="S5" s="41"/>
      <c r="T5" s="41" t="n">
        <v>58.4</v>
      </c>
      <c r="U5" s="41"/>
      <c r="V5" s="41"/>
      <c r="W5" s="41"/>
      <c r="X5" s="49" t="n">
        <f aca="false">+IF(ISNUMBER($S5),$S5,MIN($V5,$T5,$U5,$W5))</f>
        <v>58.4</v>
      </c>
      <c r="Y5" s="48" t="n">
        <v>5.7</v>
      </c>
      <c r="Z5" s="48" t="n">
        <v>128000000</v>
      </c>
      <c r="AA5" s="50" t="n">
        <v>1</v>
      </c>
      <c r="AB5" s="48" t="n">
        <f aca="false">Z5/AA5</f>
        <v>128000000</v>
      </c>
      <c r="AC5" s="48"/>
      <c r="AD5" s="51" t="n">
        <f aca="false">Y5/AB5*1000000000000</f>
        <v>44531.25</v>
      </c>
      <c r="AE5" s="49" t="str">
        <f aca="false">IF(ISNUMBER($Q5), $AD5*1000/2^(($Q5-1.76)/6.02), "")</f>
        <v/>
      </c>
      <c r="AF5" s="49" t="n">
        <f aca="false">$AD5*1000/2^(($X5-1.76)/6.02)</f>
        <v>65521.3244502691</v>
      </c>
      <c r="AG5" s="31" t="str">
        <f aca="false">IF(ISNUMBER($Q5), $Q5+10*LOG10($AB5/2/$Y5), "")</f>
        <v/>
      </c>
      <c r="AH5" s="31" t="n">
        <f aca="false">$X5+10*LOG10($AB5/2/$Y5)</f>
        <v>128.903051183114</v>
      </c>
      <c r="AI5" s="52" t="n">
        <f aca="false">AF5/AB5</f>
        <v>0.000511885347267727</v>
      </c>
      <c r="AJ5" s="53" t="n">
        <f aca="false">AH5+10*LOG10(AB5)</f>
        <v>209.975150879593</v>
      </c>
    </row>
    <row r="6" customFormat="false" ht="12.75" hidden="false" customHeight="false" outlineLevel="0" collapsed="false">
      <c r="A6" s="50" t="n">
        <v>1997</v>
      </c>
      <c r="B6" s="41" t="n">
        <v>8.8</v>
      </c>
      <c r="C6" s="42" t="s">
        <v>111</v>
      </c>
      <c r="D6" s="42" t="s">
        <v>133</v>
      </c>
      <c r="E6" s="43" t="n">
        <v>1.4</v>
      </c>
      <c r="F6" s="44" t="s">
        <v>134</v>
      </c>
      <c r="G6" s="45" t="s">
        <v>135</v>
      </c>
      <c r="H6" s="45" t="s">
        <v>136</v>
      </c>
      <c r="I6" s="44" t="s">
        <v>137</v>
      </c>
      <c r="J6" s="46" t="str">
        <f aca="false">IF(I6&lt;&gt;"?", HYPERLINK(CONCATENATE("https://doi.org/",I6)), "")</f>
        <v>https://doi.org/10.1109/ISSCC.1997.585309</v>
      </c>
      <c r="K6" s="45" t="s">
        <v>138</v>
      </c>
      <c r="L6" s="41" t="n">
        <v>5</v>
      </c>
      <c r="M6" s="41"/>
      <c r="N6" s="41"/>
      <c r="O6" s="34" t="s">
        <v>117</v>
      </c>
      <c r="P6" s="45" t="n">
        <v>27.28</v>
      </c>
      <c r="Q6" s="54"/>
      <c r="R6" s="48" t="n">
        <f aca="false">Z6/2</f>
        <v>2500000</v>
      </c>
      <c r="S6" s="41" t="n">
        <v>84.9</v>
      </c>
      <c r="T6" s="41" t="n">
        <v>86.9</v>
      </c>
      <c r="U6" s="41"/>
      <c r="V6" s="41"/>
      <c r="W6" s="41" t="n">
        <v>93</v>
      </c>
      <c r="X6" s="49" t="n">
        <f aca="false">+IF(ISNUMBER($S6),$S6,MIN($V6,$T6,$U6,$W6))</f>
        <v>84.9</v>
      </c>
      <c r="Y6" s="48" t="n">
        <v>0.13</v>
      </c>
      <c r="Z6" s="48" t="n">
        <v>5000000</v>
      </c>
      <c r="AA6" s="50" t="n">
        <v>1</v>
      </c>
      <c r="AB6" s="48" t="n">
        <f aca="false">Z6/AA6</f>
        <v>5000000</v>
      </c>
      <c r="AC6" s="48"/>
      <c r="AD6" s="51" t="n">
        <f aca="false">Y6/AB6*1000000000000</f>
        <v>26000</v>
      </c>
      <c r="AE6" s="49" t="str">
        <f aca="false">IF(ISNUMBER($Q6), $AD6*1000/2^(($Q6-1.76)/6.02), "")</f>
        <v/>
      </c>
      <c r="AF6" s="49" t="n">
        <f aca="false">$AD6*1000/2^(($X6-1.76)/6.02)</f>
        <v>1809.50208940186</v>
      </c>
      <c r="AG6" s="31" t="str">
        <f aca="false">IF(ISNUMBER($Q6), $Q6+10*LOG10($AB6/2/$Y6), "")</f>
        <v/>
      </c>
      <c r="AH6" s="31" t="n">
        <f aca="false">$X6+10*LOG10($AB6/2/$Y6)</f>
        <v>157.739966563652</v>
      </c>
      <c r="AI6" s="52" t="n">
        <f aca="false">AF6/AB6</f>
        <v>0.000361900417880372</v>
      </c>
      <c r="AJ6" s="53" t="n">
        <f aca="false">AH6+10*LOG10(AB6)</f>
        <v>224.729666607012</v>
      </c>
    </row>
    <row r="7" customFormat="false" ht="12.75" hidden="false" customHeight="false" outlineLevel="0" collapsed="false">
      <c r="A7" s="50" t="n">
        <v>1997</v>
      </c>
      <c r="B7" s="41" t="n">
        <v>13.1</v>
      </c>
      <c r="C7" s="42" t="s">
        <v>139</v>
      </c>
      <c r="D7" s="42" t="s">
        <v>140</v>
      </c>
      <c r="E7" s="43" t="n">
        <v>0.6</v>
      </c>
      <c r="F7" s="44" t="s">
        <v>141</v>
      </c>
      <c r="G7" s="45" t="s">
        <v>142</v>
      </c>
      <c r="H7" s="45" t="s">
        <v>143</v>
      </c>
      <c r="I7" s="44" t="s">
        <v>144</v>
      </c>
      <c r="J7" s="46" t="str">
        <f aca="false">IF(I7&lt;&gt;"?", HYPERLINK(CONCATENATE("https://doi.org/",I7)), "")</f>
        <v>https://doi.org/10.1109/ISSCC.1997.585335</v>
      </c>
      <c r="K7" s="45" t="s">
        <v>117</v>
      </c>
      <c r="L7" s="41"/>
      <c r="M7" s="41"/>
      <c r="N7" s="41"/>
      <c r="O7" s="34" t="s">
        <v>117</v>
      </c>
      <c r="P7" s="45" t="n">
        <v>31.8</v>
      </c>
      <c r="Q7" s="54"/>
      <c r="R7" s="48" t="n">
        <v>1250000</v>
      </c>
      <c r="S7" s="41"/>
      <c r="T7" s="41" t="n">
        <v>89</v>
      </c>
      <c r="U7" s="41"/>
      <c r="V7" s="41"/>
      <c r="W7" s="41" t="n">
        <v>97</v>
      </c>
      <c r="X7" s="49" t="n">
        <f aca="false">+IF(ISNUMBER($S7),$S7,MIN($V7,$T7,$U7,$W7))</f>
        <v>89</v>
      </c>
      <c r="Y7" s="48" t="n">
        <v>0.55</v>
      </c>
      <c r="Z7" s="48" t="n">
        <v>20000000</v>
      </c>
      <c r="AA7" s="50" t="n">
        <v>8</v>
      </c>
      <c r="AB7" s="48" t="n">
        <f aca="false">Z7/AA7</f>
        <v>2500000</v>
      </c>
      <c r="AC7" s="48"/>
      <c r="AD7" s="51" t="n">
        <f aca="false">Y7/AB7*1000000000000</f>
        <v>220000</v>
      </c>
      <c r="AE7" s="49" t="str">
        <f aca="false">IF(ISNUMBER($Q7), $AD7*1000/2^(($Q7-1.76)/6.02), "")</f>
        <v/>
      </c>
      <c r="AF7" s="49" t="n">
        <f aca="false">$AD7*1000/2^(($X7-1.76)/6.02)</f>
        <v>9549.66183195014</v>
      </c>
      <c r="AG7" s="31" t="str">
        <f aca="false">IF(ISNUMBER($Q7), $Q7+10*LOG10($AB7/2/$Y7), "")</f>
        <v/>
      </c>
      <c r="AH7" s="31" t="n">
        <f aca="false">$X7+10*LOG10($AB7/2/$Y7)</f>
        <v>152.565473235138</v>
      </c>
      <c r="AI7" s="52" t="n">
        <f aca="false">AF7/AB7</f>
        <v>0.00381986473278006</v>
      </c>
      <c r="AJ7" s="53" t="n">
        <f aca="false">AH7+10*LOG10(AB7)</f>
        <v>216.544873321858</v>
      </c>
    </row>
    <row r="8" customFormat="false" ht="12.75" hidden="false" customHeight="false" outlineLevel="0" collapsed="false">
      <c r="A8" s="50" t="n">
        <v>1997</v>
      </c>
      <c r="B8" s="41" t="n">
        <v>13.2</v>
      </c>
      <c r="C8" s="42" t="s">
        <v>139</v>
      </c>
      <c r="D8" s="42" t="s">
        <v>145</v>
      </c>
      <c r="E8" s="43" t="n">
        <v>0.5</v>
      </c>
      <c r="F8" s="44" t="s">
        <v>146</v>
      </c>
      <c r="G8" s="45" t="s">
        <v>147</v>
      </c>
      <c r="H8" s="45" t="s">
        <v>148</v>
      </c>
      <c r="I8" s="44" t="s">
        <v>149</v>
      </c>
      <c r="J8" s="46" t="str">
        <f aca="false">IF(I8&lt;&gt;"?", HYPERLINK(CONCATENATE("https://doi.org/",I8)), "")</f>
        <v>https://doi.org/10.1109/ISSCC.1997.585336</v>
      </c>
      <c r="K8" s="45" t="s">
        <v>117</v>
      </c>
      <c r="L8" s="41" t="n">
        <v>1.5</v>
      </c>
      <c r="M8" s="41"/>
      <c r="N8" s="41"/>
      <c r="O8" s="34" t="s">
        <v>117</v>
      </c>
      <c r="P8" s="56" t="n">
        <v>0.39</v>
      </c>
      <c r="Q8" s="54"/>
      <c r="R8" s="48" t="n">
        <v>1000</v>
      </c>
      <c r="S8" s="41" t="n">
        <v>81</v>
      </c>
      <c r="T8" s="41"/>
      <c r="U8" s="41" t="n">
        <v>88</v>
      </c>
      <c r="V8" s="41"/>
      <c r="W8" s="41"/>
      <c r="X8" s="49" t="n">
        <f aca="false">+IF(ISNUMBER($S8),$S8,MIN($V8,$T8,$U8,$W8))</f>
        <v>81</v>
      </c>
      <c r="Y8" s="48" t="n">
        <v>0.00055</v>
      </c>
      <c r="Z8" s="48" t="n">
        <v>1000000</v>
      </c>
      <c r="AA8" s="50" t="n">
        <v>500</v>
      </c>
      <c r="AB8" s="48" t="n">
        <f aca="false">Z8/AA8</f>
        <v>2000</v>
      </c>
      <c r="AC8" s="48"/>
      <c r="AD8" s="51" t="n">
        <f aca="false">Y8/AB8*1000000000000</f>
        <v>275000</v>
      </c>
      <c r="AE8" s="49" t="str">
        <f aca="false">IF(ISNUMBER($Q8), $AD8*1000/2^(($Q8-1.76)/6.02), "")</f>
        <v/>
      </c>
      <c r="AF8" s="49" t="n">
        <f aca="false">$AD8*1000/2^(($X8-1.76)/6.02)</f>
        <v>29987.3347120303</v>
      </c>
      <c r="AG8" s="31" t="str">
        <f aca="false">IF(ISNUMBER($Q8), $Q8+10*LOG10($AB8/2/$Y8), "")</f>
        <v/>
      </c>
      <c r="AH8" s="31" t="n">
        <f aca="false">$X8+10*LOG10($AB8/2/$Y8)</f>
        <v>143.596373105058</v>
      </c>
      <c r="AI8" s="52" t="n">
        <f aca="false">AF8/AB8</f>
        <v>14.9936673560152</v>
      </c>
      <c r="AJ8" s="53" t="n">
        <f aca="false">AH8+10*LOG10(AB8)</f>
        <v>176.606673061697</v>
      </c>
    </row>
    <row r="9" customFormat="false" ht="12.75" hidden="false" customHeight="false" outlineLevel="0" collapsed="false">
      <c r="A9" s="50" t="n">
        <v>1997</v>
      </c>
      <c r="B9" s="41" t="n">
        <v>13.3</v>
      </c>
      <c r="C9" s="42" t="s">
        <v>139</v>
      </c>
      <c r="D9" s="42" t="s">
        <v>150</v>
      </c>
      <c r="E9" s="43" t="n">
        <v>0.6</v>
      </c>
      <c r="F9" s="44" t="s">
        <v>151</v>
      </c>
      <c r="G9" s="45" t="s">
        <v>152</v>
      </c>
      <c r="H9" s="45" t="s">
        <v>153</v>
      </c>
      <c r="I9" s="44" t="s">
        <v>154</v>
      </c>
      <c r="J9" s="46" t="str">
        <f aca="false">IF(I9&lt;&gt;"?", HYPERLINK(CONCATENATE("https://doi.org/",I9)), "")</f>
        <v>https://doi.org/10.1109/ISSCC.1997.585337</v>
      </c>
      <c r="K9" s="45" t="s">
        <v>155</v>
      </c>
      <c r="L9" s="41" t="n">
        <v>3.3</v>
      </c>
      <c r="M9" s="41"/>
      <c r="N9" s="41"/>
      <c r="O9" s="34" t="s">
        <v>117</v>
      </c>
      <c r="P9" s="45" t="n">
        <v>2.73</v>
      </c>
      <c r="Q9" s="54"/>
      <c r="R9" s="48" t="n">
        <v>200000</v>
      </c>
      <c r="S9" s="41" t="n">
        <v>75</v>
      </c>
      <c r="T9" s="41"/>
      <c r="U9" s="41" t="n">
        <v>75</v>
      </c>
      <c r="V9" s="41"/>
      <c r="W9" s="41"/>
      <c r="X9" s="49" t="n">
        <f aca="false">+IF(ISNUMBER($S9),$S9,MIN($V9,$T9,$U9,$W9))</f>
        <v>75</v>
      </c>
      <c r="Y9" s="48" t="n">
        <v>0.072</v>
      </c>
      <c r="Z9" s="48" t="n">
        <v>40000000</v>
      </c>
      <c r="AA9" s="50" t="n">
        <v>100</v>
      </c>
      <c r="AB9" s="48" t="n">
        <f aca="false">Z9/AA9</f>
        <v>400000</v>
      </c>
      <c r="AC9" s="48" t="n">
        <v>20000000</v>
      </c>
      <c r="AD9" s="51" t="n">
        <f aca="false">Y9/AB9*1000000000000</f>
        <v>180000</v>
      </c>
      <c r="AE9" s="49" t="str">
        <f aca="false">IF(ISNUMBER($Q9), $AD9*1000/2^(($Q9-1.76)/6.02), "")</f>
        <v/>
      </c>
      <c r="AF9" s="49" t="n">
        <f aca="false">$AD9*1000/2^(($X9-1.76)/6.02)</f>
        <v>39165.8516391046</v>
      </c>
      <c r="AG9" s="31" t="str">
        <f aca="false">IF(ISNUMBER($Q9), $Q9+10*LOG10($AB9/2/$Y9), "")</f>
        <v/>
      </c>
      <c r="AH9" s="31" t="n">
        <f aca="false">$X9+10*LOG10($AB9/2/$Y9)</f>
        <v>139.436974992327</v>
      </c>
      <c r="AI9" s="52" t="n">
        <f aca="false">AF9/AB9</f>
        <v>0.0979146290977615</v>
      </c>
      <c r="AJ9" s="53" t="n">
        <f aca="false">AH9+10*LOG10(AB9)</f>
        <v>195.457574905607</v>
      </c>
    </row>
    <row r="10" customFormat="false" ht="12.75" hidden="false" customHeight="false" outlineLevel="0" collapsed="false">
      <c r="A10" s="50" t="n">
        <v>1997</v>
      </c>
      <c r="B10" s="41" t="n">
        <v>13.4</v>
      </c>
      <c r="C10" s="42" t="s">
        <v>139</v>
      </c>
      <c r="D10" s="42" t="s">
        <v>156</v>
      </c>
      <c r="E10" s="42" t="s">
        <v>157</v>
      </c>
      <c r="F10" s="44" t="s">
        <v>158</v>
      </c>
      <c r="G10" s="45" t="s">
        <v>159</v>
      </c>
      <c r="H10" s="45" t="s">
        <v>160</v>
      </c>
      <c r="I10" s="44" t="s">
        <v>161</v>
      </c>
      <c r="J10" s="46" t="str">
        <f aca="false">IF(I10&lt;&gt;"?", HYPERLINK(CONCATENATE("https://doi.org/",I10)), "")</f>
        <v>https://doi.org/10.1109/ISSCC.1997.585338</v>
      </c>
      <c r="K10" s="45" t="s">
        <v>162</v>
      </c>
      <c r="L10" s="41"/>
      <c r="M10" s="41"/>
      <c r="N10" s="41"/>
      <c r="O10" s="34" t="s">
        <v>117</v>
      </c>
      <c r="P10" s="45" t="n">
        <v>0.5625</v>
      </c>
      <c r="Q10" s="54"/>
      <c r="R10" s="48" t="n">
        <v>62600000</v>
      </c>
      <c r="S10" s="41" t="n">
        <v>44.1</v>
      </c>
      <c r="T10" s="41"/>
      <c r="U10" s="41"/>
      <c r="V10" s="41"/>
      <c r="W10" s="41"/>
      <c r="X10" s="49" t="n">
        <f aca="false">+IF(ISNUMBER($S10),$S10,MIN($V10,$T10,$U10,$W10))</f>
        <v>44.1</v>
      </c>
      <c r="Y10" s="48" t="n">
        <v>1.4</v>
      </c>
      <c r="Z10" s="48" t="n">
        <v>4000000000</v>
      </c>
      <c r="AA10" s="50" t="n">
        <v>31.9488817891374</v>
      </c>
      <c r="AB10" s="48" t="n">
        <f aca="false">Z10/AA10</f>
        <v>125200000</v>
      </c>
      <c r="AC10" s="48" t="n">
        <v>55000000</v>
      </c>
      <c r="AD10" s="51" t="n">
        <f aca="false">Y10/AB10*1000000000000</f>
        <v>11182.1086261981</v>
      </c>
      <c r="AE10" s="49" t="str">
        <f aca="false">IF(ISNUMBER($Q10), $AD10*1000/2^(($Q10-1.76)/6.02), "")</f>
        <v/>
      </c>
      <c r="AF10" s="49" t="n">
        <f aca="false">$AD10*1000/2^(($X10-1.76)/6.02)</f>
        <v>85371.466280255</v>
      </c>
      <c r="AG10" s="31" t="str">
        <f aca="false">IF(ISNUMBER($Q10), $Q10+10*LOG10($AB10/2/$Y10), "")</f>
        <v/>
      </c>
      <c r="AH10" s="31" t="n">
        <f aca="false">$X10+10*LOG10($AB10/2/$Y10)</f>
        <v>120.604462975322</v>
      </c>
      <c r="AI10" s="52" t="n">
        <f aca="false">AF10/AB10</f>
        <v>0.000681880721088299</v>
      </c>
      <c r="AJ10" s="53" t="n">
        <f aca="false">AH10+10*LOG10(AB10)</f>
        <v>201.580506264066</v>
      </c>
    </row>
    <row r="11" customFormat="false" ht="12.75" hidden="false" customHeight="false" outlineLevel="0" collapsed="false">
      <c r="A11" s="50" t="n">
        <v>1997</v>
      </c>
      <c r="B11" s="41" t="n">
        <v>13.5</v>
      </c>
      <c r="C11" s="42" t="s">
        <v>139</v>
      </c>
      <c r="D11" s="42" t="s">
        <v>163</v>
      </c>
      <c r="E11" s="42" t="n">
        <v>0.8</v>
      </c>
      <c r="F11" s="44" t="s">
        <v>164</v>
      </c>
      <c r="G11" s="45" t="s">
        <v>165</v>
      </c>
      <c r="H11" s="45" t="s">
        <v>166</v>
      </c>
      <c r="I11" s="44" t="s">
        <v>167</v>
      </c>
      <c r="J11" s="46" t="str">
        <f aca="false">IF(I11&lt;&gt;"?", HYPERLINK(CONCATENATE("https://doi.org/",I11)), "")</f>
        <v>https://doi.org/10.1109/ISSCC.1997.585339</v>
      </c>
      <c r="K11" s="45" t="s">
        <v>168</v>
      </c>
      <c r="L11" s="41"/>
      <c r="M11" s="41"/>
      <c r="N11" s="41"/>
      <c r="O11" s="34" t="s">
        <v>117</v>
      </c>
      <c r="P11" s="45" t="n">
        <v>4.32</v>
      </c>
      <c r="Q11" s="54"/>
      <c r="R11" s="48" t="n">
        <v>200000</v>
      </c>
      <c r="S11" s="41" t="n">
        <v>62</v>
      </c>
      <c r="T11" s="41"/>
      <c r="U11" s="41" t="n">
        <v>67</v>
      </c>
      <c r="V11" s="41"/>
      <c r="W11" s="41"/>
      <c r="X11" s="49" t="n">
        <f aca="false">+IF(ISNUMBER($S11),$S11,MIN($V11,$T11,$U11,$W11))</f>
        <v>62</v>
      </c>
      <c r="Y11" s="48" t="n">
        <v>0.13</v>
      </c>
      <c r="Z11" s="48" t="n">
        <v>10000000</v>
      </c>
      <c r="AA11" s="50" t="n">
        <v>25</v>
      </c>
      <c r="AB11" s="48" t="n">
        <f aca="false">Z11/AA11</f>
        <v>400000</v>
      </c>
      <c r="AC11" s="48" t="n">
        <v>3750000</v>
      </c>
      <c r="AD11" s="51" t="n">
        <f aca="false">Y11/AB11*1000000000000</f>
        <v>325000</v>
      </c>
      <c r="AE11" s="49" t="str">
        <f aca="false">IF(ISNUMBER($Q11), $AD11*1000/2^(($Q11-1.76)/6.02), "")</f>
        <v/>
      </c>
      <c r="AF11" s="49" t="n">
        <f aca="false">$AD11*1000/2^(($X11-1.76)/6.02)</f>
        <v>315924.425952465</v>
      </c>
      <c r="AG11" s="31" t="str">
        <f aca="false">IF(ISNUMBER($Q11), $Q11+10*LOG10($AB11/2/$Y11), "")</f>
        <v/>
      </c>
      <c r="AH11" s="31" t="n">
        <f aca="false">$X11+10*LOG10($AB11/2/$Y11)</f>
        <v>123.870866433571</v>
      </c>
      <c r="AI11" s="52" t="n">
        <f aca="false">AF11/AB11</f>
        <v>0.789811064881162</v>
      </c>
      <c r="AJ11" s="53" t="n">
        <f aca="false">AH11+10*LOG10(AB11)</f>
        <v>179.891466346851</v>
      </c>
    </row>
    <row r="12" customFormat="false" ht="12.75" hidden="false" customHeight="false" outlineLevel="0" collapsed="false">
      <c r="A12" s="50" t="n">
        <v>1997</v>
      </c>
      <c r="B12" s="41" t="n">
        <v>13.6</v>
      </c>
      <c r="C12" s="42" t="s">
        <v>139</v>
      </c>
      <c r="D12" s="42" t="s">
        <v>145</v>
      </c>
      <c r="E12" s="42" t="n">
        <v>0.8</v>
      </c>
      <c r="F12" s="44" t="s">
        <v>169</v>
      </c>
      <c r="G12" s="45" t="s">
        <v>170</v>
      </c>
      <c r="H12" s="45" t="s">
        <v>171</v>
      </c>
      <c r="I12" s="44" t="s">
        <v>172</v>
      </c>
      <c r="J12" s="46" t="str">
        <f aca="false">IF(I12&lt;&gt;"?", HYPERLINK(CONCATENATE("https://doi.org/",I12)), "")</f>
        <v>https://doi.org/10.1109/ISSCC.1997.585340</v>
      </c>
      <c r="K12" s="45" t="s">
        <v>117</v>
      </c>
      <c r="L12" s="41"/>
      <c r="M12" s="41"/>
      <c r="N12" s="41"/>
      <c r="O12" s="34" t="s">
        <v>117</v>
      </c>
      <c r="P12" s="45" t="n">
        <v>25</v>
      </c>
      <c r="Q12" s="54"/>
      <c r="R12" s="48" t="n">
        <v>48000</v>
      </c>
      <c r="S12" s="41" t="n">
        <v>110</v>
      </c>
      <c r="T12" s="41"/>
      <c r="U12" s="41" t="n">
        <v>118</v>
      </c>
      <c r="V12" s="41"/>
      <c r="W12" s="41"/>
      <c r="X12" s="49" t="n">
        <f aca="false">+IF(ISNUMBER($S12),$S12,MIN($V12,$T12,$U12,$W12))</f>
        <v>110</v>
      </c>
      <c r="Y12" s="48" t="n">
        <v>0.76</v>
      </c>
      <c r="Z12" s="48" t="n">
        <v>6144000</v>
      </c>
      <c r="AA12" s="50" t="n">
        <v>64</v>
      </c>
      <c r="AB12" s="48" t="n">
        <f aca="false">Z12/AA12</f>
        <v>96000</v>
      </c>
      <c r="AC12" s="48"/>
      <c r="AD12" s="51" t="n">
        <f aca="false">Y12/AB12*1000000000000</f>
        <v>7916666.66666667</v>
      </c>
      <c r="AE12" s="49" t="str">
        <f aca="false">IF(ISNUMBER($Q12), $AD12*1000/2^(($Q12-1.76)/6.02), "")</f>
        <v/>
      </c>
      <c r="AF12" s="49" t="n">
        <f aca="false">$AD12*1000/2^(($X12-1.76)/6.02)</f>
        <v>30619.8483330362</v>
      </c>
      <c r="AG12" s="31" t="str">
        <f aca="false">IF(ISNUMBER($Q12), $Q12+10*LOG10($AB12/2/$Y12), "")</f>
        <v/>
      </c>
      <c r="AH12" s="31" t="n">
        <f aca="false">$X12+10*LOG10($AB12/2/$Y12)</f>
        <v>158.004276450948</v>
      </c>
      <c r="AI12" s="52" t="n">
        <f aca="false">AF12/AB12</f>
        <v>0.318956753469127</v>
      </c>
      <c r="AJ12" s="53" t="n">
        <f aca="false">AH12+10*LOG10(AB12)</f>
        <v>207.826988781344</v>
      </c>
    </row>
    <row r="13" customFormat="false" ht="12.75" hidden="false" customHeight="false" outlineLevel="0" collapsed="false">
      <c r="A13" s="50" t="n">
        <v>1997</v>
      </c>
      <c r="B13" s="41" t="n">
        <v>13.7</v>
      </c>
      <c r="C13" s="42" t="s">
        <v>139</v>
      </c>
      <c r="D13" s="42" t="s">
        <v>173</v>
      </c>
      <c r="E13" s="43" t="n">
        <v>0.5</v>
      </c>
      <c r="F13" s="44" t="s">
        <v>174</v>
      </c>
      <c r="G13" s="45" t="s">
        <v>175</v>
      </c>
      <c r="H13" s="45" t="s">
        <v>176</v>
      </c>
      <c r="I13" s="44" t="s">
        <v>177</v>
      </c>
      <c r="J13" s="46" t="str">
        <f aca="false">IF(I13&lt;&gt;"?", HYPERLINK(CONCATENATE("https://doi.org/",I13)), "")</f>
        <v>https://doi.org/10.1109/ISSCC.1997.585345</v>
      </c>
      <c r="K13" s="45" t="s">
        <v>117</v>
      </c>
      <c r="L13" s="41" t="n">
        <v>3.3</v>
      </c>
      <c r="M13" s="41"/>
      <c r="N13" s="41"/>
      <c r="O13" s="34" t="s">
        <v>117</v>
      </c>
      <c r="P13" s="45" t="n">
        <v>0.4</v>
      </c>
      <c r="Q13" s="54"/>
      <c r="R13" s="48" t="n">
        <v>20000</v>
      </c>
      <c r="S13" s="41"/>
      <c r="T13" s="41"/>
      <c r="U13" s="41" t="n">
        <v>96</v>
      </c>
      <c r="V13" s="41" t="n">
        <v>104</v>
      </c>
      <c r="W13" s="41"/>
      <c r="X13" s="49" t="n">
        <f aca="false">+IF(ISNUMBER($S13),$S13,MIN($V13,$T13,$U13,$W13))</f>
        <v>96</v>
      </c>
      <c r="Y13" s="48" t="n">
        <v>0.0023</v>
      </c>
      <c r="Z13" s="48" t="n">
        <v>5644800</v>
      </c>
      <c r="AA13" s="50" t="n">
        <v>141.12</v>
      </c>
      <c r="AB13" s="48" t="n">
        <f aca="false">Z13/AA13</f>
        <v>40000</v>
      </c>
      <c r="AC13" s="48"/>
      <c r="AD13" s="51" t="n">
        <f aca="false">Y13/AB13*1000000000000</f>
        <v>57500</v>
      </c>
      <c r="AE13" s="49" t="str">
        <f aca="false">IF(ISNUMBER($Q13), $AD13*1000/2^(($Q13-1.76)/6.02), "")</f>
        <v/>
      </c>
      <c r="AF13" s="49" t="n">
        <f aca="false">$AD13*1000/2^(($X13-1.76)/6.02)</f>
        <v>1114.803383144</v>
      </c>
      <c r="AG13" s="31" t="str">
        <f aca="false">IF(ISNUMBER($Q13), $Q13+10*LOG10($AB13/2/$Y13), "")</f>
        <v/>
      </c>
      <c r="AH13" s="31" t="n">
        <f aca="false">$X13+10*LOG10($AB13/2/$Y13)</f>
        <v>165.393021596464</v>
      </c>
      <c r="AI13" s="52" t="n">
        <f aca="false">AF13/AB13</f>
        <v>0.0278700845786</v>
      </c>
      <c r="AJ13" s="53" t="n">
        <f aca="false">AH13+10*LOG10(AB13)</f>
        <v>211.413621509744</v>
      </c>
    </row>
    <row r="14" customFormat="false" ht="12.75" hidden="false" customHeight="false" outlineLevel="0" collapsed="false">
      <c r="A14" s="40" t="n">
        <v>1998</v>
      </c>
      <c r="B14" s="41" t="n">
        <v>4.4</v>
      </c>
      <c r="C14" s="42" t="s">
        <v>139</v>
      </c>
      <c r="D14" s="42" t="s">
        <v>145</v>
      </c>
      <c r="E14" s="42" t="n">
        <v>0.6</v>
      </c>
      <c r="F14" s="57" t="s">
        <v>178</v>
      </c>
      <c r="G14" s="45" t="s">
        <v>179</v>
      </c>
      <c r="H14" s="45" t="s">
        <v>180</v>
      </c>
      <c r="I14" s="44" t="s">
        <v>181</v>
      </c>
      <c r="J14" s="46" t="str">
        <f aca="false">IF(I14&lt;&gt;"?", HYPERLINK(CONCATENATE("https://doi.org/",I14)), "")</f>
        <v>https://doi.org/10.1109/ISSCC.1998.672377</v>
      </c>
      <c r="K14" s="45" t="s">
        <v>117</v>
      </c>
      <c r="L14" s="41"/>
      <c r="M14" s="41"/>
      <c r="N14" s="41"/>
      <c r="O14" s="34" t="s">
        <v>117</v>
      </c>
      <c r="P14" s="56" t="n">
        <v>0</v>
      </c>
      <c r="Q14" s="54"/>
      <c r="R14" s="48" t="n">
        <v>100000</v>
      </c>
      <c r="S14" s="41"/>
      <c r="T14" s="41"/>
      <c r="U14" s="41" t="n">
        <v>79</v>
      </c>
      <c r="V14" s="41" t="n">
        <v>75</v>
      </c>
      <c r="W14" s="41"/>
      <c r="X14" s="49" t="n">
        <f aca="false">+IF(ISNUMBER($S14),$S14,MIN($V14,$T14,$U14,$W14))</f>
        <v>75</v>
      </c>
      <c r="Y14" s="48" t="n">
        <v>0.0096</v>
      </c>
      <c r="Z14" s="48" t="n">
        <v>5000000</v>
      </c>
      <c r="AA14" s="50" t="n">
        <v>25</v>
      </c>
      <c r="AB14" s="48" t="n">
        <f aca="false">Z14/AA14</f>
        <v>200000</v>
      </c>
      <c r="AC14" s="48"/>
      <c r="AD14" s="51" t="n">
        <f aca="false">Y14/AB14*1000000000000</f>
        <v>48000</v>
      </c>
      <c r="AE14" s="49" t="str">
        <f aca="false">IF(ISNUMBER($Q14), $AD14*1000/2^(($Q14-1.76)/6.02), "")</f>
        <v/>
      </c>
      <c r="AF14" s="49" t="n">
        <f aca="false">$AD14*1000/2^(($X14-1.76)/6.02)</f>
        <v>10444.2271037612</v>
      </c>
      <c r="AG14" s="31" t="str">
        <f aca="false">IF(ISNUMBER($Q14), $Q14+10*LOG10($AB14/2/$Y14), "")</f>
        <v/>
      </c>
      <c r="AH14" s="31" t="n">
        <f aca="false">$X14+10*LOG10($AB14/2/$Y14)</f>
        <v>145.177287669604</v>
      </c>
      <c r="AI14" s="52" t="n">
        <f aca="false">AF14/AB14</f>
        <v>0.0522211355188061</v>
      </c>
      <c r="AJ14" s="53" t="n">
        <f aca="false">AH14+10*LOG10(AB14)</f>
        <v>198.187587626244</v>
      </c>
    </row>
    <row r="15" customFormat="false" ht="12.75" hidden="false" customHeight="false" outlineLevel="0" collapsed="false">
      <c r="A15" s="50" t="n">
        <v>1998</v>
      </c>
      <c r="B15" s="41" t="n">
        <v>4.6</v>
      </c>
      <c r="C15" s="42" t="s">
        <v>139</v>
      </c>
      <c r="D15" s="42" t="s">
        <v>182</v>
      </c>
      <c r="E15" s="42" t="n">
        <v>0.5</v>
      </c>
      <c r="F15" s="44" t="s">
        <v>183</v>
      </c>
      <c r="G15" s="45" t="s">
        <v>184</v>
      </c>
      <c r="H15" s="45" t="s">
        <v>185</v>
      </c>
      <c r="I15" s="44" t="s">
        <v>186</v>
      </c>
      <c r="J15" s="46" t="str">
        <f aca="false">IF(I15&lt;&gt;"?", HYPERLINK(CONCATENATE("https://doi.org/",I15)), "")</f>
        <v>https://doi.org/10.1109/ISSCC.1998.672379</v>
      </c>
      <c r="K15" s="45" t="s">
        <v>117</v>
      </c>
      <c r="L15" s="41"/>
      <c r="M15" s="41"/>
      <c r="N15" s="41"/>
      <c r="O15" s="34" t="s">
        <v>117</v>
      </c>
      <c r="P15" s="45" t="n">
        <v>0.85</v>
      </c>
      <c r="Q15" s="54"/>
      <c r="R15" s="48" t="n">
        <v>16000</v>
      </c>
      <c r="S15" s="41" t="n">
        <v>62</v>
      </c>
      <c r="T15" s="41"/>
      <c r="U15" s="41" t="n">
        <v>77</v>
      </c>
      <c r="V15" s="41"/>
      <c r="W15" s="41"/>
      <c r="X15" s="49" t="n">
        <f aca="false">+IF(ISNUMBER($S15),$S15,MIN($V15,$T15,$U15,$W15))</f>
        <v>62</v>
      </c>
      <c r="Y15" s="48" t="n">
        <v>4E-005</v>
      </c>
      <c r="Z15" s="48" t="n">
        <v>1538000</v>
      </c>
      <c r="AA15" s="50" t="n">
        <v>48.0625</v>
      </c>
      <c r="AB15" s="48" t="n">
        <f aca="false">Z15/AA15</f>
        <v>32000</v>
      </c>
      <c r="AC15" s="48"/>
      <c r="AD15" s="51" t="n">
        <f aca="false">Y15/AB15*1000000000000</f>
        <v>1250</v>
      </c>
      <c r="AE15" s="49" t="str">
        <f aca="false">IF(ISNUMBER($Q15), $AD15*1000/2^(($Q15-1.76)/6.02), "")</f>
        <v/>
      </c>
      <c r="AF15" s="49" t="n">
        <f aca="false">$AD15*1000/2^(($X15-1.76)/6.02)</f>
        <v>1215.09394597102</v>
      </c>
      <c r="AG15" s="31" t="str">
        <f aca="false">IF(ISNUMBER($Q15), $Q15+10*LOG10($AB15/2/$Y15), "")</f>
        <v/>
      </c>
      <c r="AH15" s="31" t="n">
        <f aca="false">$X15+10*LOG10($AB15/2/$Y15)</f>
        <v>148.02059991328</v>
      </c>
      <c r="AI15" s="52" t="n">
        <f aca="false">AF15/AB15</f>
        <v>0.0379716858115943</v>
      </c>
      <c r="AJ15" s="53" t="n">
        <f aca="false">AH15+10*LOG10(AB15)</f>
        <v>193.072099696479</v>
      </c>
    </row>
    <row r="16" customFormat="false" ht="12.75" hidden="false" customHeight="false" outlineLevel="0" collapsed="false">
      <c r="A16" s="50" t="n">
        <v>1998</v>
      </c>
      <c r="B16" s="41" t="n">
        <v>9.1</v>
      </c>
      <c r="C16" s="42" t="s">
        <v>111</v>
      </c>
      <c r="D16" s="42" t="s">
        <v>133</v>
      </c>
      <c r="E16" s="42" t="n">
        <v>0.7</v>
      </c>
      <c r="F16" s="44" t="s">
        <v>187</v>
      </c>
      <c r="G16" s="45" t="s">
        <v>188</v>
      </c>
      <c r="H16" s="45" t="s">
        <v>189</v>
      </c>
      <c r="I16" s="44" t="s">
        <v>190</v>
      </c>
      <c r="J16" s="46" t="str">
        <f aca="false">IF(I16&lt;&gt;"?", HYPERLINK(CONCATENATE("https://doi.org/",I16)), "")</f>
        <v>https://doi.org/10.1109/ISSCC.1998.672406</v>
      </c>
      <c r="K16" s="45" t="s">
        <v>117</v>
      </c>
      <c r="L16" s="41" t="n">
        <v>5</v>
      </c>
      <c r="M16" s="41"/>
      <c r="N16" s="41"/>
      <c r="O16" s="34" t="s">
        <v>117</v>
      </c>
      <c r="P16" s="45" t="n">
        <v>9</v>
      </c>
      <c r="Q16" s="54"/>
      <c r="R16" s="48" t="n">
        <v>10000000</v>
      </c>
      <c r="S16" s="41"/>
      <c r="T16" s="41" t="n">
        <v>65.4</v>
      </c>
      <c r="U16" s="41"/>
      <c r="V16" s="41" t="n">
        <v>70.6</v>
      </c>
      <c r="W16" s="41"/>
      <c r="X16" s="49" t="n">
        <f aca="false">+IF(ISNUMBER($S16),$S16,MIN($V16,$T16,$U16,$W16))</f>
        <v>65.4</v>
      </c>
      <c r="Y16" s="48" t="n">
        <v>0.25</v>
      </c>
      <c r="Z16" s="48" t="n">
        <v>20000000</v>
      </c>
      <c r="AA16" s="50" t="n">
        <v>1</v>
      </c>
      <c r="AB16" s="48" t="n">
        <f aca="false">Z16/AA16</f>
        <v>20000000</v>
      </c>
      <c r="AC16" s="48"/>
      <c r="AD16" s="51" t="n">
        <f aca="false">Y16/AB16*1000000000000</f>
        <v>12500</v>
      </c>
      <c r="AE16" s="49" t="str">
        <f aca="false">IF(ISNUMBER($Q16), $AD16*1000/2^(($Q16-1.76)/6.02), "")</f>
        <v/>
      </c>
      <c r="AF16" s="49" t="n">
        <f aca="false">$AD16*1000/2^(($X16-1.76)/6.02)</f>
        <v>8214.72285542209</v>
      </c>
      <c r="AG16" s="31" t="str">
        <f aca="false">IF(ISNUMBER($Q16), $Q16+10*LOG10($AB16/2/$Y16), "")</f>
        <v/>
      </c>
      <c r="AH16" s="31" t="n">
        <f aca="false">$X16+10*LOG10($AB16/2/$Y16)</f>
        <v>141.42059991328</v>
      </c>
      <c r="AI16" s="52" t="n">
        <f aca="false">AF16/AB16</f>
        <v>0.000410736142771104</v>
      </c>
      <c r="AJ16" s="53" t="n">
        <f aca="false">AH16+10*LOG10(AB16)</f>
        <v>214.430899869919</v>
      </c>
    </row>
    <row r="17" customFormat="false" ht="12.75" hidden="false" customHeight="false" outlineLevel="0" collapsed="false">
      <c r="A17" s="50" t="n">
        <v>1998</v>
      </c>
      <c r="B17" s="41" t="n">
        <v>9.2</v>
      </c>
      <c r="C17" s="42" t="s">
        <v>111</v>
      </c>
      <c r="D17" s="42" t="s">
        <v>191</v>
      </c>
      <c r="E17" s="42" t="n">
        <v>1</v>
      </c>
      <c r="F17" s="44" t="s">
        <v>192</v>
      </c>
      <c r="G17" s="45" t="s">
        <v>193</v>
      </c>
      <c r="H17" s="45" t="s">
        <v>194</v>
      </c>
      <c r="I17" s="44" t="s">
        <v>195</v>
      </c>
      <c r="J17" s="46" t="str">
        <f aca="false">IF(I17&lt;&gt;"?", HYPERLINK(CONCATENATE("https://doi.org/",I17)), "")</f>
        <v>https://doi.org/10.1109/ISSCC.1998.672407</v>
      </c>
      <c r="K17" s="45" t="s">
        <v>117</v>
      </c>
      <c r="L17" s="41"/>
      <c r="M17" s="41"/>
      <c r="N17" s="41"/>
      <c r="O17" s="34" t="s">
        <v>117</v>
      </c>
      <c r="P17" s="45" t="n">
        <v>22</v>
      </c>
      <c r="Q17" s="54"/>
      <c r="R17" s="48" t="n">
        <v>20000000</v>
      </c>
      <c r="S17" s="41" t="n">
        <v>55</v>
      </c>
      <c r="T17" s="41"/>
      <c r="U17" s="41" t="n">
        <v>55</v>
      </c>
      <c r="V17" s="41"/>
      <c r="W17" s="41" t="n">
        <v>72</v>
      </c>
      <c r="X17" s="49" t="n">
        <f aca="false">+IF(ISNUMBER($S17),$S17,MIN($V17,$T17,$U17,$W17))</f>
        <v>55</v>
      </c>
      <c r="Y17" s="48" t="n">
        <v>0.565</v>
      </c>
      <c r="Z17" s="48" t="n">
        <v>40000000</v>
      </c>
      <c r="AA17" s="50" t="n">
        <v>1</v>
      </c>
      <c r="AB17" s="48" t="n">
        <f aca="false">Z17/AA17</f>
        <v>40000000</v>
      </c>
      <c r="AC17" s="48"/>
      <c r="AD17" s="51" t="n">
        <f aca="false">Y17/AB17*1000000000000</f>
        <v>14125</v>
      </c>
      <c r="AE17" s="49" t="str">
        <f aca="false">IF(ISNUMBER($Q17), $AD17*1000/2^(($Q17-1.76)/6.02), "")</f>
        <v/>
      </c>
      <c r="AF17" s="49" t="n">
        <f aca="false">$AD17*1000/2^(($X17-1.76)/6.02)</f>
        <v>30741.3672494623</v>
      </c>
      <c r="AG17" s="31" t="str">
        <f aca="false">IF(ISNUMBER($Q17), $Q17+10*LOG10($AB17/2/$Y17), "")</f>
        <v/>
      </c>
      <c r="AH17" s="31" t="n">
        <f aca="false">$X17+10*LOG10($AB17/2/$Y17)</f>
        <v>130.489815478445</v>
      </c>
      <c r="AI17" s="52" t="n">
        <f aca="false">AF17/AB17</f>
        <v>0.000768534181236557</v>
      </c>
      <c r="AJ17" s="53" t="n">
        <f aca="false">AH17+10*LOG10(AB17)</f>
        <v>206.510415391725</v>
      </c>
    </row>
    <row r="18" customFormat="false" ht="12.75" hidden="false" customHeight="false" outlineLevel="0" collapsed="false">
      <c r="A18" s="50" t="n">
        <v>1998</v>
      </c>
      <c r="B18" s="41" t="n">
        <v>9.3</v>
      </c>
      <c r="C18" s="42" t="s">
        <v>111</v>
      </c>
      <c r="D18" s="42" t="s">
        <v>191</v>
      </c>
      <c r="E18" s="42" t="n">
        <v>1</v>
      </c>
      <c r="F18" s="44" t="s">
        <v>196</v>
      </c>
      <c r="G18" s="45" t="s">
        <v>197</v>
      </c>
      <c r="H18" s="45" t="s">
        <v>198</v>
      </c>
      <c r="I18" s="44" t="s">
        <v>199</v>
      </c>
      <c r="J18" s="46" t="str">
        <f aca="false">IF(I18&lt;&gt;"?", HYPERLINK(CONCATENATE("https://doi.org/",I18)), "")</f>
        <v>https://doi.org/10.1109/ISSCC.1998.672408</v>
      </c>
      <c r="K18" s="45" t="s">
        <v>117</v>
      </c>
      <c r="L18" s="41"/>
      <c r="M18" s="41"/>
      <c r="N18" s="41"/>
      <c r="O18" s="34" t="s">
        <v>117</v>
      </c>
      <c r="P18" s="45" t="n">
        <v>42</v>
      </c>
      <c r="Q18" s="54"/>
      <c r="R18" s="48" t="n">
        <v>20000000</v>
      </c>
      <c r="S18" s="41" t="n">
        <v>58</v>
      </c>
      <c r="T18" s="41"/>
      <c r="U18" s="41"/>
      <c r="V18" s="41"/>
      <c r="W18" s="41"/>
      <c r="X18" s="49" t="n">
        <f aca="false">+IF(ISNUMBER($S18),$S18,MIN($V18,$T18,$U18,$W18))</f>
        <v>58</v>
      </c>
      <c r="Y18" s="48" t="n">
        <v>0.65</v>
      </c>
      <c r="Z18" s="48" t="n">
        <v>40000000</v>
      </c>
      <c r="AA18" s="50" t="n">
        <v>1</v>
      </c>
      <c r="AB18" s="48" t="n">
        <f aca="false">Z18/AA18</f>
        <v>40000000</v>
      </c>
      <c r="AC18" s="48"/>
      <c r="AD18" s="51" t="n">
        <f aca="false">Y18/AB18*1000000000000</f>
        <v>16250</v>
      </c>
      <c r="AE18" s="49" t="str">
        <f aca="false">IF(ISNUMBER($Q18), $AD18*1000/2^(($Q18-1.76)/6.02), "")</f>
        <v/>
      </c>
      <c r="AF18" s="49" t="n">
        <f aca="false">$AD18*1000/2^(($X18-1.76)/6.02)</f>
        <v>25036.4725504555</v>
      </c>
      <c r="AG18" s="31" t="str">
        <f aca="false">IF(ISNUMBER($Q18), $Q18+10*LOG10($AB18/2/$Y18), "")</f>
        <v/>
      </c>
      <c r="AH18" s="31" t="n">
        <f aca="false">$X18+10*LOG10($AB18/2/$Y18)</f>
        <v>132.881166390211</v>
      </c>
      <c r="AI18" s="52" t="n">
        <f aca="false">AF18/AB18</f>
        <v>0.000625911813761387</v>
      </c>
      <c r="AJ18" s="53" t="n">
        <f aca="false">AH18+10*LOG10(AB18)</f>
        <v>208.901766303491</v>
      </c>
    </row>
    <row r="19" customFormat="false" ht="12.75" hidden="false" customHeight="false" outlineLevel="0" collapsed="false">
      <c r="A19" s="50" t="n">
        <v>1998</v>
      </c>
      <c r="B19" s="41" t="n">
        <v>9.4</v>
      </c>
      <c r="C19" s="42" t="s">
        <v>111</v>
      </c>
      <c r="D19" s="42" t="s">
        <v>133</v>
      </c>
      <c r="E19" s="42" t="n">
        <v>0.5</v>
      </c>
      <c r="F19" s="44" t="s">
        <v>200</v>
      </c>
      <c r="G19" s="45" t="s">
        <v>201</v>
      </c>
      <c r="H19" s="45" t="s">
        <v>202</v>
      </c>
      <c r="I19" s="44" t="s">
        <v>203</v>
      </c>
      <c r="J19" s="46" t="str">
        <f aca="false">IF(I19&lt;&gt;"?", HYPERLINK(CONCATENATE("https://doi.org/",I19)), "")</f>
        <v>https://doi.org/10.1109/ISSCC.1998.672409</v>
      </c>
      <c r="K19" s="45" t="s">
        <v>117</v>
      </c>
      <c r="L19" s="41" t="n">
        <v>3.3</v>
      </c>
      <c r="M19" s="41"/>
      <c r="N19" s="41"/>
      <c r="O19" s="34" t="s">
        <v>117</v>
      </c>
      <c r="P19" s="45" t="n">
        <v>14.5</v>
      </c>
      <c r="Q19" s="54"/>
      <c r="R19" s="48" t="n">
        <v>5000000</v>
      </c>
      <c r="S19" s="41" t="n">
        <v>67</v>
      </c>
      <c r="T19" s="41"/>
      <c r="U19" s="41"/>
      <c r="V19" s="41"/>
      <c r="W19" s="41"/>
      <c r="X19" s="49" t="n">
        <f aca="false">+IF(ISNUMBER($S19),$S19,MIN($V19,$T19,$U19,$W19))</f>
        <v>67</v>
      </c>
      <c r="Y19" s="48" t="n">
        <v>0.265</v>
      </c>
      <c r="Z19" s="48" t="n">
        <v>10000000</v>
      </c>
      <c r="AA19" s="50" t="n">
        <v>1</v>
      </c>
      <c r="AB19" s="48" t="n">
        <f aca="false">Z19/AA19</f>
        <v>10000000</v>
      </c>
      <c r="AC19" s="48"/>
      <c r="AD19" s="51" t="n">
        <f aca="false">Y19/AB19*1000000000000</f>
        <v>26500</v>
      </c>
      <c r="AE19" s="49" t="str">
        <f aca="false">IF(ISNUMBER($Q19), $AD19*1000/2^(($Q19-1.76)/6.02), "")</f>
        <v/>
      </c>
      <c r="AF19" s="49" t="n">
        <f aca="false">$AD19*1000/2^(($X19-1.76)/6.02)</f>
        <v>14485.0768823546</v>
      </c>
      <c r="AG19" s="31" t="str">
        <f aca="false">IF(ISNUMBER($Q19), $Q19+10*LOG10($AB19/2/$Y19), "")</f>
        <v/>
      </c>
      <c r="AH19" s="31" t="n">
        <f aca="false">$X19+10*LOG10($AB19/2/$Y19)</f>
        <v>139.757241303992</v>
      </c>
      <c r="AI19" s="52" t="n">
        <f aca="false">AF19/AB19</f>
        <v>0.00144850768823546</v>
      </c>
      <c r="AJ19" s="53" t="n">
        <f aca="false">AH19+10*LOG10(AB19)</f>
        <v>209.757241303992</v>
      </c>
    </row>
    <row r="20" customFormat="false" ht="12.75" hidden="false" customHeight="false" outlineLevel="0" collapsed="false">
      <c r="A20" s="50" t="n">
        <v>1998</v>
      </c>
      <c r="B20" s="41" t="n">
        <v>9.5</v>
      </c>
      <c r="C20" s="42" t="s">
        <v>111</v>
      </c>
      <c r="D20" s="42" t="s">
        <v>191</v>
      </c>
      <c r="E20" s="42" t="n">
        <v>0.5</v>
      </c>
      <c r="F20" s="44" t="s">
        <v>204</v>
      </c>
      <c r="G20" s="45" t="s">
        <v>205</v>
      </c>
      <c r="H20" s="45" t="s">
        <v>206</v>
      </c>
      <c r="I20" s="44" t="s">
        <v>207</v>
      </c>
      <c r="J20" s="46" t="str">
        <f aca="false">IF(I20&lt;&gt;"?", HYPERLINK(CONCATENATE("https://doi.org/",I20)), "")</f>
        <v>https://doi.org/10.1109/ISSCC.1998.672410</v>
      </c>
      <c r="K20" s="45" t="s">
        <v>117</v>
      </c>
      <c r="L20" s="41"/>
      <c r="M20" s="41"/>
      <c r="N20" s="41"/>
      <c r="O20" s="34" t="s">
        <v>117</v>
      </c>
      <c r="P20" s="45" t="n">
        <v>5.5</v>
      </c>
      <c r="Q20" s="54"/>
      <c r="R20" s="48" t="n">
        <v>37500000</v>
      </c>
      <c r="S20" s="41" t="n">
        <v>43.3</v>
      </c>
      <c r="T20" s="41" t="n">
        <v>46.3</v>
      </c>
      <c r="U20" s="41" t="n">
        <v>47</v>
      </c>
      <c r="V20" s="41"/>
      <c r="W20" s="41" t="n">
        <v>51</v>
      </c>
      <c r="X20" s="49" t="n">
        <f aca="false">+IF(ISNUMBER($S20),$S20,MIN($V20,$T20,$U20,$W20))</f>
        <v>43.3</v>
      </c>
      <c r="Y20" s="48" t="n">
        <v>0.07</v>
      </c>
      <c r="Z20" s="48" t="n">
        <v>75000000</v>
      </c>
      <c r="AA20" s="50" t="n">
        <v>1</v>
      </c>
      <c r="AB20" s="48" t="n">
        <f aca="false">Z20/AA20</f>
        <v>75000000</v>
      </c>
      <c r="AC20" s="48"/>
      <c r="AD20" s="51" t="n">
        <f aca="false">Y20/AB20*1000000000000</f>
        <v>933.333333333333</v>
      </c>
      <c r="AE20" s="49" t="str">
        <f aca="false">IF(ISNUMBER($Q20), $AD20*1000/2^(($Q20-1.76)/6.02), "")</f>
        <v/>
      </c>
      <c r="AF20" s="49" t="n">
        <f aca="false">$AD20*1000/2^(($X20-1.76)/6.02)</f>
        <v>7813.2153852025</v>
      </c>
      <c r="AG20" s="31" t="str">
        <f aca="false">IF(ISNUMBER($Q20), $Q20+10*LOG10($AB20/2/$Y20), "")</f>
        <v/>
      </c>
      <c r="AH20" s="31" t="n">
        <f aca="false">$X20+10*LOG10($AB20/2/$Y20)</f>
        <v>130.589332277135</v>
      </c>
      <c r="AI20" s="52" t="n">
        <f aca="false">AF20/AB20</f>
        <v>0.000104176205136033</v>
      </c>
      <c r="AJ20" s="53" t="n">
        <f aca="false">AH20+10*LOG10(AB20)</f>
        <v>209.339944911052</v>
      </c>
    </row>
    <row r="21" customFormat="false" ht="12.75" hidden="false" customHeight="false" outlineLevel="0" collapsed="false">
      <c r="A21" s="50" t="n">
        <v>1998</v>
      </c>
      <c r="B21" s="41" t="n">
        <v>9.6</v>
      </c>
      <c r="C21" s="42" t="s">
        <v>111</v>
      </c>
      <c r="D21" s="42" t="s">
        <v>208</v>
      </c>
      <c r="E21" s="42" t="s">
        <v>209</v>
      </c>
      <c r="F21" s="44" t="s">
        <v>210</v>
      </c>
      <c r="G21" s="45" t="s">
        <v>211</v>
      </c>
      <c r="H21" s="58" t="s">
        <v>212</v>
      </c>
      <c r="I21" s="44" t="s">
        <v>213</v>
      </c>
      <c r="J21" s="46" t="str">
        <f aca="false">IF(I21&lt;&gt;"?", HYPERLINK(CONCATENATE("https://doi.org/",I21)), "")</f>
        <v>https://doi.org/10.1109/ISSCC.1998.672411</v>
      </c>
      <c r="K21" s="58" t="s">
        <v>117</v>
      </c>
      <c r="L21" s="41"/>
      <c r="M21" s="41"/>
      <c r="N21" s="41"/>
      <c r="O21" s="34" t="s">
        <v>117</v>
      </c>
      <c r="P21" s="45" t="n">
        <v>0.75</v>
      </c>
      <c r="Q21" s="54"/>
      <c r="R21" s="48" t="n">
        <v>175000000</v>
      </c>
      <c r="S21" s="41" t="n">
        <v>31</v>
      </c>
      <c r="T21" s="41"/>
      <c r="U21" s="41"/>
      <c r="V21" s="41"/>
      <c r="W21" s="41"/>
      <c r="X21" s="49" t="n">
        <f aca="false">+IF(ISNUMBER($S21),$S21,MIN($V21,$T21,$U21,$W21))</f>
        <v>31</v>
      </c>
      <c r="Y21" s="48" t="n">
        <v>0.225</v>
      </c>
      <c r="Z21" s="48" t="n">
        <v>350000000</v>
      </c>
      <c r="AA21" s="50" t="n">
        <v>1</v>
      </c>
      <c r="AB21" s="48" t="n">
        <f aca="false">Z21/AA21</f>
        <v>350000000</v>
      </c>
      <c r="AC21" s="48"/>
      <c r="AD21" s="51" t="n">
        <f aca="false">Y21/AB21*1000000000000</f>
        <v>642.857142857143</v>
      </c>
      <c r="AE21" s="49" t="str">
        <f aca="false">IF(ISNUMBER($Q21), $AD21*1000/2^(($Q21-1.76)/6.02), "")</f>
        <v/>
      </c>
      <c r="AF21" s="49" t="n">
        <f aca="false">$AD21*1000/2^(($X21-1.76)/6.02)</f>
        <v>22180.36969434</v>
      </c>
      <c r="AG21" s="31" t="str">
        <f aca="false">IF(ISNUMBER($Q21), $Q21+10*LOG10($AB21/2/$Y21), "")</f>
        <v/>
      </c>
      <c r="AH21" s="31" t="n">
        <f aca="false">$X21+10*LOG10($AB21/2/$Y21)</f>
        <v>119.908555305749</v>
      </c>
      <c r="AI21" s="52" t="n">
        <f aca="false">AF21/AB21</f>
        <v>6.33724848409714E-005</v>
      </c>
      <c r="AJ21" s="53" t="n">
        <f aca="false">AH21+10*LOG10(AB21)</f>
        <v>205.349235749252</v>
      </c>
    </row>
    <row r="22" customFormat="false" ht="12.75" hidden="false" customHeight="false" outlineLevel="0" collapsed="false">
      <c r="A22" s="50" t="n">
        <v>1998</v>
      </c>
      <c r="B22" s="41" t="n">
        <v>9.7</v>
      </c>
      <c r="C22" s="42" t="s">
        <v>111</v>
      </c>
      <c r="D22" s="42" t="s">
        <v>118</v>
      </c>
      <c r="E22" s="42" t="s">
        <v>214</v>
      </c>
      <c r="F22" s="44" t="s">
        <v>215</v>
      </c>
      <c r="G22" s="45" t="s">
        <v>216</v>
      </c>
      <c r="H22" s="45" t="s">
        <v>217</v>
      </c>
      <c r="I22" s="44" t="s">
        <v>218</v>
      </c>
      <c r="J22" s="46" t="str">
        <f aca="false">IF(I22&lt;&gt;"?", HYPERLINK(CONCATENATE("https://doi.org/",I22)), "")</f>
        <v>https://doi.org/10.1109/ISSCC.1998.672412</v>
      </c>
      <c r="K22" s="45" t="s">
        <v>117</v>
      </c>
      <c r="L22" s="41" t="n">
        <v>3.2</v>
      </c>
      <c r="M22" s="41"/>
      <c r="N22" s="41"/>
      <c r="O22" s="34" t="s">
        <v>117</v>
      </c>
      <c r="P22" s="45" t="n">
        <v>0.6</v>
      </c>
      <c r="Q22" s="54"/>
      <c r="R22" s="48" t="n">
        <v>200000000</v>
      </c>
      <c r="S22" s="41" t="n">
        <v>29.2</v>
      </c>
      <c r="T22" s="41"/>
      <c r="U22" s="41"/>
      <c r="V22" s="41" t="n">
        <v>33.6</v>
      </c>
      <c r="W22" s="41"/>
      <c r="X22" s="49" t="n">
        <f aca="false">+IF(ISNUMBER($S22),$S22,MIN($V22,$T22,$U22,$W22))</f>
        <v>29.2</v>
      </c>
      <c r="Y22" s="48" t="n">
        <v>0.2</v>
      </c>
      <c r="Z22" s="48" t="n">
        <v>400000000</v>
      </c>
      <c r="AA22" s="50" t="n">
        <v>1</v>
      </c>
      <c r="AB22" s="48" t="n">
        <f aca="false">Z22/AA22</f>
        <v>400000000</v>
      </c>
      <c r="AC22" s="48"/>
      <c r="AD22" s="51" t="n">
        <f aca="false">Y22/AB22*1000000000000</f>
        <v>500</v>
      </c>
      <c r="AE22" s="49" t="str">
        <f aca="false">IF(ISNUMBER($Q22), $AD22*1000/2^(($Q22-1.76)/6.02), "")</f>
        <v/>
      </c>
      <c r="AF22" s="49" t="n">
        <f aca="false">$AD22*1000/2^(($X22-1.76)/6.02)</f>
        <v>21224.2953209254</v>
      </c>
      <c r="AG22" s="31" t="str">
        <f aca="false">IF(ISNUMBER($Q22), $Q22+10*LOG10($AB22/2/$Y22), "")</f>
        <v/>
      </c>
      <c r="AH22" s="31" t="n">
        <f aca="false">$X22+10*LOG10($AB22/2/$Y22)</f>
        <v>119.2</v>
      </c>
      <c r="AI22" s="52" t="n">
        <f aca="false">AF22/AB22</f>
        <v>5.30607383023134E-005</v>
      </c>
      <c r="AJ22" s="53" t="n">
        <f aca="false">AH22+10*LOG10(AB22)</f>
        <v>205.22059991328</v>
      </c>
    </row>
    <row r="23" customFormat="false" ht="12.75" hidden="false" customHeight="false" outlineLevel="0" collapsed="false">
      <c r="A23" s="40" t="n">
        <v>1999</v>
      </c>
      <c r="B23" s="41" t="n">
        <v>3.1</v>
      </c>
      <c r="C23" s="42" t="s">
        <v>139</v>
      </c>
      <c r="D23" s="42" t="s">
        <v>145</v>
      </c>
      <c r="E23" s="42" t="n">
        <v>0.5</v>
      </c>
      <c r="F23" s="44" t="s">
        <v>219</v>
      </c>
      <c r="G23" s="45" t="s">
        <v>220</v>
      </c>
      <c r="H23" s="45" t="s">
        <v>221</v>
      </c>
      <c r="I23" s="44" t="s">
        <v>222</v>
      </c>
      <c r="J23" s="46" t="str">
        <f aca="false">IF(I23&lt;&gt;"?", HYPERLINK(CONCATENATE("https://doi.org/",I23)), "")</f>
        <v>https://doi.org/10.1109/ISSCC.1999.759091</v>
      </c>
      <c r="K23" s="45" t="s">
        <v>117</v>
      </c>
      <c r="L23" s="41" t="n">
        <v>1.5</v>
      </c>
      <c r="M23" s="41"/>
      <c r="N23" s="41"/>
      <c r="O23" s="34" t="s">
        <v>117</v>
      </c>
      <c r="P23" s="45" t="n">
        <v>0.53</v>
      </c>
      <c r="Q23" s="54"/>
      <c r="R23" s="48" t="n">
        <v>20000</v>
      </c>
      <c r="S23" s="41" t="n">
        <v>88</v>
      </c>
      <c r="T23" s="41" t="n">
        <v>90</v>
      </c>
      <c r="U23" s="41" t="n">
        <v>98.2</v>
      </c>
      <c r="V23" s="41"/>
      <c r="W23" s="41"/>
      <c r="X23" s="49" t="n">
        <f aca="false">+IF(ISNUMBER($S23),$S23,MIN($V23,$T23,$U23,$W23))</f>
        <v>88</v>
      </c>
      <c r="Y23" s="48" t="n">
        <f aca="false">0.00067*1.5</f>
        <v>0.001005</v>
      </c>
      <c r="Z23" s="48" t="n">
        <v>2822400</v>
      </c>
      <c r="AA23" s="50" t="n">
        <v>70.56</v>
      </c>
      <c r="AB23" s="48" t="n">
        <f aca="false">Z23/AA23</f>
        <v>40000</v>
      </c>
      <c r="AC23" s="48"/>
      <c r="AD23" s="51" t="n">
        <f aca="false">Y23/AB23*1000000000000</f>
        <v>25125</v>
      </c>
      <c r="AE23" s="49" t="str">
        <f aca="false">IF(ISNUMBER($Q23), $AD23*1000/2^(($Q23-1.76)/6.02), "")</f>
        <v/>
      </c>
      <c r="AF23" s="49" t="n">
        <f aca="false">$AD23*1000/2^(($X23-1.76)/6.02)</f>
        <v>1223.70395902324</v>
      </c>
      <c r="AG23" s="31" t="str">
        <f aca="false">IF(ISNUMBER($Q23), $Q23+10*LOG10($AB23/2/$Y23), "")</f>
        <v/>
      </c>
      <c r="AH23" s="31" t="n">
        <f aca="false">$X23+10*LOG10($AB23/2/$Y23)</f>
        <v>160.988639339075</v>
      </c>
      <c r="AI23" s="52" t="n">
        <f aca="false">AF23/AB23</f>
        <v>0.0305925989755809</v>
      </c>
      <c r="AJ23" s="53" t="n">
        <f aca="false">AH23+10*LOG10(AB23)</f>
        <v>207.009239252354</v>
      </c>
    </row>
    <row r="24" customFormat="false" ht="12.75" hidden="false" customHeight="false" outlineLevel="0" collapsed="false">
      <c r="A24" s="50" t="n">
        <v>1999</v>
      </c>
      <c r="B24" s="41" t="n">
        <v>3.2</v>
      </c>
      <c r="C24" s="42" t="s">
        <v>139</v>
      </c>
      <c r="D24" s="42" t="s">
        <v>173</v>
      </c>
      <c r="E24" s="42" t="n">
        <v>0.35</v>
      </c>
      <c r="F24" s="44" t="s">
        <v>223</v>
      </c>
      <c r="G24" s="45" t="s">
        <v>224</v>
      </c>
      <c r="H24" s="45" t="s">
        <v>225</v>
      </c>
      <c r="I24" s="44" t="s">
        <v>226</v>
      </c>
      <c r="J24" s="46" t="str">
        <f aca="false">IF(I24&lt;&gt;"?", HYPERLINK(CONCATENATE("https://doi.org/",I24)), "")</f>
        <v>https://doi.org/10.1109/ISSCC.1999.759363</v>
      </c>
      <c r="K24" s="45" t="s">
        <v>117</v>
      </c>
      <c r="L24" s="41"/>
      <c r="M24" s="41"/>
      <c r="N24" s="41"/>
      <c r="O24" s="34" t="s">
        <v>117</v>
      </c>
      <c r="P24" s="45" t="n">
        <v>0.2</v>
      </c>
      <c r="Q24" s="54"/>
      <c r="R24" s="48" t="n">
        <v>100000</v>
      </c>
      <c r="S24" s="41" t="n">
        <v>84</v>
      </c>
      <c r="T24" s="41"/>
      <c r="U24" s="41" t="n">
        <v>86</v>
      </c>
      <c r="V24" s="41"/>
      <c r="W24" s="41"/>
      <c r="X24" s="49" t="n">
        <f aca="false">+IF(ISNUMBER($S24),$S24,MIN($V24,$T24,$U24,$W24))</f>
        <v>84</v>
      </c>
      <c r="Y24" s="48" t="n">
        <v>0.0018</v>
      </c>
      <c r="Z24" s="48" t="n">
        <v>13000000</v>
      </c>
      <c r="AA24" s="50" t="n">
        <v>65</v>
      </c>
      <c r="AB24" s="48" t="n">
        <f aca="false">Z24/AA24</f>
        <v>200000</v>
      </c>
      <c r="AC24" s="48"/>
      <c r="AD24" s="51" t="n">
        <f aca="false">Y24/AB24*1000000000000</f>
        <v>9000</v>
      </c>
      <c r="AE24" s="49" t="str">
        <f aca="false">IF(ISNUMBER($Q24), $AD24*1000/2^(($Q24-1.76)/6.02), "")</f>
        <v/>
      </c>
      <c r="AF24" s="49" t="n">
        <f aca="false">$AD24*1000/2^(($X24-1.76)/6.02)</f>
        <v>694.756685806565</v>
      </c>
      <c r="AG24" s="31" t="str">
        <f aca="false">IF(ISNUMBER($Q24), $Q24+10*LOG10($AB24/2/$Y24), "")</f>
        <v/>
      </c>
      <c r="AH24" s="31" t="n">
        <f aca="false">$X24+10*LOG10($AB24/2/$Y24)</f>
        <v>161.447274948967</v>
      </c>
      <c r="AI24" s="52" t="n">
        <f aca="false">AF24/AB24</f>
        <v>0.00347378342903283</v>
      </c>
      <c r="AJ24" s="53" t="n">
        <f aca="false">AH24+10*LOG10(AB24)</f>
        <v>214.457574905607</v>
      </c>
    </row>
    <row r="25" customFormat="false" ht="12.75" hidden="false" customHeight="false" outlineLevel="0" collapsed="false">
      <c r="A25" s="50" t="n">
        <v>1999</v>
      </c>
      <c r="B25" s="41" t="n">
        <v>3.3</v>
      </c>
      <c r="C25" s="42" t="s">
        <v>139</v>
      </c>
      <c r="D25" s="42" t="s">
        <v>140</v>
      </c>
      <c r="E25" s="42" t="n">
        <v>1.2</v>
      </c>
      <c r="F25" s="44" t="s">
        <v>227</v>
      </c>
      <c r="G25" s="45" t="s">
        <v>228</v>
      </c>
      <c r="H25" s="45" t="s">
        <v>229</v>
      </c>
      <c r="I25" s="44" t="s">
        <v>230</v>
      </c>
      <c r="J25" s="46" t="str">
        <f aca="false">IF(I25&lt;&gt;"?", HYPERLINK(CONCATENATE("https://doi.org/",I25)), "")</f>
        <v>https://doi.org/10.1109/ISSCC.1999.759092</v>
      </c>
      <c r="K25" s="45" t="s">
        <v>117</v>
      </c>
      <c r="L25" s="41"/>
      <c r="M25" s="41"/>
      <c r="N25" s="41"/>
      <c r="O25" s="34" t="s">
        <v>117</v>
      </c>
      <c r="P25" s="45" t="n">
        <v>47</v>
      </c>
      <c r="Q25" s="54"/>
      <c r="R25" s="48" t="n">
        <v>9000000</v>
      </c>
      <c r="S25" s="41" t="n">
        <v>71</v>
      </c>
      <c r="T25" s="41" t="n">
        <v>74</v>
      </c>
      <c r="U25" s="41" t="n">
        <v>78</v>
      </c>
      <c r="V25" s="41"/>
      <c r="W25" s="41" t="n">
        <v>78</v>
      </c>
      <c r="X25" s="49" t="n">
        <f aca="false">+IF(ISNUMBER($S25),$S25,MIN($V25,$T25,$U25,$W25))</f>
        <v>71</v>
      </c>
      <c r="Y25" s="48" t="n">
        <v>0.324</v>
      </c>
      <c r="Z25" s="48" t="n">
        <v>18000000</v>
      </c>
      <c r="AA25" s="50" t="n">
        <v>1</v>
      </c>
      <c r="AB25" s="48" t="n">
        <f aca="false">Z25/AA25</f>
        <v>18000000</v>
      </c>
      <c r="AC25" s="48"/>
      <c r="AD25" s="51" t="n">
        <f aca="false">Y25/AB25*1000000000000</f>
        <v>18000</v>
      </c>
      <c r="AE25" s="49" t="str">
        <f aca="false">IF(ISNUMBER($Q25), $AD25*1000/2^(($Q25-1.76)/6.02), "")</f>
        <v/>
      </c>
      <c r="AF25" s="49" t="n">
        <f aca="false">$AD25*1000/2^(($X25-1.76)/6.02)</f>
        <v>6207.65403954676</v>
      </c>
      <c r="AG25" s="31" t="str">
        <f aca="false">IF(ISNUMBER($Q25), $Q25+10*LOG10($AB25/2/$Y25), "")</f>
        <v/>
      </c>
      <c r="AH25" s="31" t="n">
        <f aca="false">$X25+10*LOG10($AB25/2/$Y25)</f>
        <v>145.436974992327</v>
      </c>
      <c r="AI25" s="52" t="n">
        <f aca="false">AF25/AB25</f>
        <v>0.000344869668863709</v>
      </c>
      <c r="AJ25" s="53" t="n">
        <f aca="false">AH25+10*LOG10(AB25)</f>
        <v>217.98970004336</v>
      </c>
    </row>
    <row r="26" customFormat="false" ht="12.75" hidden="false" customHeight="false" outlineLevel="0" collapsed="false">
      <c r="A26" s="50" t="n">
        <v>1999</v>
      </c>
      <c r="B26" s="41" t="n">
        <v>3.4</v>
      </c>
      <c r="C26" s="42" t="s">
        <v>139</v>
      </c>
      <c r="D26" s="42" t="s">
        <v>156</v>
      </c>
      <c r="E26" s="42" t="n">
        <v>0.5</v>
      </c>
      <c r="F26" s="44" t="s">
        <v>231</v>
      </c>
      <c r="G26" s="45" t="s">
        <v>232</v>
      </c>
      <c r="H26" s="45" t="s">
        <v>233</v>
      </c>
      <c r="I26" s="44" t="s">
        <v>234</v>
      </c>
      <c r="J26" s="46" t="str">
        <f aca="false">IF(I26&lt;&gt;"?", HYPERLINK(CONCATENATE("https://doi.org/",I26)), "")</f>
        <v>https://doi.org/10.1109/ISSCC.1999.759093</v>
      </c>
      <c r="K26" s="45" t="s">
        <v>235</v>
      </c>
      <c r="L26" s="41"/>
      <c r="M26" s="41"/>
      <c r="N26" s="41"/>
      <c r="O26" s="34" t="s">
        <v>117</v>
      </c>
      <c r="P26" s="45" t="n">
        <v>0.36</v>
      </c>
      <c r="Q26" s="54"/>
      <c r="R26" s="48" t="n">
        <v>200000</v>
      </c>
      <c r="S26" s="41" t="n">
        <v>63.5</v>
      </c>
      <c r="T26" s="41"/>
      <c r="U26" s="41" t="n">
        <v>67</v>
      </c>
      <c r="V26" s="41"/>
      <c r="W26" s="41"/>
      <c r="X26" s="49" t="n">
        <f aca="false">+IF(ISNUMBER($S26),$S26,MIN($V26,$T26,$U26,$W26))</f>
        <v>63.5</v>
      </c>
      <c r="Y26" s="48" t="n">
        <v>0.06</v>
      </c>
      <c r="Z26" s="48" t="n">
        <v>80000000</v>
      </c>
      <c r="AA26" s="50" t="n">
        <v>200</v>
      </c>
      <c r="AB26" s="48" t="n">
        <f aca="false">Z26/AA26</f>
        <v>400000</v>
      </c>
      <c r="AC26" s="48" t="n">
        <v>10700000</v>
      </c>
      <c r="AD26" s="51" t="n">
        <f aca="false">Y26/AB26*1000000000000</f>
        <v>150000</v>
      </c>
      <c r="AE26" s="49" t="str">
        <f aca="false">IF(ISNUMBER($Q26), $AD26*1000/2^(($Q26-1.76)/6.02), "")</f>
        <v/>
      </c>
      <c r="AF26" s="49" t="n">
        <f aca="false">$AD26*1000/2^(($X26-1.76)/6.02)</f>
        <v>122682.785803007</v>
      </c>
      <c r="AG26" s="31" t="str">
        <f aca="false">IF(ISNUMBER($Q26), $Q26+10*LOG10($AB26/2/$Y26), "")</f>
        <v/>
      </c>
      <c r="AH26" s="31" t="n">
        <f aca="false">$X26+10*LOG10($AB26/2/$Y26)</f>
        <v>128.728787452803</v>
      </c>
      <c r="AI26" s="52" t="n">
        <f aca="false">AF26/AB26</f>
        <v>0.306706964507517</v>
      </c>
      <c r="AJ26" s="53" t="n">
        <f aca="false">AH26+10*LOG10(AB26)</f>
        <v>184.749387366083</v>
      </c>
    </row>
    <row r="27" customFormat="false" ht="12.75" hidden="false" customHeight="false" outlineLevel="0" collapsed="false">
      <c r="A27" s="50" t="n">
        <v>1999</v>
      </c>
      <c r="B27" s="41" t="n">
        <v>3.7</v>
      </c>
      <c r="C27" s="42" t="s">
        <v>139</v>
      </c>
      <c r="D27" s="42" t="s">
        <v>173</v>
      </c>
      <c r="E27" s="42" t="s">
        <v>236</v>
      </c>
      <c r="F27" s="44" t="s">
        <v>237</v>
      </c>
      <c r="G27" s="45" t="s">
        <v>238</v>
      </c>
      <c r="H27" s="45" t="s">
        <v>239</v>
      </c>
      <c r="I27" s="44" t="s">
        <v>240</v>
      </c>
      <c r="J27" s="46" t="str">
        <f aca="false">IF(I27&lt;&gt;"?", HYPERLINK(CONCATENATE("https://doi.org/",I27)), "")</f>
        <v>https://doi.org/10.1109/ISSCC.1999.759096</v>
      </c>
      <c r="K27" s="45" t="s">
        <v>117</v>
      </c>
      <c r="L27" s="41"/>
      <c r="M27" s="41"/>
      <c r="N27" s="41"/>
      <c r="O27" s="34" t="s">
        <v>117</v>
      </c>
      <c r="P27" s="45" t="n">
        <v>1.5</v>
      </c>
      <c r="Q27" s="54"/>
      <c r="R27" s="48" t="n">
        <v>40000</v>
      </c>
      <c r="S27" s="41" t="n">
        <v>66</v>
      </c>
      <c r="T27" s="41"/>
      <c r="U27" s="41" t="n">
        <v>72</v>
      </c>
      <c r="V27" s="41"/>
      <c r="W27" s="41"/>
      <c r="X27" s="49" t="n">
        <f aca="false">+IF(ISNUMBER($S27),$S27,MIN($V27,$T27,$U27,$W27))</f>
        <v>66</v>
      </c>
      <c r="Y27" s="48" t="n">
        <v>0.018</v>
      </c>
      <c r="Z27" s="48" t="n">
        <v>20000000</v>
      </c>
      <c r="AA27" s="50" t="n">
        <v>250</v>
      </c>
      <c r="AB27" s="48" t="n">
        <f aca="false">Z27/AA27</f>
        <v>80000</v>
      </c>
      <c r="AC27" s="48"/>
      <c r="AD27" s="51" t="n">
        <f aca="false">Y27/AB27*1000000000000</f>
        <v>225000</v>
      </c>
      <c r="AE27" s="49" t="str">
        <f aca="false">IF(ISNUMBER($Q27), $AD27*1000/2^(($Q27-1.76)/6.02), "")</f>
        <v/>
      </c>
      <c r="AF27" s="49" t="n">
        <f aca="false">$AD27*1000/2^(($X27-1.76)/6.02)</f>
        <v>137994.707891469</v>
      </c>
      <c r="AG27" s="31" t="str">
        <f aca="false">IF(ISNUMBER($Q27), $Q27+10*LOG10($AB27/2/$Y27), "")</f>
        <v/>
      </c>
      <c r="AH27" s="31" t="n">
        <f aca="false">$X27+10*LOG10($AB27/2/$Y27)</f>
        <v>129.467874862247</v>
      </c>
      <c r="AI27" s="52" t="n">
        <f aca="false">AF27/AB27</f>
        <v>1.72493384864336</v>
      </c>
      <c r="AJ27" s="53" t="n">
        <f aca="false">AH27+10*LOG10(AB27)</f>
        <v>178.498774732166</v>
      </c>
    </row>
    <row r="28" customFormat="false" ht="12.75" hidden="false" customHeight="false" outlineLevel="0" collapsed="false">
      <c r="A28" s="50" t="n">
        <v>1999</v>
      </c>
      <c r="B28" s="41" t="n">
        <v>18.1</v>
      </c>
      <c r="C28" s="42" t="s">
        <v>111</v>
      </c>
      <c r="D28" s="42" t="s">
        <v>241</v>
      </c>
      <c r="E28" s="42" t="n">
        <v>1.5</v>
      </c>
      <c r="F28" s="44" t="s">
        <v>242</v>
      </c>
      <c r="G28" s="45" t="s">
        <v>243</v>
      </c>
      <c r="H28" s="45" t="s">
        <v>244</v>
      </c>
      <c r="I28" s="44" t="s">
        <v>245</v>
      </c>
      <c r="J28" s="46" t="str">
        <f aca="false">IF(I28&lt;&gt;"?", HYPERLINK(CONCATENATE("https://doi.org/",I28)), "")</f>
        <v>https://doi.org/10.1109/ISSCC.1999.759266</v>
      </c>
      <c r="K28" s="45" t="s">
        <v>117</v>
      </c>
      <c r="L28" s="41"/>
      <c r="M28" s="41"/>
      <c r="N28" s="41"/>
      <c r="O28" s="34" t="s">
        <v>117</v>
      </c>
      <c r="P28" s="45" t="n">
        <v>5.94</v>
      </c>
      <c r="Q28" s="54"/>
      <c r="R28" s="48" t="n">
        <v>62500</v>
      </c>
      <c r="S28" s="41" t="n">
        <v>71</v>
      </c>
      <c r="T28" s="41"/>
      <c r="U28" s="41"/>
      <c r="V28" s="41" t="n">
        <v>90</v>
      </c>
      <c r="W28" s="41" t="n">
        <v>95</v>
      </c>
      <c r="X28" s="49" t="n">
        <f aca="false">+IF(ISNUMBER($S28),$S28,MIN($V28,$T28,$U28,$W28))</f>
        <v>71</v>
      </c>
      <c r="Y28" s="48" t="n">
        <v>0.016</v>
      </c>
      <c r="Z28" s="48" t="n">
        <v>125000</v>
      </c>
      <c r="AA28" s="50" t="n">
        <v>1</v>
      </c>
      <c r="AB28" s="48" t="n">
        <f aca="false">Z28/AA28</f>
        <v>125000</v>
      </c>
      <c r="AC28" s="48"/>
      <c r="AD28" s="51" t="n">
        <f aca="false">Y28/AB28*1000000000000</f>
        <v>128000</v>
      </c>
      <c r="AE28" s="49" t="str">
        <f aca="false">IF(ISNUMBER($Q28), $AD28*1000/2^(($Q28-1.76)/6.02), "")</f>
        <v/>
      </c>
      <c r="AF28" s="49" t="n">
        <f aca="false">$AD28*1000/2^(($X28-1.76)/6.02)</f>
        <v>44143.3176145547</v>
      </c>
      <c r="AG28" s="31" t="str">
        <f aca="false">IF(ISNUMBER($Q28), $Q28+10*LOG10($AB28/2/$Y28), "")</f>
        <v/>
      </c>
      <c r="AH28" s="31" t="n">
        <f aca="false">$X28+10*LOG10($AB28/2/$Y28)</f>
        <v>136.917600346882</v>
      </c>
      <c r="AI28" s="52" t="n">
        <f aca="false">AF28/AB28</f>
        <v>0.353146540916438</v>
      </c>
      <c r="AJ28" s="53" t="n">
        <f aca="false">AH28+10*LOG10(AB28)</f>
        <v>187.886700476962</v>
      </c>
    </row>
    <row r="29" customFormat="false" ht="12.75" hidden="false" customHeight="false" outlineLevel="0" collapsed="false">
      <c r="A29" s="50" t="n">
        <v>1999</v>
      </c>
      <c r="B29" s="41" t="n">
        <v>18.2</v>
      </c>
      <c r="C29" s="42" t="s">
        <v>111</v>
      </c>
      <c r="D29" s="42" t="s">
        <v>246</v>
      </c>
      <c r="E29" s="42" t="n">
        <v>0.35</v>
      </c>
      <c r="F29" s="44" t="s">
        <v>247</v>
      </c>
      <c r="G29" s="45" t="s">
        <v>248</v>
      </c>
      <c r="H29" s="45" t="s">
        <v>249</v>
      </c>
      <c r="I29" s="44" t="s">
        <v>250</v>
      </c>
      <c r="J29" s="46" t="str">
        <f aca="false">IF(I29&lt;&gt;"?", HYPERLINK(CONCATENATE("https://doi.org/",I29)), "")</f>
        <v>https://doi.org/10.1109/ISSCC.1999.759267</v>
      </c>
      <c r="K29" s="45" t="s">
        <v>251</v>
      </c>
      <c r="L29" s="41" t="n">
        <v>3.3</v>
      </c>
      <c r="M29" s="41"/>
      <c r="N29" s="41"/>
      <c r="O29" s="34" t="s">
        <v>117</v>
      </c>
      <c r="P29" s="45" t="n">
        <v>0.8</v>
      </c>
      <c r="Q29" s="54"/>
      <c r="R29" s="48" t="n">
        <v>12500000</v>
      </c>
      <c r="S29" s="41" t="n">
        <f aca="false">7.8*6.02+1.76</f>
        <v>48.716</v>
      </c>
      <c r="T29" s="41" t="n">
        <v>59.6</v>
      </c>
      <c r="U29" s="41"/>
      <c r="V29" s="41" t="n">
        <v>62.8</v>
      </c>
      <c r="W29" s="41" t="n">
        <v>72</v>
      </c>
      <c r="X29" s="49" t="n">
        <f aca="false">+IF(ISNUMBER($S29),$S29,MIN($V29,$T29,$U29,$W29))</f>
        <v>48.716</v>
      </c>
      <c r="Y29" s="48" t="n">
        <v>0.195</v>
      </c>
      <c r="Z29" s="48" t="n">
        <v>25000000</v>
      </c>
      <c r="AA29" s="50" t="n">
        <v>1</v>
      </c>
      <c r="AB29" s="48" t="n">
        <f aca="false">Z29/AA29</f>
        <v>25000000</v>
      </c>
      <c r="AC29" s="48"/>
      <c r="AD29" s="51" t="n">
        <f aca="false">Y29/AB29*1000000000000</f>
        <v>7800</v>
      </c>
      <c r="AE29" s="49" t="str">
        <f aca="false">IF(ISNUMBER($Q29), $AD29*1000/2^(($Q29-1.76)/6.02), "")</f>
        <v/>
      </c>
      <c r="AF29" s="49" t="n">
        <f aca="false">$AD29*1000/2^(($X29-1.76)/6.02)</f>
        <v>34999.4030038159</v>
      </c>
      <c r="AG29" s="31" t="str">
        <f aca="false">IF(ISNUMBER($Q29), $Q29+10*LOG10($AB29/2/$Y29), "")</f>
        <v/>
      </c>
      <c r="AH29" s="31" t="n">
        <f aca="false">$X29+10*LOG10($AB29/2/$Y29)</f>
        <v>126.784754016455</v>
      </c>
      <c r="AI29" s="52" t="n">
        <f aca="false">AF29/AB29</f>
        <v>0.00139997612015264</v>
      </c>
      <c r="AJ29" s="53" t="n">
        <f aca="false">AH29+10*LOG10(AB29)</f>
        <v>200.764154103176</v>
      </c>
    </row>
    <row r="30" customFormat="false" ht="12.75" hidden="false" customHeight="false" outlineLevel="0" collapsed="false">
      <c r="A30" s="50" t="n">
        <v>1999</v>
      </c>
      <c r="B30" s="41" t="n">
        <v>18.3</v>
      </c>
      <c r="C30" s="42" t="s">
        <v>111</v>
      </c>
      <c r="D30" s="42" t="s">
        <v>118</v>
      </c>
      <c r="E30" s="42" t="s">
        <v>252</v>
      </c>
      <c r="F30" s="44" t="s">
        <v>253</v>
      </c>
      <c r="G30" s="45" t="s">
        <v>254</v>
      </c>
      <c r="H30" s="45" t="s">
        <v>255</v>
      </c>
      <c r="I30" s="44" t="s">
        <v>256</v>
      </c>
      <c r="J30" s="46" t="str">
        <f aca="false">IF(I30&lt;&gt;"?", HYPERLINK(CONCATENATE("https://doi.org/",I30)), "")</f>
        <v>https://doi.org/10.1109/ISSCC.1999.759268</v>
      </c>
      <c r="K30" s="45" t="s">
        <v>257</v>
      </c>
      <c r="L30" s="41" t="n">
        <v>5</v>
      </c>
      <c r="M30" s="41"/>
      <c r="N30" s="41"/>
      <c r="O30" s="34" t="s">
        <v>117</v>
      </c>
      <c r="P30" s="45" t="n">
        <v>0.8</v>
      </c>
      <c r="Q30" s="54"/>
      <c r="R30" s="48" t="n">
        <v>20000000</v>
      </c>
      <c r="S30" s="41" t="n">
        <f aca="false">8.7*6.02+1.76</f>
        <v>54.134</v>
      </c>
      <c r="T30" s="41" t="n">
        <v>59</v>
      </c>
      <c r="U30" s="41"/>
      <c r="V30" s="41" t="n">
        <v>62</v>
      </c>
      <c r="W30" s="41" t="n">
        <v>67</v>
      </c>
      <c r="X30" s="49" t="n">
        <f aca="false">+IF(ISNUMBER($S30),$S30,MIN($V30,$T30,$U30,$W30))</f>
        <v>54.134</v>
      </c>
      <c r="Y30" s="48" t="n">
        <v>0.065</v>
      </c>
      <c r="Z30" s="48" t="n">
        <v>40000000</v>
      </c>
      <c r="AA30" s="50" t="n">
        <v>1</v>
      </c>
      <c r="AB30" s="48" t="n">
        <f aca="false">Z30/AA30</f>
        <v>40000000</v>
      </c>
      <c r="AC30" s="48"/>
      <c r="AD30" s="51" t="n">
        <f aca="false">Y30/AB30*1000000000000</f>
        <v>1625</v>
      </c>
      <c r="AE30" s="49" t="str">
        <f aca="false">IF(ISNUMBER($Q30), $AD30*1000/2^(($Q30-1.76)/6.02), "")</f>
        <v/>
      </c>
      <c r="AF30" s="49" t="n">
        <f aca="false">$AD30*1000/2^(($X30-1.76)/6.02)</f>
        <v>3907.44076501072</v>
      </c>
      <c r="AG30" s="31" t="str">
        <f aca="false">IF(ISNUMBER($Q30), $Q30+10*LOG10($AB30/2/$Y30), "")</f>
        <v/>
      </c>
      <c r="AH30" s="31" t="n">
        <f aca="false">$X30+10*LOG10($AB30/2/$Y30)</f>
        <v>139.015166390211</v>
      </c>
      <c r="AI30" s="52" t="n">
        <f aca="false">AF30/AB30</f>
        <v>9.7686019125268E-005</v>
      </c>
      <c r="AJ30" s="53" t="n">
        <f aca="false">AH30+10*LOG10(AB30)</f>
        <v>215.035766303491</v>
      </c>
    </row>
    <row r="31" customFormat="false" ht="12.75" hidden="false" customHeight="false" outlineLevel="0" collapsed="false">
      <c r="A31" s="50" t="n">
        <v>1999</v>
      </c>
      <c r="B31" s="41" t="n">
        <v>18.4</v>
      </c>
      <c r="C31" s="42" t="s">
        <v>111</v>
      </c>
      <c r="D31" s="42" t="s">
        <v>246</v>
      </c>
      <c r="E31" s="42" t="n">
        <v>0.5</v>
      </c>
      <c r="F31" s="44" t="s">
        <v>258</v>
      </c>
      <c r="G31" s="45" t="s">
        <v>259</v>
      </c>
      <c r="H31" s="45" t="s">
        <v>260</v>
      </c>
      <c r="I31" s="44" t="s">
        <v>261</v>
      </c>
      <c r="J31" s="46" t="str">
        <f aca="false">IF(I31&lt;&gt;"?", HYPERLINK(CONCATENATE("https://doi.org/",I31)), "")</f>
        <v>https://doi.org/10.1109/ISSCC.1999.759270</v>
      </c>
      <c r="K31" s="45" t="s">
        <v>117</v>
      </c>
      <c r="L31" s="41"/>
      <c r="M31" s="41"/>
      <c r="N31" s="41"/>
      <c r="O31" s="34" t="s">
        <v>117</v>
      </c>
      <c r="P31" s="45" t="n">
        <v>1.6</v>
      </c>
      <c r="Q31" s="54"/>
      <c r="R31" s="48" t="n">
        <v>10000000</v>
      </c>
      <c r="S31" s="41" t="n">
        <v>58.7</v>
      </c>
      <c r="T31" s="41" t="n">
        <v>60.5</v>
      </c>
      <c r="U31" s="41"/>
      <c r="V31" s="41" t="n">
        <v>64</v>
      </c>
      <c r="W31" s="41" t="n">
        <v>64</v>
      </c>
      <c r="X31" s="49" t="n">
        <f aca="false">+IF(ISNUMBER($S31),$S31,MIN($V31,$T31,$U31,$W31))</f>
        <v>58.7</v>
      </c>
      <c r="Y31" s="48" t="n">
        <v>0.075</v>
      </c>
      <c r="Z31" s="48" t="n">
        <v>20000000</v>
      </c>
      <c r="AA31" s="50" t="n">
        <v>1</v>
      </c>
      <c r="AB31" s="48" t="n">
        <f aca="false">Z31/AA31</f>
        <v>20000000</v>
      </c>
      <c r="AC31" s="48"/>
      <c r="AD31" s="51" t="n">
        <f aca="false">Y31/AB31*1000000000000</f>
        <v>3750</v>
      </c>
      <c r="AE31" s="49" t="str">
        <f aca="false">IF(ISNUMBER($Q31), $AD31*1000/2^(($Q31-1.76)/6.02), "")</f>
        <v/>
      </c>
      <c r="AF31" s="49" t="n">
        <f aca="false">$AD31*1000/2^(($X31-1.76)/6.02)</f>
        <v>5330.24970240649</v>
      </c>
      <c r="AG31" s="31" t="str">
        <f aca="false">IF(ISNUMBER($Q31), $Q31+10*LOG10($AB31/2/$Y31), "")</f>
        <v/>
      </c>
      <c r="AH31" s="31" t="n">
        <f aca="false">$X31+10*LOG10($AB31/2/$Y31)</f>
        <v>139.949387366083</v>
      </c>
      <c r="AI31" s="52" t="n">
        <f aca="false">AF31/AB31</f>
        <v>0.000266512485120325</v>
      </c>
      <c r="AJ31" s="53" t="n">
        <f aca="false">AH31+10*LOG10(AB31)</f>
        <v>212.959687322723</v>
      </c>
    </row>
    <row r="32" customFormat="false" ht="12.75" hidden="false" customHeight="false" outlineLevel="0" collapsed="false">
      <c r="A32" s="50" t="n">
        <v>1999</v>
      </c>
      <c r="B32" s="41" t="n">
        <v>18.5</v>
      </c>
      <c r="C32" s="42" t="s">
        <v>111</v>
      </c>
      <c r="D32" s="42" t="s">
        <v>208</v>
      </c>
      <c r="E32" s="42" t="n">
        <v>0.4</v>
      </c>
      <c r="F32" s="44" t="s">
        <v>262</v>
      </c>
      <c r="G32" s="45" t="s">
        <v>263</v>
      </c>
      <c r="H32" s="45" t="s">
        <v>264</v>
      </c>
      <c r="I32" s="44" t="s">
        <v>265</v>
      </c>
      <c r="J32" s="46" t="str">
        <f aca="false">IF(I32&lt;&gt;"?", HYPERLINK(CONCATENATE("https://doi.org/",I32)), "")</f>
        <v>https://doi.org/10.1109/ISSCC.1999.759272</v>
      </c>
      <c r="K32" s="45" t="s">
        <v>117</v>
      </c>
      <c r="L32" s="41" t="n">
        <v>3.3</v>
      </c>
      <c r="M32" s="41"/>
      <c r="N32" s="41"/>
      <c r="O32" s="34" t="s">
        <v>117</v>
      </c>
      <c r="P32" s="45" t="n">
        <v>2.4</v>
      </c>
      <c r="Q32" s="54"/>
      <c r="R32" s="48" t="n">
        <v>250000000</v>
      </c>
      <c r="S32" s="41" t="n">
        <f aca="false">5.5*6.02+1.76</f>
        <v>34.87</v>
      </c>
      <c r="T32" s="41"/>
      <c r="U32" s="41"/>
      <c r="V32" s="41"/>
      <c r="W32" s="41"/>
      <c r="X32" s="49" t="n">
        <f aca="false">+IF(ISNUMBER($S32),$S32,MIN($V32,$T32,$U32,$W32))</f>
        <v>34.87</v>
      </c>
      <c r="Y32" s="48" t="n">
        <v>0.4</v>
      </c>
      <c r="Z32" s="48" t="n">
        <v>500000000</v>
      </c>
      <c r="AA32" s="50" t="n">
        <v>1</v>
      </c>
      <c r="AB32" s="48" t="n">
        <f aca="false">Z32/AA32</f>
        <v>500000000</v>
      </c>
      <c r="AC32" s="48"/>
      <c r="AD32" s="51" t="n">
        <f aca="false">Y32/AB32*1000000000000</f>
        <v>800</v>
      </c>
      <c r="AE32" s="49" t="str">
        <f aca="false">IF(ISNUMBER($Q32), $AD32*1000/2^(($Q32-1.76)/6.02), "")</f>
        <v/>
      </c>
      <c r="AF32" s="49" t="n">
        <f aca="false">$AD32*1000/2^(($X32-1.76)/6.02)</f>
        <v>17677.6695296637</v>
      </c>
      <c r="AG32" s="31" t="str">
        <f aca="false">IF(ISNUMBER($Q32), $Q32+10*LOG10($AB32/2/$Y32), "")</f>
        <v/>
      </c>
      <c r="AH32" s="31" t="n">
        <f aca="false">$X32+10*LOG10($AB32/2/$Y32)</f>
        <v>122.828800173441</v>
      </c>
      <c r="AI32" s="52" t="n">
        <f aca="false">AF32/AB32</f>
        <v>3.53553390593274E-005</v>
      </c>
      <c r="AJ32" s="53" t="n">
        <f aca="false">AH32+10*LOG10(AB32)</f>
        <v>209.818500216801</v>
      </c>
    </row>
    <row r="33" customFormat="false" ht="12.75" hidden="false" customHeight="false" outlineLevel="0" collapsed="false">
      <c r="A33" s="50" t="n">
        <v>1999</v>
      </c>
      <c r="B33" s="41" t="n">
        <v>18.6</v>
      </c>
      <c r="C33" s="42" t="s">
        <v>111</v>
      </c>
      <c r="D33" s="42" t="s">
        <v>208</v>
      </c>
      <c r="E33" s="42" t="n">
        <v>0.6</v>
      </c>
      <c r="F33" s="44" t="s">
        <v>266</v>
      </c>
      <c r="G33" s="45" t="s">
        <v>267</v>
      </c>
      <c r="H33" s="45" t="s">
        <v>268</v>
      </c>
      <c r="I33" s="44" t="s">
        <v>269</v>
      </c>
      <c r="J33" s="46" t="str">
        <f aca="false">IF(I33&lt;&gt;"?", HYPERLINK(CONCATENATE("https://doi.org/",I33)), "")</f>
        <v>https://doi.org/10.1109/ISSCC.1999.759274</v>
      </c>
      <c r="K33" s="45" t="s">
        <v>117</v>
      </c>
      <c r="L33" s="41"/>
      <c r="M33" s="41"/>
      <c r="N33" s="41"/>
      <c r="O33" s="34" t="s">
        <v>117</v>
      </c>
      <c r="P33" s="45" t="n">
        <v>5.25</v>
      </c>
      <c r="Q33" s="54" t="n">
        <v>33.2</v>
      </c>
      <c r="R33" s="48" t="n">
        <v>100000000</v>
      </c>
      <c r="S33" s="41" t="n">
        <v>27.5</v>
      </c>
      <c r="T33" s="41"/>
      <c r="U33" s="41"/>
      <c r="V33" s="41"/>
      <c r="W33" s="41"/>
      <c r="X33" s="49" t="n">
        <f aca="false">+IF(ISNUMBER($S33),$S33,MIN($V33,$T33,$U33,$W33))</f>
        <v>27.5</v>
      </c>
      <c r="Y33" s="48" t="n">
        <v>0.33</v>
      </c>
      <c r="Z33" s="48" t="n">
        <v>500000000</v>
      </c>
      <c r="AA33" s="50" t="n">
        <v>1</v>
      </c>
      <c r="AB33" s="48" t="n">
        <f aca="false">Z33/AA33</f>
        <v>500000000</v>
      </c>
      <c r="AC33" s="48"/>
      <c r="AD33" s="51" t="n">
        <f aca="false">Y33/AB33*1000000000000</f>
        <v>660</v>
      </c>
      <c r="AE33" s="49" t="n">
        <f aca="false">IF(ISNUMBER($Q33), $AD33*1000/2^(($Q33-1.76)/6.02), "")</f>
        <v>17676.1338056602</v>
      </c>
      <c r="AF33" s="49" t="n">
        <f aca="false">$AD33*1000/2^(($X33-1.76)/6.02)</f>
        <v>34073.4164785073</v>
      </c>
      <c r="AG33" s="31" t="n">
        <f aca="false">IF(ISNUMBER($Q33), $Q33+10*LOG10($AB33/2/$Y33), "")</f>
        <v>121.994260687941</v>
      </c>
      <c r="AH33" s="31" t="n">
        <f aca="false">$X33+10*LOG10($AB33/2/$Y33)</f>
        <v>116.294260687941</v>
      </c>
      <c r="AI33" s="52" t="n">
        <f aca="false">AF33/AB33</f>
        <v>6.81468329570146E-005</v>
      </c>
      <c r="AJ33" s="53" t="n">
        <f aca="false">AH33+10*LOG10(AB33)</f>
        <v>203.283960731302</v>
      </c>
    </row>
    <row r="34" customFormat="false" ht="12.75" hidden="false" customHeight="false" outlineLevel="0" collapsed="false">
      <c r="A34" s="40" t="n">
        <v>2000</v>
      </c>
      <c r="B34" s="41" t="n">
        <v>2.1</v>
      </c>
      <c r="C34" s="42" t="s">
        <v>111</v>
      </c>
      <c r="D34" s="42" t="s">
        <v>118</v>
      </c>
      <c r="E34" s="42" t="s">
        <v>128</v>
      </c>
      <c r="F34" s="44" t="s">
        <v>270</v>
      </c>
      <c r="G34" s="45" t="s">
        <v>271</v>
      </c>
      <c r="H34" s="45" t="s">
        <v>272</v>
      </c>
      <c r="I34" s="44" t="s">
        <v>273</v>
      </c>
      <c r="J34" s="46" t="str">
        <f aca="false">IF(I34&lt;&gt;"?", HYPERLINK(CONCATENATE("https://doi.org/",I34)), "")</f>
        <v>https://doi.org/10.1109/ISSCC.2000.839679</v>
      </c>
      <c r="K34" s="45" t="s">
        <v>117</v>
      </c>
      <c r="L34" s="41"/>
      <c r="M34" s="41"/>
      <c r="N34" s="41"/>
      <c r="O34" s="34" t="s">
        <v>117</v>
      </c>
      <c r="P34" s="45" t="n">
        <v>261</v>
      </c>
      <c r="Q34" s="54"/>
      <c r="R34" s="48" t="n">
        <v>50000000</v>
      </c>
      <c r="S34" s="41"/>
      <c r="T34" s="41" t="n">
        <v>75</v>
      </c>
      <c r="U34" s="41"/>
      <c r="V34" s="41"/>
      <c r="W34" s="41"/>
      <c r="X34" s="49" t="n">
        <f aca="false">+IF(ISNUMBER($S34),$S34,MIN($V34,$T34,$U34,$W34))</f>
        <v>75</v>
      </c>
      <c r="Y34" s="48" t="n">
        <v>1.25</v>
      </c>
      <c r="Z34" s="48" t="n">
        <v>100000000</v>
      </c>
      <c r="AA34" s="50" t="n">
        <v>1</v>
      </c>
      <c r="AB34" s="48" t="n">
        <f aca="false">Z34/AA34</f>
        <v>100000000</v>
      </c>
      <c r="AC34" s="48"/>
      <c r="AD34" s="51" t="n">
        <f aca="false">Y34/AB34*1000000000000</f>
        <v>12500</v>
      </c>
      <c r="AE34" s="49" t="str">
        <f aca="false">IF(ISNUMBER($Q34), $AD34*1000/2^(($Q34-1.76)/6.02), "")</f>
        <v/>
      </c>
      <c r="AF34" s="49" t="n">
        <f aca="false">$AD34*1000/2^(($X34-1.76)/6.02)</f>
        <v>2719.85080827115</v>
      </c>
      <c r="AG34" s="31" t="str">
        <f aca="false">IF(ISNUMBER($Q34), $Q34+10*LOG10($AB34/2/$Y34), "")</f>
        <v/>
      </c>
      <c r="AH34" s="31" t="n">
        <f aca="false">$X34+10*LOG10($AB34/2/$Y34)</f>
        <v>151.02059991328</v>
      </c>
      <c r="AI34" s="52" t="n">
        <f aca="false">AF34/AB34</f>
        <v>2.71985080827115E-005</v>
      </c>
      <c r="AJ34" s="53" t="n">
        <f aca="false">AH34+10*LOG10(AB34)</f>
        <v>231.02059991328</v>
      </c>
    </row>
    <row r="35" customFormat="false" ht="12.75" hidden="false" customHeight="false" outlineLevel="0" collapsed="false">
      <c r="A35" s="50" t="n">
        <v>2000</v>
      </c>
      <c r="B35" s="41" t="n">
        <v>2.2</v>
      </c>
      <c r="C35" s="42" t="s">
        <v>111</v>
      </c>
      <c r="D35" s="42" t="s">
        <v>118</v>
      </c>
      <c r="E35" s="42" t="n">
        <v>0.5</v>
      </c>
      <c r="F35" s="44" t="s">
        <v>274</v>
      </c>
      <c r="G35" s="45" t="s">
        <v>275</v>
      </c>
      <c r="H35" s="45" t="s">
        <v>276</v>
      </c>
      <c r="I35" s="44" t="s">
        <v>277</v>
      </c>
      <c r="J35" s="46" t="str">
        <f aca="false">IF(I35&lt;&gt;"?", HYPERLINK(CONCATENATE("https://doi.org/",I35)), "")</f>
        <v>https://doi.org/10.1109/ISSCC.2000.839680</v>
      </c>
      <c r="K35" s="45" t="s">
        <v>117</v>
      </c>
      <c r="L35" s="41"/>
      <c r="M35" s="41"/>
      <c r="N35" s="41"/>
      <c r="O35" s="34" t="s">
        <v>117</v>
      </c>
      <c r="P35" s="45" t="n">
        <v>8.7</v>
      </c>
      <c r="Q35" s="54"/>
      <c r="R35" s="48" t="n">
        <v>20000000</v>
      </c>
      <c r="S35" s="41"/>
      <c r="T35" s="41" t="n">
        <v>66</v>
      </c>
      <c r="U35" s="41"/>
      <c r="V35" s="41"/>
      <c r="W35" s="41" t="n">
        <v>82</v>
      </c>
      <c r="X35" s="49" t="n">
        <f aca="false">+IF(ISNUMBER($S35),$S35,MIN($V35,$T35,$U35,$W35))</f>
        <v>66</v>
      </c>
      <c r="Y35" s="48" t="n">
        <v>0.8</v>
      </c>
      <c r="Z35" s="48" t="n">
        <v>40000000</v>
      </c>
      <c r="AA35" s="50" t="n">
        <v>1</v>
      </c>
      <c r="AB35" s="48" t="n">
        <f aca="false">Z35/AA35</f>
        <v>40000000</v>
      </c>
      <c r="AC35" s="48"/>
      <c r="AD35" s="51" t="n">
        <f aca="false">Y35/AB35*1000000000000</f>
        <v>20000</v>
      </c>
      <c r="AE35" s="49" t="str">
        <f aca="false">IF(ISNUMBER($Q35), $AD35*1000/2^(($Q35-1.76)/6.02), "")</f>
        <v/>
      </c>
      <c r="AF35" s="49" t="n">
        <f aca="false">$AD35*1000/2^(($X35-1.76)/6.02)</f>
        <v>12266.1962570195</v>
      </c>
      <c r="AG35" s="31" t="str">
        <f aca="false">IF(ISNUMBER($Q35), $Q35+10*LOG10($AB35/2/$Y35), "")</f>
        <v/>
      </c>
      <c r="AH35" s="31" t="n">
        <f aca="false">$X35+10*LOG10($AB35/2/$Y35)</f>
        <v>139.97940008672</v>
      </c>
      <c r="AI35" s="52" t="n">
        <f aca="false">AF35/AB35</f>
        <v>0.000306654906425486</v>
      </c>
      <c r="AJ35" s="53" t="n">
        <f aca="false">AH35+10*LOG10(AB35)</f>
        <v>216</v>
      </c>
    </row>
    <row r="36" customFormat="false" ht="12.75" hidden="false" customHeight="false" outlineLevel="0" collapsed="false">
      <c r="A36" s="50" t="n">
        <v>2000</v>
      </c>
      <c r="B36" s="41" t="n">
        <v>2.3</v>
      </c>
      <c r="C36" s="42" t="s">
        <v>111</v>
      </c>
      <c r="D36" s="42" t="s">
        <v>133</v>
      </c>
      <c r="E36" s="42" t="n">
        <v>0.5</v>
      </c>
      <c r="F36" s="44" t="s">
        <v>278</v>
      </c>
      <c r="G36" s="45" t="s">
        <v>279</v>
      </c>
      <c r="H36" s="45" t="s">
        <v>280</v>
      </c>
      <c r="I36" s="44" t="s">
        <v>281</v>
      </c>
      <c r="J36" s="46" t="str">
        <f aca="false">IF(I36&lt;&gt;"?", HYPERLINK(CONCATENATE("https://doi.org/",I36)), "")</f>
        <v>https://doi.org/10.1109/ISSCC.2000.839681</v>
      </c>
      <c r="K36" s="45" t="s">
        <v>117</v>
      </c>
      <c r="L36" s="41"/>
      <c r="M36" s="41"/>
      <c r="N36" s="41"/>
      <c r="O36" s="34" t="s">
        <v>117</v>
      </c>
      <c r="P36" s="45" t="n">
        <v>10</v>
      </c>
      <c r="Q36" s="54"/>
      <c r="R36" s="48" t="n">
        <v>32500000</v>
      </c>
      <c r="S36" s="41" t="n">
        <v>70</v>
      </c>
      <c r="T36" s="41" t="n">
        <v>70</v>
      </c>
      <c r="U36" s="41"/>
      <c r="V36" s="41"/>
      <c r="W36" s="41"/>
      <c r="X36" s="49" t="n">
        <f aca="false">+IF(ISNUMBER($S36),$S36,MIN($V36,$T36,$U36,$W36))</f>
        <v>70</v>
      </c>
      <c r="Y36" s="48" t="n">
        <v>0.43</v>
      </c>
      <c r="Z36" s="48" t="n">
        <v>65000000</v>
      </c>
      <c r="AA36" s="50" t="n">
        <v>1</v>
      </c>
      <c r="AB36" s="48" t="n">
        <f aca="false">Z36/AA36</f>
        <v>65000000</v>
      </c>
      <c r="AC36" s="48"/>
      <c r="AD36" s="51" t="n">
        <f aca="false">Y36/AB36*1000000000000</f>
        <v>6615.38461538462</v>
      </c>
      <c r="AE36" s="49" t="str">
        <f aca="false">IF(ISNUMBER($Q36), $AD36*1000/2^(($Q36-1.76)/6.02), "")</f>
        <v/>
      </c>
      <c r="AF36" s="49" t="n">
        <f aca="false">$AD36*1000/2^(($X36-1.76)/6.02)</f>
        <v>2559.853324482</v>
      </c>
      <c r="AG36" s="31" t="str">
        <f aca="false">IF(ISNUMBER($Q36), $Q36+10*LOG10($AB36/2/$Y36), "")</f>
        <v/>
      </c>
      <c r="AH36" s="31" t="n">
        <f aca="false">$X36+10*LOG10($AB36/2/$Y36)</f>
        <v>148.784149053993</v>
      </c>
      <c r="AI36" s="52" t="n">
        <f aca="false">AF36/AB36</f>
        <v>3.93823588381846E-005</v>
      </c>
      <c r="AJ36" s="53" t="n">
        <f aca="false">AH36+10*LOG10(AB36)</f>
        <v>226.913282620421</v>
      </c>
    </row>
    <row r="37" customFormat="false" ht="12.75" hidden="false" customHeight="false" outlineLevel="0" collapsed="false">
      <c r="A37" s="50" t="n">
        <v>2000</v>
      </c>
      <c r="B37" s="41" t="n">
        <v>2.4</v>
      </c>
      <c r="C37" s="42" t="s">
        <v>111</v>
      </c>
      <c r="D37" s="42" t="s">
        <v>118</v>
      </c>
      <c r="E37" s="42" t="n">
        <v>0.6</v>
      </c>
      <c r="F37" s="44" t="s">
        <v>282</v>
      </c>
      <c r="G37" s="45" t="s">
        <v>283</v>
      </c>
      <c r="H37" s="45" t="s">
        <v>284</v>
      </c>
      <c r="I37" s="44" t="s">
        <v>285</v>
      </c>
      <c r="J37" s="46" t="str">
        <f aca="false">IF(I37&lt;&gt;"?", HYPERLINK(CONCATENATE("https://doi.org/",I37)), "")</f>
        <v>https://doi.org/10.1109/ISSCC.2000.839682</v>
      </c>
      <c r="K37" s="45" t="s">
        <v>117</v>
      </c>
      <c r="L37" s="41"/>
      <c r="M37" s="41"/>
      <c r="N37" s="41"/>
      <c r="O37" s="34" t="s">
        <v>117</v>
      </c>
      <c r="P37" s="45" t="n">
        <v>16</v>
      </c>
      <c r="Q37" s="54"/>
      <c r="R37" s="48" t="n">
        <v>25000000</v>
      </c>
      <c r="S37" s="41" t="n">
        <v>64</v>
      </c>
      <c r="T37" s="41"/>
      <c r="U37" s="41"/>
      <c r="V37" s="41"/>
      <c r="W37" s="41" t="n">
        <v>82</v>
      </c>
      <c r="X37" s="49" t="n">
        <f aca="false">+IF(ISNUMBER($S37),$S37,MIN($V37,$T37,$U37,$W37))</f>
        <v>64</v>
      </c>
      <c r="Y37" s="48" t="n">
        <v>0.85</v>
      </c>
      <c r="Z37" s="48" t="n">
        <v>50000000</v>
      </c>
      <c r="AA37" s="50" t="n">
        <v>1</v>
      </c>
      <c r="AB37" s="48" t="n">
        <f aca="false">Z37/AA37</f>
        <v>50000000</v>
      </c>
      <c r="AC37" s="48"/>
      <c r="AD37" s="51" t="n">
        <f aca="false">Y37/AB37*1000000000000</f>
        <v>17000</v>
      </c>
      <c r="AE37" s="49" t="str">
        <f aca="false">IF(ISNUMBER($Q37), $AD37*1000/2^(($Q37-1.76)/6.02), "")</f>
        <v/>
      </c>
      <c r="AF37" s="49" t="n">
        <f aca="false">$AD37*1000/2^(($X37-1.76)/6.02)</f>
        <v>13126.1934385671</v>
      </c>
      <c r="AG37" s="31" t="str">
        <f aca="false">IF(ISNUMBER($Q37), $Q37+10*LOG10($AB37/2/$Y37), "")</f>
        <v/>
      </c>
      <c r="AH37" s="31" t="n">
        <f aca="false">$X37+10*LOG10($AB37/2/$Y37)</f>
        <v>138.685210829577</v>
      </c>
      <c r="AI37" s="52" t="n">
        <f aca="false">AF37/AB37</f>
        <v>0.000262523868771342</v>
      </c>
      <c r="AJ37" s="53" t="n">
        <f aca="false">AH37+10*LOG10(AB37)</f>
        <v>215.674910872938</v>
      </c>
    </row>
    <row r="38" customFormat="false" ht="12.75" hidden="false" customHeight="false" outlineLevel="0" collapsed="false">
      <c r="A38" s="50" t="n">
        <v>2000</v>
      </c>
      <c r="B38" s="41" t="n">
        <v>2.5</v>
      </c>
      <c r="C38" s="42" t="s">
        <v>111</v>
      </c>
      <c r="D38" s="42" t="s">
        <v>133</v>
      </c>
      <c r="E38" s="42" t="n">
        <v>0.5</v>
      </c>
      <c r="F38" s="44" t="s">
        <v>286</v>
      </c>
      <c r="G38" s="45" t="s">
        <v>287</v>
      </c>
      <c r="H38" s="45" t="s">
        <v>288</v>
      </c>
      <c r="I38" s="44" t="s">
        <v>289</v>
      </c>
      <c r="J38" s="46" t="str">
        <f aca="false">IF(I38&lt;&gt;"?", HYPERLINK(CONCATENATE("https://doi.org/",I38)), "")</f>
        <v>https://doi.org/10.1109/ISSCC.2000.839683</v>
      </c>
      <c r="K38" s="45" t="s">
        <v>117</v>
      </c>
      <c r="L38" s="41"/>
      <c r="M38" s="41"/>
      <c r="N38" s="41"/>
      <c r="O38" s="34" t="s">
        <v>117</v>
      </c>
      <c r="P38" s="45" t="n">
        <v>10.3</v>
      </c>
      <c r="Q38" s="54"/>
      <c r="R38" s="48" t="n">
        <v>40000000</v>
      </c>
      <c r="S38" s="41" t="n">
        <v>44.3</v>
      </c>
      <c r="T38" s="41"/>
      <c r="U38" s="41"/>
      <c r="V38" s="41" t="n">
        <v>54.9</v>
      </c>
      <c r="W38" s="41" t="n">
        <v>59.3</v>
      </c>
      <c r="X38" s="49" t="n">
        <f aca="false">+IF(ISNUMBER($S38),$S38,MIN($V38,$T38,$U38,$W38))</f>
        <v>44.3</v>
      </c>
      <c r="Y38" s="48" t="n">
        <v>0.25</v>
      </c>
      <c r="Z38" s="48" t="n">
        <v>80000000</v>
      </c>
      <c r="AA38" s="50" t="n">
        <v>1</v>
      </c>
      <c r="AB38" s="48" t="n">
        <f aca="false">Z38/AA38</f>
        <v>80000000</v>
      </c>
      <c r="AC38" s="48"/>
      <c r="AD38" s="51" t="n">
        <f aca="false">Y38/AB38*1000000000000</f>
        <v>3125</v>
      </c>
      <c r="AE38" s="49" t="str">
        <f aca="false">IF(ISNUMBER($Q38), $AD38*1000/2^(($Q38-1.76)/6.02), "")</f>
        <v/>
      </c>
      <c r="AF38" s="49" t="n">
        <f aca="false">$AD38*1000/2^(($X38-1.76)/6.02)</f>
        <v>23315.1416839018</v>
      </c>
      <c r="AG38" s="31" t="str">
        <f aca="false">IF(ISNUMBER($Q38), $Q38+10*LOG10($AB38/2/$Y38), "")</f>
        <v/>
      </c>
      <c r="AH38" s="31" t="n">
        <f aca="false">$X38+10*LOG10($AB38/2/$Y38)</f>
        <v>126.341199826559</v>
      </c>
      <c r="AI38" s="52" t="n">
        <f aca="false">AF38/AB38</f>
        <v>0.000291439271048772</v>
      </c>
      <c r="AJ38" s="53" t="n">
        <f aca="false">AH38+10*LOG10(AB38)</f>
        <v>205.372099696479</v>
      </c>
    </row>
    <row r="39" customFormat="false" ht="12.75" hidden="false" customHeight="false" outlineLevel="0" collapsed="false">
      <c r="A39" s="50" t="n">
        <v>2000</v>
      </c>
      <c r="B39" s="41" t="n">
        <v>2.7</v>
      </c>
      <c r="C39" s="42" t="s">
        <v>111</v>
      </c>
      <c r="D39" s="42" t="s">
        <v>133</v>
      </c>
      <c r="E39" s="42" t="n">
        <v>0.5</v>
      </c>
      <c r="F39" s="44" t="s">
        <v>290</v>
      </c>
      <c r="G39" s="45" t="s">
        <v>291</v>
      </c>
      <c r="H39" s="45" t="s">
        <v>292</v>
      </c>
      <c r="I39" s="44" t="s">
        <v>293</v>
      </c>
      <c r="J39" s="46" t="str">
        <f aca="false">IF(I39&lt;&gt;"?", HYPERLINK(CONCATENATE("https://doi.org/",I39)), "")</f>
        <v>https://doi.org/10.1109/ISSCC.2000.839685</v>
      </c>
      <c r="K39" s="45" t="s">
        <v>117</v>
      </c>
      <c r="L39" s="41"/>
      <c r="M39" s="41"/>
      <c r="N39" s="41"/>
      <c r="O39" s="34" t="s">
        <v>117</v>
      </c>
      <c r="P39" s="45" t="n">
        <v>10.8</v>
      </c>
      <c r="Q39" s="54"/>
      <c r="R39" s="48" t="n">
        <v>10000000</v>
      </c>
      <c r="S39" s="41"/>
      <c r="T39" s="41" t="n">
        <v>73.1</v>
      </c>
      <c r="U39" s="41" t="n">
        <v>83.1</v>
      </c>
      <c r="V39" s="41" t="n">
        <v>80.3</v>
      </c>
      <c r="W39" s="41"/>
      <c r="X39" s="49" t="n">
        <f aca="false">+IF(ISNUMBER($S39),$S39,MIN($V39,$T39,$U39,$W39))</f>
        <v>73.1</v>
      </c>
      <c r="Y39" s="48" t="n">
        <v>0.72</v>
      </c>
      <c r="Z39" s="48" t="n">
        <v>20000000</v>
      </c>
      <c r="AA39" s="50" t="n">
        <v>1</v>
      </c>
      <c r="AB39" s="48" t="n">
        <f aca="false">Z39/AA39</f>
        <v>20000000</v>
      </c>
      <c r="AC39" s="48"/>
      <c r="AD39" s="51" t="n">
        <f aca="false">Y39/AB39*1000000000000</f>
        <v>36000</v>
      </c>
      <c r="AE39" s="49" t="str">
        <f aca="false">IF(ISNUMBER($Q39), $AD39*1000/2^(($Q39-1.76)/6.02), "")</f>
        <v/>
      </c>
      <c r="AF39" s="49" t="n">
        <f aca="false">$AD39*1000/2^(($X39-1.76)/6.02)</f>
        <v>9748.70743663436</v>
      </c>
      <c r="AG39" s="31" t="str">
        <f aca="false">IF(ISNUMBER($Q39), $Q39+10*LOG10($AB39/2/$Y39), "")</f>
        <v/>
      </c>
      <c r="AH39" s="31" t="n">
        <f aca="false">$X39+10*LOG10($AB39/2/$Y39)</f>
        <v>144.526675035687</v>
      </c>
      <c r="AI39" s="52" t="n">
        <f aca="false">AF39/AB39</f>
        <v>0.000487435371831718</v>
      </c>
      <c r="AJ39" s="53" t="n">
        <f aca="false">AH39+10*LOG10(AB39)</f>
        <v>217.536974992327</v>
      </c>
    </row>
    <row r="40" customFormat="false" ht="12.75" hidden="false" customHeight="false" outlineLevel="0" collapsed="false">
      <c r="A40" s="50" t="n">
        <v>2000</v>
      </c>
      <c r="B40" s="41" t="n">
        <v>20.2</v>
      </c>
      <c r="C40" s="42" t="s">
        <v>139</v>
      </c>
      <c r="D40" s="42" t="s">
        <v>145</v>
      </c>
      <c r="E40" s="42" t="n">
        <v>0.65</v>
      </c>
      <c r="F40" s="44" t="s">
        <v>294</v>
      </c>
      <c r="G40" s="45" t="s">
        <v>295</v>
      </c>
      <c r="H40" s="45" t="s">
        <v>296</v>
      </c>
      <c r="I40" s="44" t="s">
        <v>297</v>
      </c>
      <c r="J40" s="46" t="str">
        <f aca="false">IF(I40&lt;&gt;"?", HYPERLINK(CONCATENATE("https://doi.org/",I40)), "")</f>
        <v>https://doi.org/10.1109/ISSCC.2000.839805</v>
      </c>
      <c r="K40" s="45" t="s">
        <v>117</v>
      </c>
      <c r="L40" s="41"/>
      <c r="M40" s="41"/>
      <c r="N40" s="41"/>
      <c r="O40" s="34" t="s">
        <v>117</v>
      </c>
      <c r="P40" s="45" t="n">
        <v>5.3436</v>
      </c>
      <c r="Q40" s="54"/>
      <c r="R40" s="48" t="n">
        <v>1250000</v>
      </c>
      <c r="S40" s="41" t="n">
        <v>89</v>
      </c>
      <c r="T40" s="41" t="n">
        <v>95</v>
      </c>
      <c r="U40" s="41" t="n">
        <v>97</v>
      </c>
      <c r="V40" s="41" t="n">
        <v>97</v>
      </c>
      <c r="W40" s="41"/>
      <c r="X40" s="49" t="n">
        <f aca="false">+IF(ISNUMBER($S40),$S40,MIN($V40,$T40,$U40,$W40))</f>
        <v>89</v>
      </c>
      <c r="Y40" s="48" t="n">
        <v>0.295</v>
      </c>
      <c r="Z40" s="48" t="n">
        <v>60000000</v>
      </c>
      <c r="AA40" s="50" t="n">
        <v>24</v>
      </c>
      <c r="AB40" s="48" t="n">
        <f aca="false">Z40/AA40</f>
        <v>2500000</v>
      </c>
      <c r="AC40" s="48"/>
      <c r="AD40" s="51" t="n">
        <f aca="false">Y40/AB40*1000000000000</f>
        <v>118000</v>
      </c>
      <c r="AE40" s="49" t="str">
        <f aca="false">IF(ISNUMBER($Q40), $AD40*1000/2^(($Q40-1.76)/6.02), "")</f>
        <v/>
      </c>
      <c r="AF40" s="49" t="n">
        <f aca="false">$AD40*1000/2^(($X40-1.76)/6.02)</f>
        <v>5122.0913462278</v>
      </c>
      <c r="AG40" s="31" t="str">
        <f aca="false">IF(ISNUMBER($Q40), $Q40+10*LOG10($AB40/2/$Y40), "")</f>
        <v/>
      </c>
      <c r="AH40" s="31" t="n">
        <f aca="false">$X40+10*LOG10($AB40/2/$Y40)</f>
        <v>155.270879970299</v>
      </c>
      <c r="AI40" s="52" t="n">
        <f aca="false">AF40/AB40</f>
        <v>0.00204883653849112</v>
      </c>
      <c r="AJ40" s="53" t="n">
        <f aca="false">AH40+10*LOG10(AB40)</f>
        <v>219.250280057019</v>
      </c>
    </row>
    <row r="41" customFormat="false" ht="12.75" hidden="false" customHeight="false" outlineLevel="0" collapsed="false">
      <c r="A41" s="50" t="n">
        <v>2000</v>
      </c>
      <c r="B41" s="41" t="n">
        <v>20.3</v>
      </c>
      <c r="C41" s="42" t="s">
        <v>139</v>
      </c>
      <c r="D41" s="42" t="s">
        <v>145</v>
      </c>
      <c r="E41" s="42" t="n">
        <v>0.5</v>
      </c>
      <c r="F41" s="44" t="s">
        <v>298</v>
      </c>
      <c r="G41" s="45" t="s">
        <v>299</v>
      </c>
      <c r="H41" s="45" t="s">
        <v>300</v>
      </c>
      <c r="I41" s="44" t="s">
        <v>301</v>
      </c>
      <c r="J41" s="46" t="str">
        <f aca="false">IF(I41&lt;&gt;"?", HYPERLINK(CONCATENATE("https://doi.org/",I41)), "")</f>
        <v>https://doi.org/10.1109/ISSCC.2000.839806</v>
      </c>
      <c r="K41" s="45" t="s">
        <v>117</v>
      </c>
      <c r="L41" s="41"/>
      <c r="M41" s="41"/>
      <c r="N41" s="41"/>
      <c r="O41" s="34" t="s">
        <v>117</v>
      </c>
      <c r="P41" s="45" t="n">
        <v>26.24</v>
      </c>
      <c r="Q41" s="54"/>
      <c r="R41" s="48" t="n">
        <v>1250000</v>
      </c>
      <c r="S41" s="41" t="n">
        <v>84</v>
      </c>
      <c r="T41" s="41" t="n">
        <v>90</v>
      </c>
      <c r="U41" s="41" t="n">
        <v>90</v>
      </c>
      <c r="V41" s="41"/>
      <c r="W41" s="41" t="n">
        <v>102</v>
      </c>
      <c r="X41" s="49" t="n">
        <f aca="false">+IF(ISNUMBER($S41),$S41,MIN($V41,$T41,$U41,$W41))</f>
        <v>84</v>
      </c>
      <c r="Y41" s="48" t="n">
        <v>0.27</v>
      </c>
      <c r="Z41" s="48" t="n">
        <v>20000000</v>
      </c>
      <c r="AA41" s="50" t="n">
        <v>8</v>
      </c>
      <c r="AB41" s="48" t="n">
        <f aca="false">Z41/AA41</f>
        <v>2500000</v>
      </c>
      <c r="AC41" s="48"/>
      <c r="AD41" s="51" t="n">
        <f aca="false">Y41/AB41*1000000000000</f>
        <v>108000</v>
      </c>
      <c r="AE41" s="49" t="str">
        <f aca="false">IF(ISNUMBER($Q41), $AD41*1000/2^(($Q41-1.76)/6.02), "")</f>
        <v/>
      </c>
      <c r="AF41" s="49" t="n">
        <f aca="false">$AD41*1000/2^(($X41-1.76)/6.02)</f>
        <v>8337.08022967879</v>
      </c>
      <c r="AG41" s="31" t="str">
        <f aca="false">IF(ISNUMBER($Q41), $Q41+10*LOG10($AB41/2/$Y41), "")</f>
        <v/>
      </c>
      <c r="AH41" s="31" t="n">
        <f aca="false">$X41+10*LOG10($AB41/2/$Y41)</f>
        <v>150.655462488491</v>
      </c>
      <c r="AI41" s="52" t="n">
        <f aca="false">AF41/AB41</f>
        <v>0.00333483209187151</v>
      </c>
      <c r="AJ41" s="53" t="n">
        <f aca="false">AH41+10*LOG10(AB41)</f>
        <v>214.634862575211</v>
      </c>
    </row>
    <row r="42" customFormat="false" ht="12.75" hidden="false" customHeight="false" outlineLevel="0" collapsed="false">
      <c r="A42" s="50" t="n">
        <v>2000</v>
      </c>
      <c r="B42" s="41" t="n">
        <v>20.4</v>
      </c>
      <c r="C42" s="42" t="s">
        <v>139</v>
      </c>
      <c r="D42" s="42" t="s">
        <v>156</v>
      </c>
      <c r="E42" s="42" t="n">
        <v>0.35</v>
      </c>
      <c r="F42" s="44" t="s">
        <v>302</v>
      </c>
      <c r="G42" s="45" t="s">
        <v>303</v>
      </c>
      <c r="H42" s="45" t="s">
        <v>304</v>
      </c>
      <c r="I42" s="44" t="s">
        <v>305</v>
      </c>
      <c r="J42" s="46" t="str">
        <f aca="false">IF(I42&lt;&gt;"?", HYPERLINK(CONCATENATE("https://doi.org/",I42)), "")</f>
        <v>https://doi.org/10.1109/ISSCC.2000.839807</v>
      </c>
      <c r="K42" s="45" t="s">
        <v>117</v>
      </c>
      <c r="L42" s="41"/>
      <c r="M42" s="41"/>
      <c r="N42" s="41"/>
      <c r="O42" s="34" t="s">
        <v>117</v>
      </c>
      <c r="P42" s="45" t="n">
        <v>0.6</v>
      </c>
      <c r="Q42" s="54"/>
      <c r="R42" s="48" t="n">
        <v>200000</v>
      </c>
      <c r="S42" s="41"/>
      <c r="T42" s="41" t="n">
        <v>77</v>
      </c>
      <c r="U42" s="41" t="n">
        <v>80</v>
      </c>
      <c r="V42" s="41"/>
      <c r="W42" s="41"/>
      <c r="X42" s="49" t="n">
        <f aca="false">+IF(ISNUMBER($S42),$S42,MIN($V42,$T42,$U42,$W42))</f>
        <v>77</v>
      </c>
      <c r="Y42" s="48" t="n">
        <v>0.01</v>
      </c>
      <c r="Z42" s="48" t="n">
        <v>21070000</v>
      </c>
      <c r="AA42" s="50" t="n">
        <v>52.675</v>
      </c>
      <c r="AB42" s="48" t="n">
        <f aca="false">Z42/AA42</f>
        <v>400000</v>
      </c>
      <c r="AC42" s="48" t="n">
        <v>10700000</v>
      </c>
      <c r="AD42" s="51" t="n">
        <f aca="false">Y42/AB42*1000000000000</f>
        <v>25000</v>
      </c>
      <c r="AE42" s="49" t="str">
        <f aca="false">IF(ISNUMBER($Q42), $AD42*1000/2^(($Q42-1.76)/6.02), "")</f>
        <v/>
      </c>
      <c r="AF42" s="49" t="n">
        <f aca="false">$AD42*1000/2^(($X42-1.76)/6.02)</f>
        <v>4320.80943590796</v>
      </c>
      <c r="AG42" s="31" t="str">
        <f aca="false">IF(ISNUMBER($Q42), $Q42+10*LOG10($AB42/2/$Y42), "")</f>
        <v/>
      </c>
      <c r="AH42" s="31" t="n">
        <f aca="false">$X42+10*LOG10($AB42/2/$Y42)</f>
        <v>150.01029995664</v>
      </c>
      <c r="AI42" s="52" t="n">
        <f aca="false">AF42/AB42</f>
        <v>0.0108020235897699</v>
      </c>
      <c r="AJ42" s="53" t="n">
        <f aca="false">AH42+10*LOG10(AB42)</f>
        <v>206.030899869919</v>
      </c>
    </row>
    <row r="43" customFormat="false" ht="12.75" hidden="false" customHeight="false" outlineLevel="0" collapsed="false">
      <c r="A43" s="50" t="n">
        <v>2000</v>
      </c>
      <c r="B43" s="41" t="n">
        <v>20.5</v>
      </c>
      <c r="C43" s="42" t="s">
        <v>139</v>
      </c>
      <c r="D43" s="42" t="s">
        <v>306</v>
      </c>
      <c r="E43" s="42" t="n">
        <v>0.25</v>
      </c>
      <c r="F43" s="44" t="s">
        <v>307</v>
      </c>
      <c r="G43" s="45" t="s">
        <v>308</v>
      </c>
      <c r="H43" s="45" t="s">
        <v>309</v>
      </c>
      <c r="I43" s="44" t="s">
        <v>310</v>
      </c>
      <c r="J43" s="46" t="str">
        <f aca="false">IF(I43&lt;&gt;"?", HYPERLINK(CONCATENATE("https://doi.org/",I43)), "")</f>
        <v>https://doi.org/10.1109/ISSCC.2000.839808</v>
      </c>
      <c r="K43" s="45" t="s">
        <v>117</v>
      </c>
      <c r="L43" s="41"/>
      <c r="M43" s="41"/>
      <c r="N43" s="41"/>
      <c r="O43" s="34" t="s">
        <v>117</v>
      </c>
      <c r="P43" s="45" t="n">
        <v>2.8</v>
      </c>
      <c r="Q43" s="54"/>
      <c r="R43" s="48" t="n">
        <v>2000000</v>
      </c>
      <c r="S43" s="41" t="n">
        <v>70</v>
      </c>
      <c r="T43" s="41"/>
      <c r="U43" s="41" t="n">
        <v>75</v>
      </c>
      <c r="V43" s="41"/>
      <c r="W43" s="41"/>
      <c r="X43" s="49" t="n">
        <f aca="false">+IF(ISNUMBER($S43),$S43,MIN($V43,$T43,$U43,$W43))</f>
        <v>70</v>
      </c>
      <c r="Y43" s="48" t="n">
        <v>0.11</v>
      </c>
      <c r="Z43" s="48" t="n">
        <v>64000000</v>
      </c>
      <c r="AA43" s="50" t="n">
        <v>16</v>
      </c>
      <c r="AB43" s="48" t="n">
        <f aca="false">Z43/AA43</f>
        <v>4000000</v>
      </c>
      <c r="AC43" s="48" t="n">
        <v>16000000</v>
      </c>
      <c r="AD43" s="51" t="n">
        <f aca="false">Y43/AB43*1000000000000</f>
        <v>27500</v>
      </c>
      <c r="AE43" s="49" t="str">
        <f aca="false">IF(ISNUMBER($Q43), $AD43*1000/2^(($Q43-1.76)/6.02), "")</f>
        <v/>
      </c>
      <c r="AF43" s="49" t="n">
        <f aca="false">$AD43*1000/2^(($X43-1.76)/6.02)</f>
        <v>10641.250738399</v>
      </c>
      <c r="AG43" s="31" t="str">
        <f aca="false">IF(ISNUMBER($Q43), $Q43+10*LOG10($AB43/2/$Y43), "")</f>
        <v/>
      </c>
      <c r="AH43" s="31" t="n">
        <f aca="false">$X43+10*LOG10($AB43/2/$Y43)</f>
        <v>142.596373105058</v>
      </c>
      <c r="AI43" s="52" t="n">
        <f aca="false">AF43/AB43</f>
        <v>0.00266031268459975</v>
      </c>
      <c r="AJ43" s="53" t="n">
        <f aca="false">AH43+10*LOG10(AB43)</f>
        <v>208.616973018337</v>
      </c>
    </row>
    <row r="44" customFormat="false" ht="12.75" hidden="false" customHeight="false" outlineLevel="0" collapsed="false">
      <c r="A44" s="40" t="n">
        <v>2001</v>
      </c>
      <c r="B44" s="41" t="n">
        <v>3.1</v>
      </c>
      <c r="C44" s="42" t="s">
        <v>139</v>
      </c>
      <c r="D44" s="42" t="s">
        <v>145</v>
      </c>
      <c r="E44" s="42" t="n">
        <v>0.25</v>
      </c>
      <c r="F44" s="44" t="s">
        <v>311</v>
      </c>
      <c r="G44" s="45" t="s">
        <v>312</v>
      </c>
      <c r="H44" s="45" t="s">
        <v>313</v>
      </c>
      <c r="I44" s="44" t="s">
        <v>314</v>
      </c>
      <c r="J44" s="46" t="str">
        <f aca="false">IF(I44&lt;&gt;"?", HYPERLINK(CONCATENATE("https://doi.org/",I44)), "")</f>
        <v>https://doi.org/10.1109/ISSCC.2001.912538</v>
      </c>
      <c r="K44" s="45" t="s">
        <v>315</v>
      </c>
      <c r="L44" s="41"/>
      <c r="M44" s="41"/>
      <c r="N44" s="41"/>
      <c r="O44" s="34" t="s">
        <v>117</v>
      </c>
      <c r="P44" s="45" t="n">
        <v>0.36</v>
      </c>
      <c r="Q44" s="54"/>
      <c r="R44" s="48" t="n">
        <v>5000000</v>
      </c>
      <c r="S44" s="41" t="n">
        <v>51</v>
      </c>
      <c r="T44" s="41" t="n">
        <v>52</v>
      </c>
      <c r="U44" s="41" t="n">
        <v>53</v>
      </c>
      <c r="V44" s="41" t="n">
        <v>58</v>
      </c>
      <c r="W44" s="41"/>
      <c r="X44" s="49" t="n">
        <f aca="false">+IF(ISNUMBER($S44),$S44,MIN($V44,$T44,$U44,$W44))</f>
        <v>51</v>
      </c>
      <c r="Y44" s="48" t="n">
        <v>0.0135</v>
      </c>
      <c r="Z44" s="48" t="n">
        <v>138240000</v>
      </c>
      <c r="AA44" s="50" t="n">
        <v>13.824</v>
      </c>
      <c r="AB44" s="48" t="n">
        <f aca="false">Z44/AA44</f>
        <v>10000000</v>
      </c>
      <c r="AC44" s="48"/>
      <c r="AD44" s="51" t="n">
        <f aca="false">Y44/AB44*1000000000000</f>
        <v>1350</v>
      </c>
      <c r="AE44" s="49" t="str">
        <f aca="false">IF(ISNUMBER($Q44), $AD44*1000/2^(($Q44-1.76)/6.02), "")</f>
        <v/>
      </c>
      <c r="AF44" s="49" t="n">
        <f aca="false">$AD44*1000/2^(($X44-1.76)/6.02)</f>
        <v>4656.80896014045</v>
      </c>
      <c r="AG44" s="31" t="str">
        <f aca="false">IF(ISNUMBER($Q44), $Q44+10*LOG10($AB44/2/$Y44), "")</f>
        <v/>
      </c>
      <c r="AH44" s="31" t="n">
        <f aca="false">$X44+10*LOG10($AB44/2/$Y44)</f>
        <v>136.68636235841</v>
      </c>
      <c r="AI44" s="52" t="n">
        <f aca="false">AF44/AB44</f>
        <v>0.000465680896014045</v>
      </c>
      <c r="AJ44" s="53" t="n">
        <f aca="false">AH44+10*LOG10(AB44)</f>
        <v>206.68636235841</v>
      </c>
    </row>
    <row r="45" customFormat="false" ht="12.75" hidden="false" customHeight="false" outlineLevel="0" collapsed="false">
      <c r="A45" s="50" t="n">
        <v>2001</v>
      </c>
      <c r="B45" s="41" t="n">
        <v>3.2</v>
      </c>
      <c r="C45" s="42" t="s">
        <v>139</v>
      </c>
      <c r="D45" s="42" t="s">
        <v>145</v>
      </c>
      <c r="E45" s="42" t="s">
        <v>209</v>
      </c>
      <c r="F45" s="44" t="s">
        <v>316</v>
      </c>
      <c r="G45" s="45" t="s">
        <v>317</v>
      </c>
      <c r="H45" s="45" t="s">
        <v>318</v>
      </c>
      <c r="I45" s="44" t="s">
        <v>319</v>
      </c>
      <c r="J45" s="46" t="str">
        <f aca="false">IF(I45&lt;&gt;"?", HYPERLINK(CONCATENATE("https://doi.org/",I45)), "")</f>
        <v>https://doi.org/10.1109/ISSCC.2001.912539</v>
      </c>
      <c r="K45" s="45" t="s">
        <v>117</v>
      </c>
      <c r="L45" s="41"/>
      <c r="M45" s="41"/>
      <c r="N45" s="41"/>
      <c r="O45" s="34" t="s">
        <v>117</v>
      </c>
      <c r="P45" s="45" t="n">
        <v>0.4</v>
      </c>
      <c r="Q45" s="54"/>
      <c r="R45" s="48" t="n">
        <v>189000</v>
      </c>
      <c r="S45" s="41" t="n">
        <v>84</v>
      </c>
      <c r="T45" s="41"/>
      <c r="U45" s="41" t="n">
        <v>84</v>
      </c>
      <c r="V45" s="41"/>
      <c r="W45" s="41"/>
      <c r="X45" s="49" t="n">
        <f aca="false">+IF(ISNUMBER($S45),$S45,MIN($V45,$T45,$U45,$W45))</f>
        <v>84</v>
      </c>
      <c r="Y45" s="48" t="n">
        <v>0.005</v>
      </c>
      <c r="Z45" s="48" t="n">
        <v>13000000</v>
      </c>
      <c r="AA45" s="50" t="n">
        <v>34.3915343915344</v>
      </c>
      <c r="AB45" s="48" t="n">
        <f aca="false">Z45/AA45</f>
        <v>378000</v>
      </c>
      <c r="AC45" s="48"/>
      <c r="AD45" s="51" t="n">
        <f aca="false">Y45/AB45*1000000000000</f>
        <v>13227.5132275132</v>
      </c>
      <c r="AE45" s="49" t="str">
        <f aca="false">IF(ISNUMBER($Q45), $AD45*1000/2^(($Q45-1.76)/6.02), "")</f>
        <v/>
      </c>
      <c r="AF45" s="49" t="n">
        <f aca="false">$AD45*1000/2^(($X45-1.76)/6.02)</f>
        <v>1021.10036126773</v>
      </c>
      <c r="AG45" s="31" t="str">
        <f aca="false">IF(ISNUMBER($Q45), $Q45+10*LOG10($AB45/2/$Y45), "")</f>
        <v/>
      </c>
      <c r="AH45" s="31" t="n">
        <f aca="false">$X45+10*LOG10($AB45/2/$Y45)</f>
        <v>159.774917998372</v>
      </c>
      <c r="AI45" s="52" t="n">
        <f aca="false">AF45/AB45</f>
        <v>0.00270132370705749</v>
      </c>
      <c r="AJ45" s="53" t="n">
        <f aca="false">AH45+10*LOG10(AB45)</f>
        <v>215.549835996744</v>
      </c>
    </row>
    <row r="46" customFormat="false" ht="12.75" hidden="false" customHeight="false" outlineLevel="0" collapsed="false">
      <c r="A46" s="50" t="n">
        <v>2001</v>
      </c>
      <c r="B46" s="41" t="n">
        <v>3.4</v>
      </c>
      <c r="C46" s="42" t="s">
        <v>139</v>
      </c>
      <c r="D46" s="42" t="s">
        <v>145</v>
      </c>
      <c r="E46" s="42" t="n">
        <v>0.5</v>
      </c>
      <c r="F46" s="44" t="s">
        <v>320</v>
      </c>
      <c r="G46" s="45" t="s">
        <v>321</v>
      </c>
      <c r="H46" s="45" t="s">
        <v>322</v>
      </c>
      <c r="I46" s="44" t="s">
        <v>323</v>
      </c>
      <c r="J46" s="46" t="str">
        <f aca="false">IF(I46&lt;&gt;"?", HYPERLINK(CONCATENATE("https://doi.org/",I46)), "")</f>
        <v>https://doi.org/10.1109/ISSCC.2001.912541</v>
      </c>
      <c r="K46" s="45" t="s">
        <v>117</v>
      </c>
      <c r="L46" s="41" t="n">
        <v>2.5</v>
      </c>
      <c r="M46" s="41"/>
      <c r="N46" s="41"/>
      <c r="O46" s="34" t="s">
        <v>117</v>
      </c>
      <c r="P46" s="56" t="n">
        <v>0</v>
      </c>
      <c r="Q46" s="54"/>
      <c r="R46" s="48" t="n">
        <v>2000000</v>
      </c>
      <c r="S46" s="41" t="n">
        <v>87</v>
      </c>
      <c r="T46" s="41" t="n">
        <v>90</v>
      </c>
      <c r="U46" s="41" t="n">
        <v>95</v>
      </c>
      <c r="V46" s="41"/>
      <c r="W46" s="41"/>
      <c r="X46" s="49" t="n">
        <f aca="false">+IF(ISNUMBER($S46),$S46,MIN($V46,$T46,$U46,$W46))</f>
        <v>87</v>
      </c>
      <c r="Y46" s="48" t="n">
        <v>0.15</v>
      </c>
      <c r="Z46" s="48" t="n">
        <v>64000000</v>
      </c>
      <c r="AA46" s="50" t="n">
        <v>16</v>
      </c>
      <c r="AB46" s="48" t="n">
        <f aca="false">Z46/AA46</f>
        <v>4000000</v>
      </c>
      <c r="AC46" s="48"/>
      <c r="AD46" s="51" t="n">
        <f aca="false">Y46/AB46*1000000000000</f>
        <v>37500</v>
      </c>
      <c r="AE46" s="49" t="str">
        <f aca="false">IF(ISNUMBER($Q46), $AD46*1000/2^(($Q46-1.76)/6.02), "")</f>
        <v/>
      </c>
      <c r="AF46" s="49" t="n">
        <f aca="false">$AD46*1000/2^(($X46-1.76)/6.02)</f>
        <v>2049.30474236119</v>
      </c>
      <c r="AG46" s="31" t="str">
        <f aca="false">IF(ISNUMBER($Q46), $Q46+10*LOG10($AB46/2/$Y46), "")</f>
        <v/>
      </c>
      <c r="AH46" s="31" t="n">
        <f aca="false">$X46+10*LOG10($AB46/2/$Y46)</f>
        <v>158.249387366083</v>
      </c>
      <c r="AI46" s="52" t="n">
        <f aca="false">AF46/AB46</f>
        <v>0.000512326185590298</v>
      </c>
      <c r="AJ46" s="53" t="n">
        <f aca="false">AH46+10*LOG10(AB46)</f>
        <v>224.269987279363</v>
      </c>
    </row>
    <row r="47" customFormat="false" ht="12.75" hidden="false" customHeight="false" outlineLevel="0" collapsed="false">
      <c r="A47" s="50" t="n">
        <v>2001</v>
      </c>
      <c r="B47" s="41" t="n">
        <v>8.1</v>
      </c>
      <c r="C47" s="42" t="s">
        <v>111</v>
      </c>
      <c r="D47" s="42" t="s">
        <v>208</v>
      </c>
      <c r="E47" s="42" t="n">
        <v>0.35</v>
      </c>
      <c r="F47" s="44" t="s">
        <v>324</v>
      </c>
      <c r="G47" s="45" t="s">
        <v>325</v>
      </c>
      <c r="H47" s="45" t="s">
        <v>326</v>
      </c>
      <c r="I47" s="44" t="s">
        <v>327</v>
      </c>
      <c r="J47" s="46" t="str">
        <f aca="false">IF(I47&lt;&gt;"?", HYPERLINK(CONCATENATE("https://doi.org/",I47)), "")</f>
        <v>https://doi.org/10.1109/ISSCC.2001.912571</v>
      </c>
      <c r="K47" s="45" t="s">
        <v>117</v>
      </c>
      <c r="L47" s="41"/>
      <c r="M47" s="41"/>
      <c r="N47" s="41"/>
      <c r="O47" s="34" t="s">
        <v>117</v>
      </c>
      <c r="P47" s="45" t="n">
        <v>0.8</v>
      </c>
      <c r="Q47" s="54"/>
      <c r="R47" s="48" t="n">
        <v>650000000</v>
      </c>
      <c r="S47" s="41" t="n">
        <v>35</v>
      </c>
      <c r="T47" s="41"/>
      <c r="U47" s="41"/>
      <c r="V47" s="41"/>
      <c r="W47" s="41" t="n">
        <v>44</v>
      </c>
      <c r="X47" s="49" t="n">
        <f aca="false">+IF(ISNUMBER($S47),$S47,MIN($V47,$T47,$U47,$W47))</f>
        <v>35</v>
      </c>
      <c r="Y47" s="48" t="n">
        <v>0.545</v>
      </c>
      <c r="Z47" s="48" t="n">
        <v>1300000000</v>
      </c>
      <c r="AA47" s="50" t="n">
        <v>1</v>
      </c>
      <c r="AB47" s="48" t="n">
        <f aca="false">Z47/AA47</f>
        <v>1300000000</v>
      </c>
      <c r="AC47" s="48"/>
      <c r="AD47" s="51" t="n">
        <f aca="false">Y47/AB47*1000000000000</f>
        <v>419.230769230769</v>
      </c>
      <c r="AE47" s="49" t="str">
        <f aca="false">IF(ISNUMBER($Q47), $AD47*1000/2^(($Q47-1.76)/6.02), "")</f>
        <v/>
      </c>
      <c r="AF47" s="49" t="n">
        <f aca="false">$AD47*1000/2^(($X47-1.76)/6.02)</f>
        <v>9126.14839009448</v>
      </c>
      <c r="AG47" s="31" t="str">
        <f aca="false">IF(ISNUMBER($Q47), $Q47+10*LOG10($AB47/2/$Y47), "")</f>
        <v/>
      </c>
      <c r="AH47" s="31" t="n">
        <f aca="false">$X47+10*LOG10($AB47/2/$Y47)</f>
        <v>125.765168543662</v>
      </c>
      <c r="AI47" s="52" t="n">
        <f aca="false">AF47/AB47</f>
        <v>7.02011414622652E-006</v>
      </c>
      <c r="AJ47" s="53" t="n">
        <f aca="false">AH47+10*LOG10(AB47)</f>
        <v>216.90460206673</v>
      </c>
    </row>
    <row r="48" customFormat="false" ht="12.75" hidden="false" customHeight="false" outlineLevel="0" collapsed="false">
      <c r="A48" s="50" t="n">
        <v>2001</v>
      </c>
      <c r="B48" s="41" t="n">
        <v>8.2</v>
      </c>
      <c r="C48" s="42" t="s">
        <v>111</v>
      </c>
      <c r="D48" s="42" t="s">
        <v>208</v>
      </c>
      <c r="E48" s="42" t="n">
        <v>0.35</v>
      </c>
      <c r="F48" s="44" t="s">
        <v>328</v>
      </c>
      <c r="G48" s="45" t="s">
        <v>329</v>
      </c>
      <c r="H48" s="45" t="s">
        <v>330</v>
      </c>
      <c r="I48" s="44" t="s">
        <v>331</v>
      </c>
      <c r="J48" s="46" t="str">
        <f aca="false">IF(I48&lt;&gt;"?", HYPERLINK(CONCATENATE("https://doi.org/",I48)), "")</f>
        <v>https://doi.org/10.1109/ISSCC.2001.912572</v>
      </c>
      <c r="K48" s="45" t="s">
        <v>117</v>
      </c>
      <c r="L48" s="41"/>
      <c r="M48" s="41"/>
      <c r="N48" s="41"/>
      <c r="O48" s="34" t="s">
        <v>117</v>
      </c>
      <c r="P48" s="45" t="n">
        <v>0.35</v>
      </c>
      <c r="Q48" s="54"/>
      <c r="R48" s="48" t="n">
        <v>550000000</v>
      </c>
      <c r="S48" s="41" t="n">
        <f aca="false">5.65*6.02+1.76</f>
        <v>35.773</v>
      </c>
      <c r="T48" s="41"/>
      <c r="U48" s="41"/>
      <c r="V48" s="41"/>
      <c r="W48" s="41"/>
      <c r="X48" s="49" t="n">
        <f aca="false">+IF(ISNUMBER($S48),$S48,MIN($V48,$T48,$U48,$W48))</f>
        <v>35.773</v>
      </c>
      <c r="Y48" s="48" t="n">
        <v>0.3</v>
      </c>
      <c r="Z48" s="48" t="n">
        <v>1100000000</v>
      </c>
      <c r="AA48" s="50" t="n">
        <v>1</v>
      </c>
      <c r="AB48" s="48" t="n">
        <f aca="false">Z48/AA48</f>
        <v>1100000000</v>
      </c>
      <c r="AC48" s="48"/>
      <c r="AD48" s="51" t="n">
        <f aca="false">Y48/AB48*1000000000000</f>
        <v>272.727272727273</v>
      </c>
      <c r="AE48" s="49" t="str">
        <f aca="false">IF(ISNUMBER($Q48), $AD48*1000/2^(($Q48-1.76)/6.02), "")</f>
        <v/>
      </c>
      <c r="AF48" s="49" t="n">
        <f aca="false">$AD48*1000/2^(($X48-1.76)/6.02)</f>
        <v>5431.36630959913</v>
      </c>
      <c r="AG48" s="31" t="str">
        <f aca="false">IF(ISNUMBER($Q48), $Q48+10*LOG10($AB48/2/$Y48), "")</f>
        <v/>
      </c>
      <c r="AH48" s="31" t="n">
        <f aca="false">$X48+10*LOG10($AB48/2/$Y48)</f>
        <v>128.405414347746</v>
      </c>
      <c r="AI48" s="52" t="n">
        <f aca="false">AF48/AB48</f>
        <v>4.93760573599921E-006</v>
      </c>
      <c r="AJ48" s="53" t="n">
        <f aca="false">AH48+10*LOG10(AB48)</f>
        <v>218.819341199328</v>
      </c>
    </row>
    <row r="49" customFormat="false" ht="12.75" hidden="false" customHeight="false" outlineLevel="0" collapsed="false">
      <c r="A49" s="50" t="n">
        <v>2001</v>
      </c>
      <c r="B49" s="41" t="n">
        <v>8.3</v>
      </c>
      <c r="C49" s="42" t="s">
        <v>111</v>
      </c>
      <c r="D49" s="42" t="s">
        <v>133</v>
      </c>
      <c r="E49" s="42" t="n">
        <v>0.18</v>
      </c>
      <c r="F49" s="44" t="s">
        <v>332</v>
      </c>
      <c r="G49" s="45" t="s">
        <v>333</v>
      </c>
      <c r="H49" s="45" t="s">
        <v>334</v>
      </c>
      <c r="I49" s="44" t="s">
        <v>335</v>
      </c>
      <c r="J49" s="46" t="str">
        <f aca="false">IF(I49&lt;&gt;"?", HYPERLINK(CONCATENATE("https://doi.org/",I49)), "")</f>
        <v>https://doi.org/10.1109/ISSCC.2001.912573</v>
      </c>
      <c r="K49" s="45" t="s">
        <v>117</v>
      </c>
      <c r="L49" s="41" t="n">
        <v>1.8</v>
      </c>
      <c r="M49" s="41"/>
      <c r="N49" s="41"/>
      <c r="O49" s="34" t="s">
        <v>117</v>
      </c>
      <c r="P49" s="45" t="n">
        <v>2.5</v>
      </c>
      <c r="Q49" s="54"/>
      <c r="R49" s="48" t="n">
        <v>50000000</v>
      </c>
      <c r="S49" s="41" t="n">
        <v>57.12</v>
      </c>
      <c r="T49" s="41" t="n">
        <v>58.39</v>
      </c>
      <c r="U49" s="41"/>
      <c r="V49" s="41"/>
      <c r="W49" s="41" t="n">
        <v>63.95</v>
      </c>
      <c r="X49" s="49" t="n">
        <f aca="false">+IF(ISNUMBER($S49),$S49,MIN($V49,$T49,$U49,$W49))</f>
        <v>57.12</v>
      </c>
      <c r="Y49" s="48" t="n">
        <v>0.18</v>
      </c>
      <c r="Z49" s="48" t="n">
        <v>100000000</v>
      </c>
      <c r="AA49" s="50" t="n">
        <v>1</v>
      </c>
      <c r="AB49" s="48" t="n">
        <f aca="false">Z49/AA49</f>
        <v>100000000</v>
      </c>
      <c r="AC49" s="48"/>
      <c r="AD49" s="51" t="n">
        <f aca="false">Y49/AB49*1000000000000</f>
        <v>1800</v>
      </c>
      <c r="AE49" s="49" t="str">
        <f aca="false">IF(ISNUMBER($Q49), $AD49*1000/2^(($Q49-1.76)/6.02), "")</f>
        <v/>
      </c>
      <c r="AF49" s="49" t="n">
        <f aca="false">$AD49*1000/2^(($X49-1.76)/6.02)</f>
        <v>3068.99841811255</v>
      </c>
      <c r="AG49" s="31" t="str">
        <f aca="false">IF(ISNUMBER($Q49), $Q49+10*LOG10($AB49/2/$Y49), "")</f>
        <v/>
      </c>
      <c r="AH49" s="31" t="n">
        <f aca="false">$X49+10*LOG10($AB49/2/$Y49)</f>
        <v>141.556974992327</v>
      </c>
      <c r="AI49" s="52" t="n">
        <f aca="false">AF49/AB49</f>
        <v>3.06899841811255E-005</v>
      </c>
      <c r="AJ49" s="53" t="n">
        <f aca="false">AH49+10*LOG10(AB49)</f>
        <v>221.556974992327</v>
      </c>
    </row>
    <row r="50" customFormat="false" ht="12.75" hidden="false" customHeight="false" outlineLevel="0" collapsed="false">
      <c r="A50" s="50" t="n">
        <v>2001</v>
      </c>
      <c r="B50" s="41" t="n">
        <v>8.4</v>
      </c>
      <c r="C50" s="42" t="s">
        <v>111</v>
      </c>
      <c r="D50" s="42" t="s">
        <v>246</v>
      </c>
      <c r="E50" s="42" t="n">
        <v>0.25</v>
      </c>
      <c r="F50" s="44" t="s">
        <v>336</v>
      </c>
      <c r="G50" s="45" t="s">
        <v>337</v>
      </c>
      <c r="H50" s="45" t="s">
        <v>338</v>
      </c>
      <c r="I50" s="44" t="s">
        <v>339</v>
      </c>
      <c r="J50" s="46" t="str">
        <f aca="false">IF(I50&lt;&gt;"?", HYPERLINK(CONCATENATE("https://doi.org/",I50)), "")</f>
        <v>https://doi.org/10.1109/ISSCC.2001.912574</v>
      </c>
      <c r="K50" s="45" t="s">
        <v>340</v>
      </c>
      <c r="L50" s="41" t="n">
        <v>2.5</v>
      </c>
      <c r="M50" s="41"/>
      <c r="N50" s="41"/>
      <c r="O50" s="34" t="s">
        <v>117</v>
      </c>
      <c r="P50" s="45" t="n">
        <v>1</v>
      </c>
      <c r="Q50" s="54"/>
      <c r="R50" s="48" t="n">
        <v>27000000</v>
      </c>
      <c r="S50" s="41" t="n">
        <v>67</v>
      </c>
      <c r="T50" s="41"/>
      <c r="U50" s="41"/>
      <c r="V50" s="41" t="n">
        <v>70</v>
      </c>
      <c r="W50" s="41"/>
      <c r="X50" s="49" t="n">
        <f aca="false">+IF(ISNUMBER($S50),$S50,MIN($V50,$T50,$U50,$W50))</f>
        <v>67</v>
      </c>
      <c r="Y50" s="48" t="n">
        <v>0.295</v>
      </c>
      <c r="Z50" s="48" t="n">
        <v>54000000</v>
      </c>
      <c r="AA50" s="50" t="n">
        <v>1</v>
      </c>
      <c r="AB50" s="48" t="n">
        <f aca="false">Z50/AA50</f>
        <v>54000000</v>
      </c>
      <c r="AC50" s="48"/>
      <c r="AD50" s="51" t="n">
        <f aca="false">Y50/AB50*1000000000000</f>
        <v>5462.96296296296</v>
      </c>
      <c r="AE50" s="49" t="str">
        <f aca="false">IF(ISNUMBER($Q50), $AD50*1000/2^(($Q50-1.76)/6.02), "")</f>
        <v/>
      </c>
      <c r="AF50" s="49" t="n">
        <f aca="false">$AD50*1000/2^(($X50-1.76)/6.02)</f>
        <v>2986.09201977261</v>
      </c>
      <c r="AG50" s="31" t="str">
        <f aca="false">IF(ISNUMBER($Q50), $Q50+10*LOG10($AB50/2/$Y50), "")</f>
        <v/>
      </c>
      <c r="AH50" s="31" t="n">
        <f aca="false">$X50+10*LOG10($AB50/2/$Y50)</f>
        <v>146.615417481808</v>
      </c>
      <c r="AI50" s="52" t="n">
        <f aca="false">AF50/AB50</f>
        <v>5.52980003661594E-005</v>
      </c>
      <c r="AJ50" s="53" t="n">
        <f aca="false">AH50+10*LOG10(AB50)</f>
        <v>223.939355080038</v>
      </c>
    </row>
    <row r="51" customFormat="false" ht="12.75" hidden="false" customHeight="false" outlineLevel="0" collapsed="false">
      <c r="A51" s="50" t="n">
        <v>2001</v>
      </c>
      <c r="B51" s="41" t="n">
        <v>8.5</v>
      </c>
      <c r="C51" s="42" t="s">
        <v>111</v>
      </c>
      <c r="D51" s="42" t="s">
        <v>133</v>
      </c>
      <c r="E51" s="42" t="n">
        <v>0.35</v>
      </c>
      <c r="F51" s="44" t="s">
        <v>341</v>
      </c>
      <c r="G51" s="45" t="s">
        <v>342</v>
      </c>
      <c r="H51" s="45" t="s">
        <v>343</v>
      </c>
      <c r="I51" s="44" t="s">
        <v>344</v>
      </c>
      <c r="J51" s="46" t="str">
        <f aca="false">IF(I51&lt;&gt;"?", HYPERLINK(CONCATENATE("https://doi.org/",I51)), "")</f>
        <v>https://doi.org/10.1109/ISSCC.2001.912575</v>
      </c>
      <c r="K51" s="45" t="s">
        <v>117</v>
      </c>
      <c r="L51" s="41" t="n">
        <v>3</v>
      </c>
      <c r="M51" s="41"/>
      <c r="N51" s="41"/>
      <c r="O51" s="34" t="s">
        <v>117</v>
      </c>
      <c r="P51" s="45" t="n">
        <v>7.8</v>
      </c>
      <c r="Q51" s="54"/>
      <c r="R51" s="48" t="n">
        <v>37500000</v>
      </c>
      <c r="S51" s="41" t="n">
        <v>72.8</v>
      </c>
      <c r="T51" s="41"/>
      <c r="U51" s="41"/>
      <c r="V51" s="41"/>
      <c r="W51" s="41" t="n">
        <v>86</v>
      </c>
      <c r="X51" s="49" t="n">
        <f aca="false">+IF(ISNUMBER($S51),$S51,MIN($V51,$T51,$U51,$W51))</f>
        <v>72.8</v>
      </c>
      <c r="Y51" s="48" t="n">
        <v>0.318</v>
      </c>
      <c r="Z51" s="48" t="n">
        <v>75000000</v>
      </c>
      <c r="AA51" s="50" t="n">
        <v>1</v>
      </c>
      <c r="AB51" s="48" t="n">
        <f aca="false">Z51/AA51</f>
        <v>75000000</v>
      </c>
      <c r="AC51" s="48"/>
      <c r="AD51" s="51" t="n">
        <f aca="false">Y51/AB51*1000000000000</f>
        <v>4240</v>
      </c>
      <c r="AE51" s="49" t="str">
        <f aca="false">IF(ISNUMBER($Q51), $AD51*1000/2^(($Q51-1.76)/6.02), "")</f>
        <v/>
      </c>
      <c r="AF51" s="49" t="n">
        <f aca="false">$AD51*1000/2^(($X51-1.76)/6.02)</f>
        <v>1188.53476043692</v>
      </c>
      <c r="AG51" s="31" t="str">
        <f aca="false">IF(ISNUMBER($Q51), $Q51+10*LOG10($AB51/2/$Y51), "")</f>
        <v/>
      </c>
      <c r="AH51" s="31" t="n">
        <f aca="false">$X51+10*LOG10($AB51/2/$Y51)</f>
        <v>153.516041477433</v>
      </c>
      <c r="AI51" s="52" t="n">
        <f aca="false">AF51/AB51</f>
        <v>1.5847130139159E-005</v>
      </c>
      <c r="AJ51" s="53" t="n">
        <f aca="false">AH51+10*LOG10(AB51)</f>
        <v>232.26665411135</v>
      </c>
    </row>
    <row r="52" customFormat="false" ht="12.75" hidden="false" customHeight="false" outlineLevel="0" collapsed="false">
      <c r="A52" s="50" t="n">
        <v>2001</v>
      </c>
      <c r="B52" s="41" t="n">
        <v>8.6</v>
      </c>
      <c r="C52" s="42" t="s">
        <v>111</v>
      </c>
      <c r="D52" s="42" t="s">
        <v>133</v>
      </c>
      <c r="E52" s="42" t="s">
        <v>252</v>
      </c>
      <c r="F52" s="44" t="s">
        <v>345</v>
      </c>
      <c r="G52" s="45" t="s">
        <v>346</v>
      </c>
      <c r="H52" s="45" t="s">
        <v>347</v>
      </c>
      <c r="I52" s="44" t="s">
        <v>348</v>
      </c>
      <c r="J52" s="46" t="str">
        <f aca="false">IF(I52&lt;&gt;"?", HYPERLINK(CONCATENATE("https://doi.org/",I52)), "")</f>
        <v>https://doi.org/10.1109/ISSCC.2001.912576</v>
      </c>
      <c r="K52" s="45" t="s">
        <v>117</v>
      </c>
      <c r="L52" s="41" t="n">
        <v>3.3</v>
      </c>
      <c r="M52" s="41"/>
      <c r="N52" s="41"/>
      <c r="O52" s="34" t="s">
        <v>117</v>
      </c>
      <c r="P52" s="45" t="n">
        <v>31.35</v>
      </c>
      <c r="Q52" s="54"/>
      <c r="R52" s="48" t="n">
        <v>20000000</v>
      </c>
      <c r="S52" s="41"/>
      <c r="T52" s="41" t="n">
        <v>74</v>
      </c>
      <c r="U52" s="41"/>
      <c r="V52" s="41"/>
      <c r="W52" s="41" t="n">
        <v>84</v>
      </c>
      <c r="X52" s="49" t="n">
        <f aca="false">+IF(ISNUMBER($S52),$S52,MIN($V52,$T52,$U52,$W52))</f>
        <v>74</v>
      </c>
      <c r="Y52" s="48" t="n">
        <v>0.86</v>
      </c>
      <c r="Z52" s="48" t="n">
        <v>40000000</v>
      </c>
      <c r="AA52" s="50" t="n">
        <v>1</v>
      </c>
      <c r="AB52" s="48" t="n">
        <f aca="false">Z52/AA52</f>
        <v>40000000</v>
      </c>
      <c r="AC52" s="48"/>
      <c r="AD52" s="51" t="n">
        <f aca="false">Y52/AB52*1000000000000</f>
        <v>21500</v>
      </c>
      <c r="AE52" s="49" t="str">
        <f aca="false">IF(ISNUMBER($Q52), $AD52*1000/2^(($Q52-1.76)/6.02), "")</f>
        <v/>
      </c>
      <c r="AF52" s="49" t="n">
        <f aca="false">$AD52*1000/2^(($X52-1.76)/6.02)</f>
        <v>5249.0234375</v>
      </c>
      <c r="AG52" s="31" t="str">
        <f aca="false">IF(ISNUMBER($Q52), $Q52+10*LOG10($AB52/2/$Y52), "")</f>
        <v/>
      </c>
      <c r="AH52" s="31" t="n">
        <f aca="false">$X52+10*LOG10($AB52/2/$Y52)</f>
        <v>147.665315444204</v>
      </c>
      <c r="AI52" s="52" t="n">
        <f aca="false">AF52/AB52</f>
        <v>0.0001312255859375</v>
      </c>
      <c r="AJ52" s="53" t="n">
        <f aca="false">AH52+10*LOG10(AB52)</f>
        <v>223.685915357484</v>
      </c>
    </row>
    <row r="53" customFormat="false" ht="12.75" hidden="false" customHeight="false" outlineLevel="0" collapsed="false">
      <c r="A53" s="40" t="n">
        <v>2002</v>
      </c>
      <c r="B53" s="41" t="n">
        <v>10.1</v>
      </c>
      <c r="C53" s="42" t="s">
        <v>111</v>
      </c>
      <c r="D53" s="42" t="s">
        <v>191</v>
      </c>
      <c r="E53" s="42" t="n">
        <v>0.35</v>
      </c>
      <c r="F53" s="44" t="s">
        <v>349</v>
      </c>
      <c r="G53" s="45" t="s">
        <v>350</v>
      </c>
      <c r="H53" s="45" t="s">
        <v>351</v>
      </c>
      <c r="I53" s="44" t="s">
        <v>352</v>
      </c>
      <c r="J53" s="46" t="str">
        <f aca="false">IF(I53&lt;&gt;"?", HYPERLINK(CONCATENATE("https://doi.org/",I53)), "")</f>
        <v>https://doi.org/10.1109/ISSCC.2002.992988</v>
      </c>
      <c r="K53" s="45" t="s">
        <v>117</v>
      </c>
      <c r="L53" s="41"/>
      <c r="M53" s="41"/>
      <c r="N53" s="41"/>
      <c r="O53" s="34" t="s">
        <v>117</v>
      </c>
      <c r="P53" s="45" t="n">
        <v>28.8456</v>
      </c>
      <c r="Q53" s="54" t="n">
        <f aca="false">7*6.02+1.76</f>
        <v>43.9</v>
      </c>
      <c r="R53" s="48" t="n">
        <v>1000000000</v>
      </c>
      <c r="S53" s="41" t="n">
        <f aca="false">6.02*6.2+1.76</f>
        <v>39.084</v>
      </c>
      <c r="T53" s="41"/>
      <c r="U53" s="41"/>
      <c r="V53" s="41"/>
      <c r="W53" s="41"/>
      <c r="X53" s="49" t="n">
        <f aca="false">+IF(ISNUMBER($S53),$S53,MIN($V53,$T53,$U53,$W53))</f>
        <v>39.084</v>
      </c>
      <c r="Y53" s="48" t="n">
        <v>4.6</v>
      </c>
      <c r="Z53" s="48" t="n">
        <v>4000000000</v>
      </c>
      <c r="AA53" s="50" t="n">
        <v>1</v>
      </c>
      <c r="AB53" s="48" t="n">
        <f aca="false">Z53/AA53</f>
        <v>4000000000</v>
      </c>
      <c r="AC53" s="48"/>
      <c r="AD53" s="51" t="n">
        <f aca="false">Y53/AB53*1000000000000</f>
        <v>1150</v>
      </c>
      <c r="AE53" s="49" t="n">
        <f aca="false">IF(ISNUMBER($Q53), $AD53*1000/2^(($Q53-1.76)/6.02), "")</f>
        <v>8984.375</v>
      </c>
      <c r="AF53" s="49" t="n">
        <f aca="false">$AD53*1000/2^(($X53-1.76)/6.02)</f>
        <v>15642.7054342272</v>
      </c>
      <c r="AG53" s="31" t="n">
        <f aca="false">IF(ISNUMBER($Q53), $Q53+10*LOG10($AB53/2/$Y53), "")</f>
        <v>130.282721639824</v>
      </c>
      <c r="AH53" s="31" t="n">
        <f aca="false">$X53+10*LOG10($AB53/2/$Y53)</f>
        <v>125.466721639824</v>
      </c>
      <c r="AI53" s="52" t="n">
        <f aca="false">AF53/AB53</f>
        <v>3.91067635855681E-006</v>
      </c>
      <c r="AJ53" s="53" t="n">
        <f aca="false">AH53+10*LOG10(AB53)</f>
        <v>221.487321553104</v>
      </c>
    </row>
    <row r="54" customFormat="false" ht="12.75" hidden="false" customHeight="false" outlineLevel="0" collapsed="false">
      <c r="A54" s="50" t="n">
        <v>2002</v>
      </c>
      <c r="B54" s="41" t="n">
        <v>10.2</v>
      </c>
      <c r="C54" s="42" t="s">
        <v>111</v>
      </c>
      <c r="D54" s="42" t="s">
        <v>208</v>
      </c>
      <c r="E54" s="42" t="n">
        <v>0.18</v>
      </c>
      <c r="F54" s="44" t="s">
        <v>353</v>
      </c>
      <c r="G54" s="45" t="s">
        <v>354</v>
      </c>
      <c r="H54" s="45" t="s">
        <v>355</v>
      </c>
      <c r="I54" s="44" t="s">
        <v>356</v>
      </c>
      <c r="J54" s="46" t="str">
        <f aca="false">IF(I54&lt;&gt;"?", HYPERLINK(CONCATENATE("https://doi.org/",I54)), "")</f>
        <v>https://doi.org/10.1109/ISSCC.2002.992989</v>
      </c>
      <c r="K54" s="45" t="s">
        <v>117</v>
      </c>
      <c r="L54" s="41"/>
      <c r="M54" s="41"/>
      <c r="N54" s="41"/>
      <c r="O54" s="34" t="s">
        <v>117</v>
      </c>
      <c r="P54" s="45" t="n">
        <v>0.12</v>
      </c>
      <c r="Q54" s="54"/>
      <c r="R54" s="48" t="n">
        <v>660000000</v>
      </c>
      <c r="S54" s="41" t="n">
        <f aca="false">5*6.02+1.76</f>
        <v>31.86</v>
      </c>
      <c r="T54" s="41"/>
      <c r="U54" s="41"/>
      <c r="V54" s="41"/>
      <c r="W54" s="41"/>
      <c r="X54" s="49" t="n">
        <f aca="false">+IF(ISNUMBER($S54),$S54,MIN($V54,$T54,$U54,$W54))</f>
        <v>31.86</v>
      </c>
      <c r="Y54" s="48" t="n">
        <v>0.34</v>
      </c>
      <c r="Z54" s="48" t="n">
        <v>1600000000</v>
      </c>
      <c r="AA54" s="50" t="n">
        <v>1.21212121212121</v>
      </c>
      <c r="AB54" s="48" t="n">
        <f aca="false">Z54/AA54</f>
        <v>1320000000</v>
      </c>
      <c r="AC54" s="48"/>
      <c r="AD54" s="51" t="n">
        <f aca="false">Y54/AB54*1000000000000</f>
        <v>257.575757575758</v>
      </c>
      <c r="AE54" s="49" t="str">
        <f aca="false">IF(ISNUMBER($Q54), $AD54*1000/2^(($Q54-1.76)/6.02), "")</f>
        <v/>
      </c>
      <c r="AF54" s="49" t="n">
        <f aca="false">$AD54*1000/2^(($X54-1.76)/6.02)</f>
        <v>8049.24242424242</v>
      </c>
      <c r="AG54" s="31" t="str">
        <f aca="false">IF(ISNUMBER($Q54), $Q54+10*LOG10($AB54/2/$Y54), "")</f>
        <v/>
      </c>
      <c r="AH54" s="31" t="n">
        <f aca="false">$X54+10*LOG10($AB54/2/$Y54)</f>
        <v>124.740650184996</v>
      </c>
      <c r="AI54" s="52" t="n">
        <f aca="false">AF54/AB54</f>
        <v>6.09791092745638E-006</v>
      </c>
      <c r="AJ54" s="53" t="n">
        <f aca="false">AH54+10*LOG10(AB54)</f>
        <v>215.946389497055</v>
      </c>
    </row>
    <row r="55" customFormat="false" ht="12.75" hidden="false" customHeight="false" outlineLevel="0" collapsed="false">
      <c r="A55" s="50" t="n">
        <v>2002</v>
      </c>
      <c r="B55" s="41" t="n">
        <v>10.3</v>
      </c>
      <c r="C55" s="42" t="s">
        <v>111</v>
      </c>
      <c r="D55" s="42" t="s">
        <v>118</v>
      </c>
      <c r="E55" s="42" t="n">
        <v>0.18</v>
      </c>
      <c r="F55" s="44" t="s">
        <v>357</v>
      </c>
      <c r="G55" s="45" t="s">
        <v>358</v>
      </c>
      <c r="H55" s="45" t="s">
        <v>359</v>
      </c>
      <c r="I55" s="44" t="s">
        <v>360</v>
      </c>
      <c r="J55" s="46" t="str">
        <f aca="false">IF(I55&lt;&gt;"?", HYPERLINK(CONCATENATE("https://doi.org/",I55)), "")</f>
        <v>https://doi.org/10.1109/ISSCC.2002.992990</v>
      </c>
      <c r="K55" s="45" t="s">
        <v>117</v>
      </c>
      <c r="L55" s="41"/>
      <c r="M55" s="41"/>
      <c r="N55" s="41"/>
      <c r="O55" s="34" t="s">
        <v>117</v>
      </c>
      <c r="P55" s="45" t="n">
        <v>0.3</v>
      </c>
      <c r="Q55" s="54"/>
      <c r="R55" s="48" t="n">
        <v>225000000</v>
      </c>
      <c r="S55" s="41" t="n">
        <v>36</v>
      </c>
      <c r="T55" s="41"/>
      <c r="U55" s="41"/>
      <c r="V55" s="41"/>
      <c r="W55" s="41"/>
      <c r="X55" s="49" t="n">
        <f aca="false">+IF(ISNUMBER($S55),$S55,MIN($V55,$T55,$U55,$W55))</f>
        <v>36</v>
      </c>
      <c r="Y55" s="48" t="n">
        <v>0.05</v>
      </c>
      <c r="Z55" s="48" t="n">
        <v>450000000</v>
      </c>
      <c r="AA55" s="50" t="n">
        <v>1</v>
      </c>
      <c r="AB55" s="48" t="n">
        <f aca="false">Z55/AA55</f>
        <v>450000000</v>
      </c>
      <c r="AC55" s="48"/>
      <c r="AD55" s="51" t="n">
        <f aca="false">Y55/AB55*1000000000000</f>
        <v>111.111111111111</v>
      </c>
      <c r="AE55" s="49" t="str">
        <f aca="false">IF(ISNUMBER($Q55), $AD55*1000/2^(($Q55-1.76)/6.02), "")</f>
        <v/>
      </c>
      <c r="AF55" s="49" t="n">
        <f aca="false">$AD55*1000/2^(($X55-1.76)/6.02)</f>
        <v>2155.69286357643</v>
      </c>
      <c r="AG55" s="31" t="str">
        <f aca="false">IF(ISNUMBER($Q55), $Q55+10*LOG10($AB55/2/$Y55), "")</f>
        <v/>
      </c>
      <c r="AH55" s="31" t="n">
        <f aca="false">$X55+10*LOG10($AB55/2/$Y55)</f>
        <v>132.532125137753</v>
      </c>
      <c r="AI55" s="52" t="n">
        <f aca="false">AF55/AB55</f>
        <v>4.7904285857254E-006</v>
      </c>
      <c r="AJ55" s="53" t="n">
        <f aca="false">AH55+10*LOG10(AB55)</f>
        <v>219.064250275507</v>
      </c>
    </row>
    <row r="56" customFormat="false" ht="12.75" hidden="false" customHeight="false" outlineLevel="0" collapsed="false">
      <c r="A56" s="50" t="n">
        <v>2002</v>
      </c>
      <c r="B56" s="41" t="n">
        <v>10.4</v>
      </c>
      <c r="C56" s="42" t="s">
        <v>111</v>
      </c>
      <c r="D56" s="42" t="s">
        <v>191</v>
      </c>
      <c r="E56" s="42" t="n">
        <v>0.35</v>
      </c>
      <c r="F56" s="44" t="s">
        <v>361</v>
      </c>
      <c r="G56" s="45" t="s">
        <v>362</v>
      </c>
      <c r="H56" s="45" t="s">
        <v>363</v>
      </c>
      <c r="I56" s="44" t="s">
        <v>364</v>
      </c>
      <c r="J56" s="46" t="str">
        <f aca="false">IF(I56&lt;&gt;"?", HYPERLINK(CONCATENATE("https://doi.org/",I56)), "")</f>
        <v>https://doi.org/10.1109/ISSCC.2002.992991</v>
      </c>
      <c r="K56" s="45" t="s">
        <v>365</v>
      </c>
      <c r="L56" s="41"/>
      <c r="M56" s="41"/>
      <c r="N56" s="41"/>
      <c r="O56" s="34" t="s">
        <v>117</v>
      </c>
      <c r="P56" s="45" t="n">
        <v>12.5</v>
      </c>
      <c r="Q56" s="54"/>
      <c r="R56" s="48" t="n">
        <v>1000000</v>
      </c>
      <c r="S56" s="41" t="n">
        <v>56.8</v>
      </c>
      <c r="T56" s="41"/>
      <c r="U56" s="41"/>
      <c r="V56" s="41" t="n">
        <v>62.4</v>
      </c>
      <c r="W56" s="41" t="n">
        <v>70.2</v>
      </c>
      <c r="X56" s="49" t="n">
        <f aca="false">+IF(ISNUMBER($S56),$S56,MIN($V56,$T56,$U56,$W56))</f>
        <v>56.8</v>
      </c>
      <c r="Y56" s="48" t="n">
        <v>0.234</v>
      </c>
      <c r="Z56" s="48" t="n">
        <v>120000000</v>
      </c>
      <c r="AA56" s="50" t="n">
        <v>1</v>
      </c>
      <c r="AB56" s="48" t="n">
        <f aca="false">Z56/AA56</f>
        <v>120000000</v>
      </c>
      <c r="AC56" s="48"/>
      <c r="AD56" s="51" t="n">
        <f aca="false">Y56/AB56*1000000000000</f>
        <v>1950</v>
      </c>
      <c r="AE56" s="49" t="str">
        <f aca="false">IF(ISNUMBER($Q56), $AD56*1000/2^(($Q56-1.76)/6.02), "")</f>
        <v/>
      </c>
      <c r="AF56" s="49" t="n">
        <f aca="false">$AD56*1000/2^(($X56-1.76)/6.02)</f>
        <v>3449.53348694261</v>
      </c>
      <c r="AG56" s="31" t="str">
        <f aca="false">IF(ISNUMBER($Q56), $Q56+10*LOG10($AB56/2/$Y56), "")</f>
        <v/>
      </c>
      <c r="AH56" s="31" t="n">
        <f aca="false">$X56+10*LOG10($AB56/2/$Y56)</f>
        <v>140.889353929735</v>
      </c>
      <c r="AI56" s="52" t="n">
        <f aca="false">AF56/AB56</f>
        <v>2.87461123911884E-005</v>
      </c>
      <c r="AJ56" s="53" t="n">
        <f aca="false">AH56+10*LOG10(AB56)</f>
        <v>221.681166390211</v>
      </c>
    </row>
    <row r="57" customFormat="false" ht="12.75" hidden="false" customHeight="false" outlineLevel="0" collapsed="false">
      <c r="A57" s="50" t="n">
        <v>2002</v>
      </c>
      <c r="B57" s="41" t="n">
        <v>10.5</v>
      </c>
      <c r="C57" s="42" t="s">
        <v>111</v>
      </c>
      <c r="D57" s="42" t="s">
        <v>133</v>
      </c>
      <c r="E57" s="42" t="n">
        <v>0.3</v>
      </c>
      <c r="F57" s="44" t="s">
        <v>366</v>
      </c>
      <c r="G57" s="45" t="s">
        <v>367</v>
      </c>
      <c r="H57" s="45" t="s">
        <v>368</v>
      </c>
      <c r="I57" s="44" t="s">
        <v>369</v>
      </c>
      <c r="J57" s="46" t="str">
        <f aca="false">IF(I57&lt;&gt;"?", HYPERLINK(CONCATENATE("https://doi.org/",I57)), "")</f>
        <v>https://doi.org/10.1109/ISSCC.2002.992180</v>
      </c>
      <c r="K57" s="45" t="s">
        <v>117</v>
      </c>
      <c r="L57" s="41"/>
      <c r="M57" s="41"/>
      <c r="N57" s="41"/>
      <c r="O57" s="34" t="s">
        <v>117</v>
      </c>
      <c r="P57" s="45" t="n">
        <v>3.12</v>
      </c>
      <c r="Q57" s="54"/>
      <c r="R57" s="48" t="n">
        <v>15000000</v>
      </c>
      <c r="S57" s="41" t="n">
        <v>54</v>
      </c>
      <c r="T57" s="41"/>
      <c r="U57" s="41"/>
      <c r="V57" s="41"/>
      <c r="W57" s="41" t="n">
        <v>67</v>
      </c>
      <c r="X57" s="49" t="n">
        <f aca="false">+IF(ISNUMBER($S57),$S57,MIN($V57,$T57,$U57,$W57))</f>
        <v>54</v>
      </c>
      <c r="Y57" s="48" t="n">
        <v>0.016</v>
      </c>
      <c r="Z57" s="48" t="n">
        <v>30000000</v>
      </c>
      <c r="AA57" s="50" t="n">
        <v>1</v>
      </c>
      <c r="AB57" s="48" t="n">
        <f aca="false">Z57/AA57</f>
        <v>30000000</v>
      </c>
      <c r="AC57" s="48"/>
      <c r="AD57" s="51" t="n">
        <f aca="false">Y57/AB57*1000000000000</f>
        <v>533.333333333333</v>
      </c>
      <c r="AE57" s="49" t="str">
        <f aca="false">IF(ISNUMBER($Q57), $AD57*1000/2^(($Q57-1.76)/6.02), "")</f>
        <v/>
      </c>
      <c r="AF57" s="49" t="n">
        <f aca="false">$AD57*1000/2^(($X57-1.76)/6.02)</f>
        <v>1302.38214412669</v>
      </c>
      <c r="AG57" s="31" t="str">
        <f aca="false">IF(ISNUMBER($Q57), $Q57+10*LOG10($AB57/2/$Y57), "")</f>
        <v/>
      </c>
      <c r="AH57" s="31" t="n">
        <f aca="false">$X57+10*LOG10($AB57/2/$Y57)</f>
        <v>143.719712763998</v>
      </c>
      <c r="AI57" s="52" t="n">
        <f aca="false">AF57/AB57</f>
        <v>4.34127381375563E-005</v>
      </c>
      <c r="AJ57" s="53" t="n">
        <f aca="false">AH57+10*LOG10(AB57)</f>
        <v>218.490925311194</v>
      </c>
    </row>
    <row r="58" customFormat="false" ht="12.75" hidden="false" customHeight="false" outlineLevel="0" collapsed="false">
      <c r="A58" s="50" t="n">
        <v>2002</v>
      </c>
      <c r="B58" s="41" t="n">
        <v>10.6</v>
      </c>
      <c r="C58" s="42" t="s">
        <v>111</v>
      </c>
      <c r="D58" s="42" t="s">
        <v>112</v>
      </c>
      <c r="E58" s="42" t="n">
        <v>0.13</v>
      </c>
      <c r="F58" s="44" t="s">
        <v>370</v>
      </c>
      <c r="G58" s="45" t="s">
        <v>371</v>
      </c>
      <c r="H58" s="45" t="s">
        <v>372</v>
      </c>
      <c r="I58" s="44" t="s">
        <v>373</v>
      </c>
      <c r="J58" s="46" t="str">
        <f aca="false">IF(I58&lt;&gt;"?", HYPERLINK(CONCATENATE("https://doi.org/",I58)), "")</f>
        <v>https://doi.org/10.1109/ISSCC.2002.992993</v>
      </c>
      <c r="K58" s="45" t="s">
        <v>117</v>
      </c>
      <c r="L58" s="41"/>
      <c r="M58" s="41"/>
      <c r="N58" s="41"/>
      <c r="O58" s="34" t="s">
        <v>117</v>
      </c>
      <c r="P58" s="45" t="n">
        <v>0.08</v>
      </c>
      <c r="Q58" s="54"/>
      <c r="R58" s="48" t="n">
        <v>10000000</v>
      </c>
      <c r="S58" s="41" t="n">
        <v>55</v>
      </c>
      <c r="T58" s="41" t="n">
        <v>55</v>
      </c>
      <c r="U58" s="41"/>
      <c r="V58" s="41"/>
      <c r="W58" s="41"/>
      <c r="X58" s="49" t="n">
        <f aca="false">+IF(ISNUMBER($S58),$S58,MIN($V58,$T58,$U58,$W58))</f>
        <v>55</v>
      </c>
      <c r="Y58" s="48" t="n">
        <v>0.012</v>
      </c>
      <c r="Z58" s="48" t="n">
        <v>20000000</v>
      </c>
      <c r="AA58" s="50" t="n">
        <v>1</v>
      </c>
      <c r="AB58" s="48" t="n">
        <f aca="false">Z58/AA58</f>
        <v>20000000</v>
      </c>
      <c r="AC58" s="48"/>
      <c r="AD58" s="51" t="n">
        <f aca="false">Y58/AB58*1000000000000</f>
        <v>600</v>
      </c>
      <c r="AE58" s="49" t="str">
        <f aca="false">IF(ISNUMBER($Q58), $AD58*1000/2^(($Q58-1.76)/6.02), "")</f>
        <v/>
      </c>
      <c r="AF58" s="49" t="n">
        <f aca="false">$AD58*1000/2^(($X58-1.76)/6.02)</f>
        <v>1305.82798935769</v>
      </c>
      <c r="AG58" s="31" t="str">
        <f aca="false">IF(ISNUMBER($Q58), $Q58+10*LOG10($AB58/2/$Y58), "")</f>
        <v/>
      </c>
      <c r="AH58" s="31" t="n">
        <f aca="false">$X58+10*LOG10($AB58/2/$Y58)</f>
        <v>144.208187539524</v>
      </c>
      <c r="AI58" s="52" t="n">
        <f aca="false">AF58/AB58</f>
        <v>6.52913994678845E-005</v>
      </c>
      <c r="AJ58" s="53" t="n">
        <f aca="false">AH58+10*LOG10(AB58)</f>
        <v>217.218487496164</v>
      </c>
    </row>
    <row r="59" customFormat="false" ht="12.75" hidden="false" customHeight="false" outlineLevel="0" collapsed="false">
      <c r="A59" s="50" t="n">
        <v>2002</v>
      </c>
      <c r="B59" s="41" t="n">
        <v>13.1</v>
      </c>
      <c r="C59" s="42" t="s">
        <v>139</v>
      </c>
      <c r="D59" s="42" t="s">
        <v>156</v>
      </c>
      <c r="E59" s="42" t="n">
        <v>0.65</v>
      </c>
      <c r="F59" s="44" t="s">
        <v>374</v>
      </c>
      <c r="G59" s="45" t="s">
        <v>375</v>
      </c>
      <c r="H59" s="45" t="s">
        <v>376</v>
      </c>
      <c r="I59" s="44" t="s">
        <v>377</v>
      </c>
      <c r="J59" s="46" t="str">
        <f aca="false">IF(I59&lt;&gt;"?", HYPERLINK(CONCATENATE("https://doi.org/",I59)), "")</f>
        <v>https://doi.org/10.1109/ISSCC.2002.993012</v>
      </c>
      <c r="K59" s="45" t="s">
        <v>117</v>
      </c>
      <c r="L59" s="41"/>
      <c r="M59" s="41"/>
      <c r="N59" s="41"/>
      <c r="O59" s="34" t="s">
        <v>117</v>
      </c>
      <c r="P59" s="45" t="n">
        <v>6</v>
      </c>
      <c r="Q59" s="54"/>
      <c r="R59" s="48" t="n">
        <v>1000000</v>
      </c>
      <c r="S59" s="41" t="n">
        <v>56.2</v>
      </c>
      <c r="T59" s="41"/>
      <c r="U59" s="41"/>
      <c r="V59" s="41"/>
      <c r="W59" s="41"/>
      <c r="X59" s="49" t="n">
        <f aca="false">+IF(ISNUMBER($S59),$S59,MIN($V59,$T59,$U59,$W59))</f>
        <v>56.2</v>
      </c>
      <c r="Y59" s="48" t="n">
        <v>0.0218</v>
      </c>
      <c r="Z59" s="48" t="n">
        <v>100000000</v>
      </c>
      <c r="AA59" s="50" t="n">
        <v>50</v>
      </c>
      <c r="AB59" s="48" t="n">
        <f aca="false">Z59/AA59</f>
        <v>2000000</v>
      </c>
      <c r="AC59" s="48" t="n">
        <v>1000000</v>
      </c>
      <c r="AD59" s="51" t="n">
        <f aca="false">Y59/AB59*1000000000000</f>
        <v>10900</v>
      </c>
      <c r="AE59" s="49" t="str">
        <f aca="false">IF(ISNUMBER($Q59), $AD59*1000/2^(($Q59-1.76)/6.02), "")</f>
        <v/>
      </c>
      <c r="AF59" s="49" t="n">
        <f aca="false">$AD59*1000/2^(($X59-1.76)/6.02)</f>
        <v>20661.1857174694</v>
      </c>
      <c r="AG59" s="31" t="str">
        <f aca="false">IF(ISNUMBER($Q59), $Q59+10*LOG10($AB59/2/$Y59), "")</f>
        <v/>
      </c>
      <c r="AH59" s="31" t="n">
        <f aca="false">$X59+10*LOG10($AB59/2/$Y59)</f>
        <v>132.815435063954</v>
      </c>
      <c r="AI59" s="52" t="n">
        <f aca="false">AF59/AB59</f>
        <v>0.0103305928587347</v>
      </c>
      <c r="AJ59" s="53" t="n">
        <f aca="false">AH59+10*LOG10(AB59)</f>
        <v>195.825735020594</v>
      </c>
    </row>
    <row r="60" customFormat="false" ht="12.75" hidden="false" customHeight="false" outlineLevel="0" collapsed="false">
      <c r="A60" s="50" t="n">
        <v>2002</v>
      </c>
      <c r="B60" s="41" t="n">
        <v>13.2</v>
      </c>
      <c r="C60" s="42" t="s">
        <v>139</v>
      </c>
      <c r="D60" s="42" t="s">
        <v>378</v>
      </c>
      <c r="E60" s="42" t="s">
        <v>209</v>
      </c>
      <c r="F60" s="44" t="s">
        <v>379</v>
      </c>
      <c r="G60" s="45" t="s">
        <v>380</v>
      </c>
      <c r="H60" s="45" t="s">
        <v>381</v>
      </c>
      <c r="I60" s="44" t="s">
        <v>382</v>
      </c>
      <c r="J60" s="46" t="str">
        <f aca="false">IF(I60&lt;&gt;"?", HYPERLINK(CONCATENATE("https://doi.org/",I60)), "")</f>
        <v>https://doi.org/10.1109/ISSCC.2002.993013</v>
      </c>
      <c r="K60" s="45" t="s">
        <v>117</v>
      </c>
      <c r="L60" s="41" t="n">
        <v>3</v>
      </c>
      <c r="M60" s="41"/>
      <c r="N60" s="41"/>
      <c r="O60" s="34" t="s">
        <v>117</v>
      </c>
      <c r="P60" s="45" t="n">
        <v>5</v>
      </c>
      <c r="Q60" s="54"/>
      <c r="R60" s="48" t="n">
        <v>330000</v>
      </c>
      <c r="S60" s="41" t="n">
        <v>81</v>
      </c>
      <c r="T60" s="41" t="n">
        <v>81</v>
      </c>
      <c r="U60" s="41" t="n">
        <v>90</v>
      </c>
      <c r="V60" s="41"/>
      <c r="W60" s="41" t="n">
        <v>103</v>
      </c>
      <c r="X60" s="49" t="n">
        <f aca="false">+IF(ISNUMBER($S60),$S60,MIN($V60,$T60,$U60,$W60))</f>
        <v>81</v>
      </c>
      <c r="Y60" s="48" t="n">
        <v>0.05</v>
      </c>
      <c r="Z60" s="48" t="n">
        <v>32000000</v>
      </c>
      <c r="AA60" s="50" t="n">
        <v>48.4848484848485</v>
      </c>
      <c r="AB60" s="48" t="n">
        <f aca="false">Z60/AA60</f>
        <v>660000</v>
      </c>
      <c r="AC60" s="48" t="n">
        <v>273000000</v>
      </c>
      <c r="AD60" s="51" t="n">
        <f aca="false">Y60/AB60*1000000000000</f>
        <v>75757.5757575758</v>
      </c>
      <c r="AE60" s="49" t="str">
        <f aca="false">IF(ISNUMBER($Q60), $AD60*1000/2^(($Q60-1.76)/6.02), "")</f>
        <v/>
      </c>
      <c r="AF60" s="49" t="n">
        <f aca="false">$AD60*1000/2^(($X60-1.76)/6.02)</f>
        <v>8260.97374987061</v>
      </c>
      <c r="AG60" s="31" t="str">
        <f aca="false">IF(ISNUMBER($Q60), $Q60+10*LOG10($AB60/2/$Y60), "")</f>
        <v/>
      </c>
      <c r="AH60" s="31" t="n">
        <f aca="false">$X60+10*LOG10($AB60/2/$Y60)</f>
        <v>149.195439355419</v>
      </c>
      <c r="AI60" s="52" t="n">
        <f aca="false">AF60/AB60</f>
        <v>0.0125166268937433</v>
      </c>
      <c r="AJ60" s="53" t="n">
        <f aca="false">AH60+10*LOG10(AB60)</f>
        <v>207.390878710837</v>
      </c>
    </row>
    <row r="61" customFormat="false" ht="12.75" hidden="false" customHeight="false" outlineLevel="0" collapsed="false">
      <c r="A61" s="50" t="n">
        <v>2002</v>
      </c>
      <c r="B61" s="41" t="n">
        <v>13.3</v>
      </c>
      <c r="C61" s="42" t="s">
        <v>139</v>
      </c>
      <c r="D61" s="42" t="s">
        <v>306</v>
      </c>
      <c r="E61" s="42" t="n">
        <v>0.35</v>
      </c>
      <c r="F61" s="44" t="s">
        <v>383</v>
      </c>
      <c r="G61" s="45" t="s">
        <v>384</v>
      </c>
      <c r="H61" s="45" t="s">
        <v>385</v>
      </c>
      <c r="I61" s="44" t="s">
        <v>386</v>
      </c>
      <c r="J61" s="46" t="str">
        <f aca="false">IF(I61&lt;&gt;"?", HYPERLINK(CONCATENATE("https://doi.org/",I61)), "")</f>
        <v>https://doi.org/10.1109/ISSCC.2002.993014</v>
      </c>
      <c r="K61" s="45" t="s">
        <v>117</v>
      </c>
      <c r="L61" s="41"/>
      <c r="M61" s="41"/>
      <c r="N61" s="41"/>
      <c r="O61" s="34" t="s">
        <v>117</v>
      </c>
      <c r="P61" s="45" t="n">
        <v>0.79</v>
      </c>
      <c r="Q61" s="54"/>
      <c r="R61" s="48" t="n">
        <v>3840000</v>
      </c>
      <c r="S61" s="41" t="n">
        <v>48</v>
      </c>
      <c r="T61" s="41" t="n">
        <v>48</v>
      </c>
      <c r="U61" s="41" t="n">
        <v>50</v>
      </c>
      <c r="V61" s="41"/>
      <c r="W61" s="41"/>
      <c r="X61" s="49" t="n">
        <f aca="false">+IF(ISNUMBER($S61),$S61,MIN($V61,$T61,$U61,$W61))</f>
        <v>48</v>
      </c>
      <c r="Y61" s="48" t="n">
        <v>0.038</v>
      </c>
      <c r="Z61" s="48" t="n">
        <v>80000000</v>
      </c>
      <c r="AA61" s="50" t="n">
        <v>10.4166666666667</v>
      </c>
      <c r="AB61" s="48" t="n">
        <f aca="false">Z61/AA61</f>
        <v>7680000</v>
      </c>
      <c r="AC61" s="48" t="n">
        <v>20000000</v>
      </c>
      <c r="AD61" s="51" t="n">
        <f aca="false">Y61/AB61*1000000000000</f>
        <v>4947.91666666667</v>
      </c>
      <c r="AE61" s="49" t="str">
        <f aca="false">IF(ISNUMBER($Q61), $AD61*1000/2^(($Q61-1.76)/6.02), "")</f>
        <v/>
      </c>
      <c r="AF61" s="49" t="n">
        <f aca="false">$AD61*1000/2^(($X61-1.76)/6.02)</f>
        <v>24109.7095244315</v>
      </c>
      <c r="AG61" s="31" t="str">
        <f aca="false">IF(ISNUMBER($Q61), $Q61+10*LOG10($AB61/2/$Y61), "")</f>
        <v/>
      </c>
      <c r="AH61" s="31" t="n">
        <f aca="false">$X61+10*LOG10($AB61/2/$Y61)</f>
        <v>128.045476277507</v>
      </c>
      <c r="AI61" s="52" t="n">
        <f aca="false">AF61/AB61</f>
        <v>0.00313928509432701</v>
      </c>
      <c r="AJ61" s="53" t="n">
        <f aca="false">AH61+10*LOG10(AB61)</f>
        <v>196.899088477822</v>
      </c>
    </row>
    <row r="62" customFormat="false" ht="12.75" hidden="false" customHeight="false" outlineLevel="0" collapsed="false">
      <c r="A62" s="50" t="n">
        <v>2002</v>
      </c>
      <c r="B62" s="41" t="n">
        <v>13.4</v>
      </c>
      <c r="C62" s="42" t="s">
        <v>139</v>
      </c>
      <c r="D62" s="42" t="s">
        <v>145</v>
      </c>
      <c r="E62" s="42" t="n">
        <v>0.18</v>
      </c>
      <c r="F62" s="44" t="s">
        <v>387</v>
      </c>
      <c r="G62" s="45" t="s">
        <v>388</v>
      </c>
      <c r="H62" s="45" t="s">
        <v>389</v>
      </c>
      <c r="I62" s="44" t="s">
        <v>390</v>
      </c>
      <c r="J62" s="46" t="str">
        <f aca="false">IF(I62&lt;&gt;"?", HYPERLINK(CONCATENATE("https://doi.org/",I62)), "")</f>
        <v>https://doi.org/10.1109/ISSCC.2002.993015</v>
      </c>
      <c r="K62" s="45" t="s">
        <v>117</v>
      </c>
      <c r="L62" s="41"/>
      <c r="M62" s="41"/>
      <c r="N62" s="41"/>
      <c r="O62" s="34" t="s">
        <v>117</v>
      </c>
      <c r="P62" s="45" t="n">
        <v>2.86</v>
      </c>
      <c r="Q62" s="54"/>
      <c r="R62" s="48" t="n">
        <v>2000000</v>
      </c>
      <c r="S62" s="41" t="n">
        <v>82</v>
      </c>
      <c r="T62" s="41"/>
      <c r="U62" s="41"/>
      <c r="V62" s="41"/>
      <c r="W62" s="41" t="n">
        <v>103</v>
      </c>
      <c r="X62" s="49" t="n">
        <f aca="false">+IF(ISNUMBER($S62),$S62,MIN($V62,$T62,$U62,$W62))</f>
        <v>82</v>
      </c>
      <c r="Y62" s="48" t="n">
        <v>0.102</v>
      </c>
      <c r="Z62" s="48" t="n">
        <v>32000000</v>
      </c>
      <c r="AA62" s="50" t="n">
        <v>8</v>
      </c>
      <c r="AB62" s="48" t="n">
        <f aca="false">Z62/AA62</f>
        <v>4000000</v>
      </c>
      <c r="AC62" s="48"/>
      <c r="AD62" s="51" t="n">
        <f aca="false">Y62/AB62*1000000000000</f>
        <v>25500</v>
      </c>
      <c r="AE62" s="49" t="str">
        <f aca="false">IF(ISNUMBER($Q62), $AD62*1000/2^(($Q62-1.76)/6.02), "")</f>
        <v/>
      </c>
      <c r="AF62" s="49" t="n">
        <f aca="false">$AD62*1000/2^(($X62-1.76)/6.02)</f>
        <v>2478.22293060519</v>
      </c>
      <c r="AG62" s="31" t="str">
        <f aca="false">IF(ISNUMBER($Q62), $Q62+10*LOG10($AB62/2/$Y62), "")</f>
        <v/>
      </c>
      <c r="AH62" s="31" t="n">
        <f aca="false">$X62+10*LOG10($AB62/2/$Y62)</f>
        <v>154.924298239021</v>
      </c>
      <c r="AI62" s="52" t="n">
        <f aca="false">AF62/AB62</f>
        <v>0.000619555732651298</v>
      </c>
      <c r="AJ62" s="53" t="n">
        <f aca="false">AH62+10*LOG10(AB62)</f>
        <v>220.9448981523</v>
      </c>
    </row>
    <row r="63" customFormat="false" ht="12.75" hidden="false" customHeight="false" outlineLevel="0" collapsed="false">
      <c r="A63" s="50" t="n">
        <v>2002</v>
      </c>
      <c r="B63" s="41" t="n">
        <v>13.5</v>
      </c>
      <c r="C63" s="42" t="s">
        <v>139</v>
      </c>
      <c r="D63" s="42" t="s">
        <v>173</v>
      </c>
      <c r="E63" s="42" t="n">
        <v>0.18</v>
      </c>
      <c r="F63" s="44" t="s">
        <v>391</v>
      </c>
      <c r="G63" s="45" t="s">
        <v>392</v>
      </c>
      <c r="H63" s="45" t="s">
        <v>393</v>
      </c>
      <c r="I63" s="44" t="s">
        <v>394</v>
      </c>
      <c r="J63" s="46" t="str">
        <f aca="false">IF(I63&lt;&gt;"?", HYPERLINK(CONCATENATE("https://doi.org/",I63)), "")</f>
        <v>https://doi.org/10.1109/ISSCC.2002.993016</v>
      </c>
      <c r="K63" s="45" t="s">
        <v>117</v>
      </c>
      <c r="L63" s="41"/>
      <c r="M63" s="41"/>
      <c r="N63" s="41"/>
      <c r="O63" s="34" t="s">
        <v>117</v>
      </c>
      <c r="P63" s="45" t="n">
        <v>0.41</v>
      </c>
      <c r="Q63" s="54"/>
      <c r="R63" s="48" t="n">
        <v>2000000</v>
      </c>
      <c r="S63" s="41" t="n">
        <v>70</v>
      </c>
      <c r="T63" s="41"/>
      <c r="U63" s="41" t="n">
        <v>70</v>
      </c>
      <c r="V63" s="41" t="n">
        <v>74</v>
      </c>
      <c r="W63" s="41"/>
      <c r="X63" s="49" t="n">
        <f aca="false">+IF(ISNUMBER($S63),$S63,MIN($V63,$T63,$U63,$W63))</f>
        <v>70</v>
      </c>
      <c r="Y63" s="48" t="n">
        <v>0.0033</v>
      </c>
      <c r="Z63" s="48" t="n">
        <v>153600000</v>
      </c>
      <c r="AA63" s="50" t="n">
        <v>38.4</v>
      </c>
      <c r="AB63" s="48" t="n">
        <f aca="false">Z63/AA63</f>
        <v>4000000</v>
      </c>
      <c r="AC63" s="48"/>
      <c r="AD63" s="51" t="n">
        <f aca="false">Y63/AB63*1000000000000</f>
        <v>825</v>
      </c>
      <c r="AE63" s="49" t="str">
        <f aca="false">IF(ISNUMBER($Q63), $AD63*1000/2^(($Q63-1.76)/6.02), "")</f>
        <v/>
      </c>
      <c r="AF63" s="49" t="n">
        <f aca="false">$AD63*1000/2^(($X63-1.76)/6.02)</f>
        <v>319.23752215197</v>
      </c>
      <c r="AG63" s="31" t="str">
        <f aca="false">IF(ISNUMBER($Q63), $Q63+10*LOG10($AB63/2/$Y63), "")</f>
        <v/>
      </c>
      <c r="AH63" s="31" t="n">
        <f aca="false">$X63+10*LOG10($AB63/2/$Y63)</f>
        <v>157.825160557861</v>
      </c>
      <c r="AI63" s="52" t="n">
        <f aca="false">AF63/AB63</f>
        <v>7.98093805379926E-005</v>
      </c>
      <c r="AJ63" s="53" t="n">
        <f aca="false">AH63+10*LOG10(AB63)</f>
        <v>223.845760471141</v>
      </c>
    </row>
    <row r="64" customFormat="false" ht="12.75" hidden="false" customHeight="false" outlineLevel="0" collapsed="false">
      <c r="A64" s="50" t="n">
        <v>2002</v>
      </c>
      <c r="B64" s="41" t="n">
        <v>13.6</v>
      </c>
      <c r="C64" s="42" t="s">
        <v>139</v>
      </c>
      <c r="D64" s="42" t="s">
        <v>145</v>
      </c>
      <c r="E64" s="42" t="n">
        <v>0.18</v>
      </c>
      <c r="F64" s="44" t="s">
        <v>395</v>
      </c>
      <c r="G64" s="45" t="s">
        <v>396</v>
      </c>
      <c r="H64" s="45" t="s">
        <v>397</v>
      </c>
      <c r="I64" s="44" t="s">
        <v>398</v>
      </c>
      <c r="J64" s="46" t="str">
        <f aca="false">IF(I64&lt;&gt;"?", HYPERLINK(CONCATENATE("https://doi.org/",I64)), "")</f>
        <v>https://doi.org/10.1109/ISSCC.2002.993017</v>
      </c>
      <c r="K64" s="45" t="s">
        <v>117</v>
      </c>
      <c r="L64" s="41"/>
      <c r="M64" s="41"/>
      <c r="N64" s="41"/>
      <c r="O64" s="34" t="s">
        <v>117</v>
      </c>
      <c r="P64" s="45" t="n">
        <v>2.6</v>
      </c>
      <c r="Q64" s="54"/>
      <c r="R64" s="48" t="n">
        <v>962000</v>
      </c>
      <c r="S64" s="41" t="n">
        <v>88</v>
      </c>
      <c r="T64" s="41"/>
      <c r="U64" s="41"/>
      <c r="V64" s="41"/>
      <c r="W64" s="41" t="n">
        <v>106</v>
      </c>
      <c r="X64" s="49" t="n">
        <f aca="false">+IF(ISNUMBER($S64),$S64,MIN($V64,$T64,$U64,$W64))</f>
        <v>88</v>
      </c>
      <c r="Y64" s="48" t="n">
        <v>0.23</v>
      </c>
      <c r="Z64" s="48" t="n">
        <v>64000000</v>
      </c>
      <c r="AA64" s="50" t="n">
        <v>33.2640332640333</v>
      </c>
      <c r="AB64" s="48" t="n">
        <f aca="false">Z64/AA64</f>
        <v>1924000</v>
      </c>
      <c r="AC64" s="48"/>
      <c r="AD64" s="51" t="n">
        <f aca="false">Y64/AB64*1000000000000</f>
        <v>119542.61954262</v>
      </c>
      <c r="AE64" s="49" t="str">
        <f aca="false">IF(ISNUMBER($Q64), $AD64*1000/2^(($Q64-1.76)/6.02), "")</f>
        <v/>
      </c>
      <c r="AF64" s="49" t="n">
        <f aca="false">$AD64*1000/2^(($X64-1.76)/6.02)</f>
        <v>5822.27967388306</v>
      </c>
      <c r="AG64" s="31" t="str">
        <f aca="false">IF(ISNUMBER($Q64), $Q64+10*LOG10($AB64/2/$Y64), "")</f>
        <v/>
      </c>
      <c r="AH64" s="31" t="n">
        <f aca="false">$X64+10*LOG10($AB64/2/$Y64)</f>
        <v>154.214472360202</v>
      </c>
      <c r="AI64" s="52" t="n">
        <f aca="false">AF64/AB64</f>
        <v>0.00302613288663361</v>
      </c>
      <c r="AJ64" s="53" t="n">
        <f aca="false">AH64+10*LOG10(AB64)</f>
        <v>217.05652303722</v>
      </c>
    </row>
    <row r="65" customFormat="false" ht="12.75" hidden="false" customHeight="false" outlineLevel="0" collapsed="false">
      <c r="A65" s="50" t="n">
        <v>2002</v>
      </c>
      <c r="B65" s="41" t="n">
        <v>18.1</v>
      </c>
      <c r="C65" s="42" t="s">
        <v>139</v>
      </c>
      <c r="D65" s="42" t="s">
        <v>145</v>
      </c>
      <c r="E65" s="42" t="n">
        <v>0.13</v>
      </c>
      <c r="F65" s="44" t="s">
        <v>399</v>
      </c>
      <c r="G65" s="45" t="s">
        <v>400</v>
      </c>
      <c r="H65" s="45" t="s">
        <v>401</v>
      </c>
      <c r="I65" s="44" t="s">
        <v>402</v>
      </c>
      <c r="J65" s="46" t="str">
        <f aca="false">IF(I65&lt;&gt;"?", HYPERLINK(CONCATENATE("https://doi.org/",I65)), "")</f>
        <v>https://doi.org/10.1109/ISSCC.2002.993054</v>
      </c>
      <c r="K65" s="45" t="s">
        <v>315</v>
      </c>
      <c r="L65" s="41"/>
      <c r="M65" s="41"/>
      <c r="N65" s="41"/>
      <c r="O65" s="34" t="s">
        <v>117</v>
      </c>
      <c r="P65" s="45" t="n">
        <v>0.2</v>
      </c>
      <c r="Q65" s="54"/>
      <c r="R65" s="48" t="n">
        <v>2000000</v>
      </c>
      <c r="S65" s="41" t="n">
        <v>49</v>
      </c>
      <c r="T65" s="41"/>
      <c r="U65" s="41" t="n">
        <v>50</v>
      </c>
      <c r="V65" s="41"/>
      <c r="W65" s="41"/>
      <c r="X65" s="49" t="n">
        <f aca="false">+IF(ISNUMBER($S65),$S65,MIN($V65,$T65,$U65,$W65))</f>
        <v>49</v>
      </c>
      <c r="Y65" s="48" t="n">
        <v>0.0029</v>
      </c>
      <c r="Z65" s="48" t="n">
        <v>46000000</v>
      </c>
      <c r="AA65" s="50" t="n">
        <v>11.5</v>
      </c>
      <c r="AB65" s="48" t="n">
        <f aca="false">Z65/AA65</f>
        <v>4000000</v>
      </c>
      <c r="AC65" s="48"/>
      <c r="AD65" s="51" t="n">
        <f aca="false">Y65/AB65*1000000000000</f>
        <v>725</v>
      </c>
      <c r="AE65" s="49" t="str">
        <f aca="false">IF(ISNUMBER($Q65), $AD65*1000/2^(($Q65-1.76)/6.02), "")</f>
        <v/>
      </c>
      <c r="AF65" s="49" t="n">
        <f aca="false">$AD65*1000/2^(($X65-1.76)/6.02)</f>
        <v>3148.49222599408</v>
      </c>
      <c r="AG65" s="31" t="str">
        <f aca="false">IF(ISNUMBER($Q65), $Q65+10*LOG10($AB65/2/$Y65), "")</f>
        <v/>
      </c>
      <c r="AH65" s="31" t="n">
        <f aca="false">$X65+10*LOG10($AB65/2/$Y65)</f>
        <v>137.38631997765</v>
      </c>
      <c r="AI65" s="52" t="n">
        <f aca="false">AF65/AB65</f>
        <v>0.000787123056498519</v>
      </c>
      <c r="AJ65" s="53" t="n">
        <f aca="false">AH65+10*LOG10(AB65)</f>
        <v>203.40691989093</v>
      </c>
    </row>
    <row r="66" customFormat="false" ht="12.75" hidden="false" customHeight="false" outlineLevel="0" collapsed="false">
      <c r="A66" s="50" t="n">
        <v>2002</v>
      </c>
      <c r="B66" s="41" t="n">
        <v>18.2</v>
      </c>
      <c r="C66" s="42" t="s">
        <v>111</v>
      </c>
      <c r="D66" s="42" t="s">
        <v>208</v>
      </c>
      <c r="E66" s="42" t="n">
        <v>0.13</v>
      </c>
      <c r="F66" s="44" t="s">
        <v>403</v>
      </c>
      <c r="G66" s="45" t="s">
        <v>404</v>
      </c>
      <c r="H66" s="45" t="s">
        <v>405</v>
      </c>
      <c r="I66" s="44" t="s">
        <v>406</v>
      </c>
      <c r="J66" s="46" t="str">
        <f aca="false">IF(I66&lt;&gt;"?", HYPERLINK(CONCATENATE("https://doi.org/",I66)), "")</f>
        <v>https://doi.org/10.1109/ISSCC.2002.993055</v>
      </c>
      <c r="K66" s="45" t="s">
        <v>117</v>
      </c>
      <c r="L66" s="41"/>
      <c r="M66" s="41"/>
      <c r="N66" s="41"/>
      <c r="O66" s="34" t="s">
        <v>117</v>
      </c>
      <c r="P66" s="45" t="n">
        <v>0.3</v>
      </c>
      <c r="Q66" s="54"/>
      <c r="R66" s="48" t="n">
        <v>11000000</v>
      </c>
      <c r="S66" s="41" t="n">
        <v>33</v>
      </c>
      <c r="T66" s="41"/>
      <c r="U66" s="41"/>
      <c r="V66" s="41"/>
      <c r="W66" s="41" t="n">
        <v>47</v>
      </c>
      <c r="X66" s="49" t="n">
        <f aca="false">+IF(ISNUMBER($S66),$S66,MIN($V66,$T66,$U66,$W66))</f>
        <v>33</v>
      </c>
      <c r="Y66" s="48" t="n">
        <v>0.00046</v>
      </c>
      <c r="Z66" s="48" t="n">
        <v>22000000</v>
      </c>
      <c r="AA66" s="50" t="n">
        <v>1</v>
      </c>
      <c r="AB66" s="48" t="n">
        <f aca="false">Z66/AA66</f>
        <v>22000000</v>
      </c>
      <c r="AC66" s="48"/>
      <c r="AD66" s="51" t="n">
        <f aca="false">Y66/AB66*1000000000000</f>
        <v>20.9090909090909</v>
      </c>
      <c r="AE66" s="49" t="str">
        <f aca="false">IF(ISNUMBER($Q66), $AD66*1000/2^(($Q66-1.76)/6.02), "")</f>
        <v/>
      </c>
      <c r="AF66" s="49" t="n">
        <f aca="false">$AD66*1000/2^(($X66-1.76)/6.02)</f>
        <v>573.032814386929</v>
      </c>
      <c r="AG66" s="31" t="str">
        <f aca="false">IF(ISNUMBER($Q66), $Q66+10*LOG10($AB66/2/$Y66), "")</f>
        <v/>
      </c>
      <c r="AH66" s="31" t="n">
        <f aca="false">$X66+10*LOG10($AB66/2/$Y66)</f>
        <v>136.786348534767</v>
      </c>
      <c r="AI66" s="52" t="n">
        <f aca="false">AF66/AB66</f>
        <v>2.60469461084968E-005</v>
      </c>
      <c r="AJ66" s="53" t="n">
        <f aca="false">AH66+10*LOG10(AB66)</f>
        <v>210.210575342989</v>
      </c>
    </row>
    <row r="67" customFormat="false" ht="12.75" hidden="false" customHeight="false" outlineLevel="0" collapsed="false">
      <c r="A67" s="50" t="n">
        <v>2002</v>
      </c>
      <c r="B67" s="41" t="n">
        <v>18.3</v>
      </c>
      <c r="C67" s="42" t="s">
        <v>139</v>
      </c>
      <c r="D67" s="42" t="s">
        <v>145</v>
      </c>
      <c r="E67" s="42" t="n">
        <v>0.18</v>
      </c>
      <c r="F67" s="44" t="s">
        <v>407</v>
      </c>
      <c r="G67" s="45" t="s">
        <v>408</v>
      </c>
      <c r="H67" s="45" t="s">
        <v>409</v>
      </c>
      <c r="I67" s="44" t="s">
        <v>410</v>
      </c>
      <c r="J67" s="46" t="str">
        <f aca="false">IF(I67&lt;&gt;"?", HYPERLINK(CONCATENATE("https://doi.org/",I67)), "")</f>
        <v>https://doi.org/10.1109/ISSCC.2002.993056</v>
      </c>
      <c r="K67" s="45" t="s">
        <v>117</v>
      </c>
      <c r="L67" s="41"/>
      <c r="M67" s="41"/>
      <c r="N67" s="41"/>
      <c r="O67" s="34" t="s">
        <v>117</v>
      </c>
      <c r="P67" s="45" t="n">
        <v>0.08</v>
      </c>
      <c r="Q67" s="54"/>
      <c r="R67" s="48" t="n">
        <v>8000</v>
      </c>
      <c r="S67" s="41" t="n">
        <v>67</v>
      </c>
      <c r="T67" s="41"/>
      <c r="U67" s="41" t="n">
        <v>75</v>
      </c>
      <c r="V67" s="41"/>
      <c r="W67" s="41"/>
      <c r="X67" s="49" t="n">
        <f aca="false">+IF(ISNUMBER($S67),$S67,MIN($V67,$T67,$U67,$W67))</f>
        <v>67</v>
      </c>
      <c r="Y67" s="48" t="n">
        <v>0.0001</v>
      </c>
      <c r="Z67" s="48" t="n">
        <v>1024000</v>
      </c>
      <c r="AA67" s="50" t="n">
        <v>64</v>
      </c>
      <c r="AB67" s="48" t="n">
        <f aca="false">Z67/AA67</f>
        <v>16000</v>
      </c>
      <c r="AC67" s="48"/>
      <c r="AD67" s="51" t="n">
        <f aca="false">Y67/AB67*1000000000000</f>
        <v>6250</v>
      </c>
      <c r="AE67" s="49" t="str">
        <f aca="false">IF(ISNUMBER($Q67), $AD67*1000/2^(($Q67-1.76)/6.02), "")</f>
        <v/>
      </c>
      <c r="AF67" s="49" t="n">
        <f aca="false">$AD67*1000/2^(($X67-1.76)/6.02)</f>
        <v>3416.29171753646</v>
      </c>
      <c r="AG67" s="31" t="str">
        <f aca="false">IF(ISNUMBER($Q67), $Q67+10*LOG10($AB67/2/$Y67), "")</f>
        <v/>
      </c>
      <c r="AH67" s="31" t="n">
        <f aca="false">$X67+10*LOG10($AB67/2/$Y67)</f>
        <v>146.030899869919</v>
      </c>
      <c r="AI67" s="52" t="n">
        <f aca="false">AF67/AB67</f>
        <v>0.213518232346029</v>
      </c>
      <c r="AJ67" s="53" t="n">
        <f aca="false">AH67+10*LOG10(AB67)</f>
        <v>188.072099696479</v>
      </c>
    </row>
    <row r="68" customFormat="false" ht="12.75" hidden="false" customHeight="false" outlineLevel="0" collapsed="false">
      <c r="A68" s="50" t="n">
        <v>2002</v>
      </c>
      <c r="B68" s="41" t="n">
        <v>18.4</v>
      </c>
      <c r="C68" s="42" t="s">
        <v>111</v>
      </c>
      <c r="D68" s="42" t="s">
        <v>133</v>
      </c>
      <c r="E68" s="42" t="n">
        <v>0.6</v>
      </c>
      <c r="F68" s="44" t="s">
        <v>411</v>
      </c>
      <c r="G68" s="45" t="s">
        <v>412</v>
      </c>
      <c r="H68" s="45" t="s">
        <v>413</v>
      </c>
      <c r="I68" s="44" t="s">
        <v>414</v>
      </c>
      <c r="J68" s="46" t="str">
        <f aca="false">IF(I68&lt;&gt;"?", HYPERLINK(CONCATENATE("https://doi.org/",I68)), "")</f>
        <v>https://doi.org/10.1109/ISSCC.2002.993057</v>
      </c>
      <c r="K68" s="45" t="s">
        <v>415</v>
      </c>
      <c r="L68" s="41"/>
      <c r="M68" s="41"/>
      <c r="N68" s="41"/>
      <c r="O68" s="34" t="s">
        <v>117</v>
      </c>
      <c r="P68" s="45" t="n">
        <v>2.56</v>
      </c>
      <c r="Q68" s="54"/>
      <c r="R68" s="48" t="n">
        <v>10000</v>
      </c>
      <c r="S68" s="41"/>
      <c r="T68" s="41" t="n">
        <v>68.2</v>
      </c>
      <c r="U68" s="41"/>
      <c r="V68" s="41"/>
      <c r="W68" s="41"/>
      <c r="X68" s="49" t="n">
        <f aca="false">+IF(ISNUMBER($S68),$S68,MIN($V68,$T68,$U68,$W68))</f>
        <v>68.2</v>
      </c>
      <c r="Y68" s="48" t="n">
        <v>0.03</v>
      </c>
      <c r="Z68" s="48" t="n">
        <v>21000000</v>
      </c>
      <c r="AA68" s="50" t="n">
        <v>1</v>
      </c>
      <c r="AB68" s="48" t="n">
        <f aca="false">Z68/AA68</f>
        <v>21000000</v>
      </c>
      <c r="AC68" s="48"/>
      <c r="AD68" s="51" t="n">
        <f aca="false">Y68/AB68*1000000000000</f>
        <v>1428.57142857143</v>
      </c>
      <c r="AE68" s="49" t="str">
        <f aca="false">IF(ISNUMBER($Q68), $AD68*1000/2^(($Q68-1.76)/6.02), "")</f>
        <v/>
      </c>
      <c r="AF68" s="49" t="n">
        <f aca="false">$AD68*1000/2^(($X68-1.76)/6.02)</f>
        <v>680.09708202028</v>
      </c>
      <c r="AG68" s="31" t="str">
        <f aca="false">IF(ISNUMBER($Q68), $Q68+10*LOG10($AB68/2/$Y68), "")</f>
        <v/>
      </c>
      <c r="AH68" s="31" t="n">
        <f aca="false">$X68+10*LOG10($AB68/2/$Y68)</f>
        <v>153.640680443503</v>
      </c>
      <c r="AI68" s="52" t="n">
        <f aca="false">AF68/AB68</f>
        <v>3.2385575334299E-005</v>
      </c>
      <c r="AJ68" s="53" t="n">
        <f aca="false">AH68+10*LOG10(AB68)</f>
        <v>226.862873390842</v>
      </c>
    </row>
    <row r="69" customFormat="false" ht="12.75" hidden="false" customHeight="false" outlineLevel="0" collapsed="false">
      <c r="A69" s="50" t="n">
        <v>2002</v>
      </c>
      <c r="B69" s="41" t="n">
        <v>18.5</v>
      </c>
      <c r="C69" s="42" t="s">
        <v>111</v>
      </c>
      <c r="D69" s="42" t="s">
        <v>133</v>
      </c>
      <c r="E69" s="42" t="s">
        <v>209</v>
      </c>
      <c r="F69" s="44" t="s">
        <v>416</v>
      </c>
      <c r="G69" s="45" t="s">
        <v>417</v>
      </c>
      <c r="H69" s="45" t="s">
        <v>418</v>
      </c>
      <c r="I69" s="44" t="s">
        <v>419</v>
      </c>
      <c r="J69" s="46" t="str">
        <f aca="false">IF(I69&lt;&gt;"?", HYPERLINK(CONCATENATE("https://doi.org/",I69)), "")</f>
        <v>https://doi.org/10.1109/ISSCC.2002.993058</v>
      </c>
      <c r="K69" s="45" t="s">
        <v>420</v>
      </c>
      <c r="L69" s="41" t="n">
        <v>2.9</v>
      </c>
      <c r="M69" s="41"/>
      <c r="N69" s="41"/>
      <c r="O69" s="34" t="s">
        <v>117</v>
      </c>
      <c r="P69" s="45" t="n">
        <v>6</v>
      </c>
      <c r="Q69" s="54"/>
      <c r="R69" s="48" t="n">
        <v>25000000</v>
      </c>
      <c r="S69" s="41" t="n">
        <v>70</v>
      </c>
      <c r="T69" s="41"/>
      <c r="U69" s="41"/>
      <c r="V69" s="41"/>
      <c r="W69" s="41" t="n">
        <v>76.5</v>
      </c>
      <c r="X69" s="49" t="n">
        <f aca="false">+IF(ISNUMBER($S69),$S69,MIN($V69,$T69,$U69,$W69))</f>
        <v>70</v>
      </c>
      <c r="Y69" s="48" t="n">
        <v>0.715</v>
      </c>
      <c r="Z69" s="48" t="n">
        <v>50000000</v>
      </c>
      <c r="AA69" s="50" t="n">
        <v>1</v>
      </c>
      <c r="AB69" s="48" t="n">
        <f aca="false">Z69/AA69</f>
        <v>50000000</v>
      </c>
      <c r="AC69" s="48"/>
      <c r="AD69" s="51" t="n">
        <f aca="false">Y69/AB69*1000000000000</f>
        <v>14300</v>
      </c>
      <c r="AE69" s="49" t="str">
        <f aca="false">IF(ISNUMBER($Q69), $AD69*1000/2^(($Q69-1.76)/6.02), "")</f>
        <v/>
      </c>
      <c r="AF69" s="49" t="n">
        <f aca="false">$AD69*1000/2^(($X69-1.76)/6.02)</f>
        <v>5533.45038396749</v>
      </c>
      <c r="AG69" s="31" t="str">
        <f aca="false">IF(ISNUMBER($Q69), $Q69+10*LOG10($AB69/2/$Y69), "")</f>
        <v/>
      </c>
      <c r="AH69" s="31" t="n">
        <f aca="false">$X69+10*LOG10($AB69/2/$Y69)</f>
        <v>145.43633966871</v>
      </c>
      <c r="AI69" s="52" t="n">
        <f aca="false">AF69/AB69</f>
        <v>0.00011066900767935</v>
      </c>
      <c r="AJ69" s="53" t="n">
        <f aca="false">AH69+10*LOG10(AB69)</f>
        <v>222.42603971207</v>
      </c>
    </row>
    <row r="70" customFormat="false" ht="12.75" hidden="false" customHeight="false" outlineLevel="0" collapsed="false">
      <c r="A70" s="50" t="n">
        <v>2002</v>
      </c>
      <c r="B70" s="41" t="n">
        <v>18.6</v>
      </c>
      <c r="C70" s="42" t="s">
        <v>139</v>
      </c>
      <c r="D70" s="42" t="s">
        <v>145</v>
      </c>
      <c r="E70" s="42" t="n">
        <v>0.25</v>
      </c>
      <c r="F70" s="44" t="s">
        <v>421</v>
      </c>
      <c r="G70" s="45" t="s">
        <v>422</v>
      </c>
      <c r="H70" s="45" t="s">
        <v>423</v>
      </c>
      <c r="I70" s="44" t="s">
        <v>424</v>
      </c>
      <c r="J70" s="46" t="str">
        <f aca="false">IF(I70&lt;&gt;"?", HYPERLINK(CONCATENATE("https://doi.org/",I70)), "")</f>
        <v>https://doi.org/10.1109/ISSCC.2002.993059</v>
      </c>
      <c r="K70" s="45" t="s">
        <v>117</v>
      </c>
      <c r="L70" s="41"/>
      <c r="M70" s="41"/>
      <c r="N70" s="41"/>
      <c r="O70" s="34" t="s">
        <v>117</v>
      </c>
      <c r="P70" s="45" t="n">
        <v>1.5</v>
      </c>
      <c r="Q70" s="54"/>
      <c r="R70" s="48" t="n">
        <v>1000000</v>
      </c>
      <c r="S70" s="41" t="n">
        <v>79</v>
      </c>
      <c r="T70" s="41" t="n">
        <v>84</v>
      </c>
      <c r="U70" s="41" t="n">
        <v>86</v>
      </c>
      <c r="V70" s="41"/>
      <c r="W70" s="41"/>
      <c r="X70" s="49" t="n">
        <f aca="false">+IF(ISNUMBER($S70),$S70,MIN($V70,$T70,$U70,$W70))</f>
        <v>79</v>
      </c>
      <c r="Y70" s="48" t="n">
        <v>0.033</v>
      </c>
      <c r="Z70" s="48" t="n">
        <v>80000000</v>
      </c>
      <c r="AA70" s="50" t="n">
        <v>40</v>
      </c>
      <c r="AB70" s="48" t="n">
        <f aca="false">Z70/AA70</f>
        <v>2000000</v>
      </c>
      <c r="AC70" s="48"/>
      <c r="AD70" s="51" t="n">
        <f aca="false">Y70/AB70*1000000000000</f>
        <v>16500</v>
      </c>
      <c r="AE70" s="49" t="str">
        <f aca="false">IF(ISNUMBER($Q70), $AD70*1000/2^(($Q70-1.76)/6.02), "")</f>
        <v/>
      </c>
      <c r="AF70" s="49" t="n">
        <f aca="false">$AD70*1000/2^(($X70-1.76)/6.02)</f>
        <v>2265.16103792782</v>
      </c>
      <c r="AG70" s="31" t="str">
        <f aca="false">IF(ISNUMBER($Q70), $Q70+10*LOG10($AB70/2/$Y70), "")</f>
        <v/>
      </c>
      <c r="AH70" s="31" t="n">
        <f aca="false">$X70+10*LOG10($AB70/2/$Y70)</f>
        <v>153.814860601221</v>
      </c>
      <c r="AI70" s="52" t="n">
        <f aca="false">AF70/AB70</f>
        <v>0.00113258051896391</v>
      </c>
      <c r="AJ70" s="53" t="n">
        <f aca="false">AH70+10*LOG10(AB70)</f>
        <v>216.825160557861</v>
      </c>
    </row>
    <row r="71" customFormat="false" ht="12.75" hidden="false" customHeight="false" outlineLevel="0" collapsed="false">
      <c r="A71" s="50" t="n">
        <v>2002</v>
      </c>
      <c r="B71" s="41" t="n">
        <v>23.5</v>
      </c>
      <c r="C71" s="42" t="s">
        <v>139</v>
      </c>
      <c r="D71" s="42" t="s">
        <v>145</v>
      </c>
      <c r="E71" s="42" t="n">
        <v>0.35</v>
      </c>
      <c r="F71" s="44" t="s">
        <v>425</v>
      </c>
      <c r="G71" s="45" t="s">
        <v>426</v>
      </c>
      <c r="H71" s="45" t="s">
        <v>427</v>
      </c>
      <c r="I71" s="44" t="s">
        <v>428</v>
      </c>
      <c r="J71" s="46" t="str">
        <f aca="false">IF(I71&lt;&gt;"?", HYPERLINK(CONCATENATE("https://doi.org/",I71)), "")</f>
        <v>https://doi.org/10.1109/ISSCC.2002.993095</v>
      </c>
      <c r="K71" s="45" t="s">
        <v>117</v>
      </c>
      <c r="L71" s="41"/>
      <c r="M71" s="41"/>
      <c r="N71" s="41"/>
      <c r="O71" s="34" t="s">
        <v>117</v>
      </c>
      <c r="P71" s="45" t="n">
        <v>0.18</v>
      </c>
      <c r="Q71" s="54"/>
      <c r="R71" s="48" t="n">
        <v>8000</v>
      </c>
      <c r="S71" s="41"/>
      <c r="T71" s="41" t="n">
        <v>68</v>
      </c>
      <c r="U71" s="41"/>
      <c r="V71" s="41"/>
      <c r="W71" s="41"/>
      <c r="X71" s="49" t="n">
        <f aca="false">+IF(ISNUMBER($S71),$S71,MIN($V71,$T71,$U71,$W71))</f>
        <v>68</v>
      </c>
      <c r="Y71" s="48" t="n">
        <v>0.0001</v>
      </c>
      <c r="Z71" s="48" t="n">
        <v>1000000</v>
      </c>
      <c r="AA71" s="50" t="n">
        <v>62.5</v>
      </c>
      <c r="AB71" s="48" t="n">
        <f aca="false">Z71/AA71</f>
        <v>16000</v>
      </c>
      <c r="AC71" s="48"/>
      <c r="AD71" s="51" t="n">
        <f aca="false">Y71/AB71*1000000000000</f>
        <v>6250</v>
      </c>
      <c r="AE71" s="49" t="str">
        <f aca="false">IF(ISNUMBER($Q71), $AD71*1000/2^(($Q71-1.76)/6.02), "")</f>
        <v/>
      </c>
      <c r="AF71" s="49" t="n">
        <f aca="false">$AD71*1000/2^(($X71-1.76)/6.02)</f>
        <v>3044.7382656554</v>
      </c>
      <c r="AG71" s="31" t="str">
        <f aca="false">IF(ISNUMBER($Q71), $Q71+10*LOG10($AB71/2/$Y71), "")</f>
        <v/>
      </c>
      <c r="AH71" s="31" t="n">
        <f aca="false">$X71+10*LOG10($AB71/2/$Y71)</f>
        <v>147.030899869919</v>
      </c>
      <c r="AI71" s="52" t="n">
        <f aca="false">AF71/AB71</f>
        <v>0.190296141603463</v>
      </c>
      <c r="AJ71" s="53" t="n">
        <f aca="false">AH71+10*LOG10(AB71)</f>
        <v>189.072099696479</v>
      </c>
    </row>
    <row r="72" customFormat="false" ht="12.75" hidden="false" customHeight="false" outlineLevel="0" collapsed="false">
      <c r="A72" s="40" t="n">
        <v>2003</v>
      </c>
      <c r="B72" s="41" t="n">
        <v>3.1</v>
      </c>
      <c r="C72" s="42" t="s">
        <v>139</v>
      </c>
      <c r="D72" s="42" t="s">
        <v>145</v>
      </c>
      <c r="E72" s="42" t="n">
        <v>0.13</v>
      </c>
      <c r="F72" s="44" t="s">
        <v>429</v>
      </c>
      <c r="G72" s="45" t="s">
        <v>430</v>
      </c>
      <c r="H72" s="45" t="s">
        <v>431</v>
      </c>
      <c r="I72" s="44" t="s">
        <v>432</v>
      </c>
      <c r="J72" s="46" t="str">
        <f aca="false">IF(I72&lt;&gt;"?", HYPERLINK(CONCATENATE("https://doi.org/",I72)), "")</f>
        <v>https://doi.org/10.1109/ISSCC.2003.1234204</v>
      </c>
      <c r="K72" s="45" t="s">
        <v>315</v>
      </c>
      <c r="L72" s="41" t="n">
        <v>1.5</v>
      </c>
      <c r="M72" s="41"/>
      <c r="N72" s="41"/>
      <c r="O72" s="34" t="s">
        <v>117</v>
      </c>
      <c r="P72" s="45" t="n">
        <v>0.1225</v>
      </c>
      <c r="Q72" s="54"/>
      <c r="R72" s="48" t="n">
        <v>2000000</v>
      </c>
      <c r="S72" s="41" t="n">
        <v>45.2</v>
      </c>
      <c r="T72" s="41"/>
      <c r="U72" s="41" t="n">
        <v>50.3</v>
      </c>
      <c r="V72" s="41"/>
      <c r="W72" s="41"/>
      <c r="X72" s="49" t="n">
        <f aca="false">+IF(ISNUMBER($S72),$S72,MIN($V72,$T72,$U72,$W72))</f>
        <v>45.2</v>
      </c>
      <c r="Y72" s="48" t="n">
        <v>0.0013</v>
      </c>
      <c r="Z72" s="48" t="n">
        <v>104000000</v>
      </c>
      <c r="AA72" s="50" t="n">
        <v>26</v>
      </c>
      <c r="AB72" s="48" t="n">
        <f aca="false">Z72/AA72</f>
        <v>4000000</v>
      </c>
      <c r="AC72" s="48"/>
      <c r="AD72" s="51" t="n">
        <f aca="false">Y72/AB72*1000000000000</f>
        <v>325</v>
      </c>
      <c r="AE72" s="49" t="str">
        <f aca="false">IF(ISNUMBER($Q72), $AD72*1000/2^(($Q72-1.76)/6.02), "")</f>
        <v/>
      </c>
      <c r="AF72" s="49" t="n">
        <f aca="false">$AD72*1000/2^(($X72-1.76)/6.02)</f>
        <v>2186.08434338235</v>
      </c>
      <c r="AG72" s="31" t="str">
        <f aca="false">IF(ISNUMBER($Q72), $Q72+10*LOG10($AB72/2/$Y72), "")</f>
        <v/>
      </c>
      <c r="AH72" s="31" t="n">
        <f aca="false">$X72+10*LOG10($AB72/2/$Y72)</f>
        <v>137.070866433571</v>
      </c>
      <c r="AI72" s="52" t="n">
        <f aca="false">AF72/AB72</f>
        <v>0.000546521085845588</v>
      </c>
      <c r="AJ72" s="53" t="n">
        <f aca="false">AH72+10*LOG10(AB72)</f>
        <v>203.091466346851</v>
      </c>
    </row>
    <row r="73" customFormat="false" ht="12.75" hidden="false" customHeight="false" outlineLevel="0" collapsed="false">
      <c r="A73" s="50" t="n">
        <v>2003</v>
      </c>
      <c r="B73" s="41" t="n">
        <v>3.2</v>
      </c>
      <c r="C73" s="42" t="s">
        <v>139</v>
      </c>
      <c r="D73" s="42" t="s">
        <v>145</v>
      </c>
      <c r="E73" s="42" t="n">
        <v>0.35</v>
      </c>
      <c r="F73" s="44" t="s">
        <v>433</v>
      </c>
      <c r="G73" s="45" t="s">
        <v>434</v>
      </c>
      <c r="H73" s="45" t="s">
        <v>435</v>
      </c>
      <c r="I73" s="44" t="s">
        <v>436</v>
      </c>
      <c r="J73" s="46" t="str">
        <f aca="false">IF(I73&lt;&gt;"?", HYPERLINK(CONCATENATE("https://doi.org/",I73)), "")</f>
        <v>https://doi.org/10.1109/ISSCC.2003.1234205</v>
      </c>
      <c r="K73" s="45" t="s">
        <v>437</v>
      </c>
      <c r="L73" s="41"/>
      <c r="M73" s="41"/>
      <c r="N73" s="41"/>
      <c r="O73" s="34" t="s">
        <v>117</v>
      </c>
      <c r="P73" s="45" t="n">
        <v>5.62</v>
      </c>
      <c r="Q73" s="54"/>
      <c r="R73" s="48" t="n">
        <v>20000</v>
      </c>
      <c r="S73" s="41" t="n">
        <v>105</v>
      </c>
      <c r="T73" s="41"/>
      <c r="U73" s="41" t="n">
        <v>111</v>
      </c>
      <c r="V73" s="41"/>
      <c r="W73" s="41"/>
      <c r="X73" s="49" t="n">
        <f aca="false">+IF(ISNUMBER($S73),$S73,MIN($V73,$T73,$U73,$W73))</f>
        <v>105</v>
      </c>
      <c r="Y73" s="48" t="n">
        <v>0.055</v>
      </c>
      <c r="Z73" s="48" t="n">
        <f aca="false">AB73*AA73</f>
        <v>5120000</v>
      </c>
      <c r="AA73" s="50" t="n">
        <v>128</v>
      </c>
      <c r="AB73" s="48" t="n">
        <v>40000</v>
      </c>
      <c r="AC73" s="48"/>
      <c r="AD73" s="51" t="n">
        <f aca="false">Y73/AB73*1000000000000</f>
        <v>1375000</v>
      </c>
      <c r="AE73" s="49" t="str">
        <f aca="false">IF(ISNUMBER($Q73), $AD73*1000/2^(($Q73-1.76)/6.02), "")</f>
        <v/>
      </c>
      <c r="AF73" s="49" t="n">
        <f aca="false">$AD73*1000/2^(($X73-1.76)/6.02)</f>
        <v>9457.75996317762</v>
      </c>
      <c r="AG73" s="31" t="str">
        <f aca="false">IF(ISNUMBER($Q73), $Q73+10*LOG10($AB73/2/$Y73), "")</f>
        <v/>
      </c>
      <c r="AH73" s="31" t="n">
        <f aca="false">$X73+10*LOG10($AB73/2/$Y73)</f>
        <v>160.606673061697</v>
      </c>
      <c r="AI73" s="52" t="n">
        <f aca="false">AF73/AB73</f>
        <v>0.23644399907944</v>
      </c>
      <c r="AJ73" s="53" t="n">
        <f aca="false">AH73+10*LOG10(AB73)</f>
        <v>206.627272974977</v>
      </c>
    </row>
    <row r="74" customFormat="false" ht="12.75" hidden="false" customHeight="false" outlineLevel="0" collapsed="false">
      <c r="A74" s="50" t="n">
        <v>2003</v>
      </c>
      <c r="B74" s="41" t="n">
        <v>3.3</v>
      </c>
      <c r="C74" s="42" t="s">
        <v>139</v>
      </c>
      <c r="D74" s="42" t="s">
        <v>145</v>
      </c>
      <c r="E74" s="42" t="n">
        <v>0.13</v>
      </c>
      <c r="F74" s="44" t="s">
        <v>438</v>
      </c>
      <c r="G74" s="45" t="s">
        <v>439</v>
      </c>
      <c r="H74" s="45" t="s">
        <v>440</v>
      </c>
      <c r="I74" s="44" t="s">
        <v>441</v>
      </c>
      <c r="J74" s="46" t="str">
        <f aca="false">IF(I74&lt;&gt;"?", HYPERLINK(CONCATENATE("https://doi.org/",I74)), "")</f>
        <v>https://doi.org/10.1109/ISSCC.2003.1234206</v>
      </c>
      <c r="K74" s="45" t="s">
        <v>315</v>
      </c>
      <c r="L74" s="41" t="n">
        <v>1.2</v>
      </c>
      <c r="M74" s="41"/>
      <c r="N74" s="41"/>
      <c r="O74" s="34" t="s">
        <v>117</v>
      </c>
      <c r="P74" s="45" t="n">
        <v>0.2</v>
      </c>
      <c r="Q74" s="54"/>
      <c r="R74" s="48" t="n">
        <v>1920000</v>
      </c>
      <c r="S74" s="41" t="n">
        <v>64</v>
      </c>
      <c r="T74" s="41"/>
      <c r="U74" s="41" t="n">
        <v>70</v>
      </c>
      <c r="V74" s="41"/>
      <c r="W74" s="41"/>
      <c r="X74" s="49" t="n">
        <f aca="false">+IF(ISNUMBER($S74),$S74,MIN($V74,$T74,$U74,$W74))</f>
        <v>64</v>
      </c>
      <c r="Y74" s="48" t="n">
        <v>0.0021</v>
      </c>
      <c r="Z74" s="48" t="n">
        <v>38400000</v>
      </c>
      <c r="AA74" s="50" t="n">
        <v>10</v>
      </c>
      <c r="AB74" s="48" t="n">
        <f aca="false">Z74/AA74</f>
        <v>3840000</v>
      </c>
      <c r="AC74" s="48"/>
      <c r="AD74" s="51" t="n">
        <f aca="false">Y74/AB74*1000000000000</f>
        <v>546.875</v>
      </c>
      <c r="AE74" s="49" t="str">
        <f aca="false">IF(ISNUMBER($Q74), $AD74*1000/2^(($Q74-1.76)/6.02), "")</f>
        <v/>
      </c>
      <c r="AF74" s="49" t="n">
        <f aca="false">$AD74*1000/2^(($X74-1.76)/6.02)</f>
        <v>422.258060983316</v>
      </c>
      <c r="AG74" s="31" t="str">
        <f aca="false">IF(ISNUMBER($Q74), $Q74+10*LOG10($AB74/2/$Y74), "")</f>
        <v/>
      </c>
      <c r="AH74" s="31" t="n">
        <f aca="false">$X74+10*LOG10($AB74/2/$Y74)</f>
        <v>153.610819339696</v>
      </c>
      <c r="AI74" s="52" t="n">
        <f aca="false">AF74/AB74</f>
        <v>0.000109963036714405</v>
      </c>
      <c r="AJ74" s="53" t="n">
        <f aca="false">AH74+10*LOG10(AB74)</f>
        <v>219.454131583372</v>
      </c>
    </row>
    <row r="75" customFormat="false" ht="12.75" hidden="false" customHeight="false" outlineLevel="0" collapsed="false">
      <c r="A75" s="50" t="n">
        <v>2003</v>
      </c>
      <c r="B75" s="41" t="n">
        <v>3.4</v>
      </c>
      <c r="C75" s="42" t="s">
        <v>139</v>
      </c>
      <c r="D75" s="42" t="s">
        <v>163</v>
      </c>
      <c r="E75" s="42" t="n">
        <v>0.18</v>
      </c>
      <c r="F75" s="44" t="s">
        <v>442</v>
      </c>
      <c r="G75" s="45" t="s">
        <v>443</v>
      </c>
      <c r="H75" s="45" t="s">
        <v>444</v>
      </c>
      <c r="I75" s="44" t="s">
        <v>445</v>
      </c>
      <c r="J75" s="46" t="str">
        <f aca="false">IF(I75&lt;&gt;"?", HYPERLINK(CONCATENATE("https://doi.org/",I75)), "")</f>
        <v>https://doi.org/10.1109/ISSCC.2003.1234207</v>
      </c>
      <c r="K75" s="45" t="s">
        <v>446</v>
      </c>
      <c r="L75" s="41"/>
      <c r="M75" s="41"/>
      <c r="N75" s="41"/>
      <c r="O75" s="34" t="s">
        <v>117</v>
      </c>
      <c r="P75" s="45" t="n">
        <v>0.55</v>
      </c>
      <c r="Q75" s="54"/>
      <c r="R75" s="48" t="n">
        <v>1230000</v>
      </c>
      <c r="S75" s="41"/>
      <c r="T75" s="41" t="n">
        <v>83</v>
      </c>
      <c r="U75" s="41" t="n">
        <v>83</v>
      </c>
      <c r="V75" s="41"/>
      <c r="W75" s="41"/>
      <c r="X75" s="49" t="n">
        <f aca="false">+IF(ISNUMBER($S75),$S75,MIN($V75,$T75,$U75,$W75))</f>
        <v>83</v>
      </c>
      <c r="Y75" s="48" t="n">
        <v>0.0041</v>
      </c>
      <c r="Z75" s="48" t="n">
        <v>76800000</v>
      </c>
      <c r="AA75" s="50" t="n">
        <v>31.219512195122</v>
      </c>
      <c r="AB75" s="48" t="n">
        <f aca="false">Z75/AA75</f>
        <v>2460000</v>
      </c>
      <c r="AC75" s="48" t="n">
        <v>100000</v>
      </c>
      <c r="AD75" s="51" t="n">
        <f aca="false">Y75/AB75*1000000000000</f>
        <v>1666.66666666667</v>
      </c>
      <c r="AE75" s="49" t="str">
        <f aca="false">IF(ISNUMBER($Q75), $AD75*1000/2^(($Q75-1.76)/6.02), "")</f>
        <v/>
      </c>
      <c r="AF75" s="49" t="n">
        <f aca="false">$AD75*1000/2^(($X75-1.76)/6.02)</f>
        <v>144.359030802904</v>
      </c>
      <c r="AG75" s="31" t="str">
        <f aca="false">IF(ISNUMBER($Q75), $Q75+10*LOG10($AB75/2/$Y75), "")</f>
        <v/>
      </c>
      <c r="AH75" s="31" t="n">
        <f aca="false">$X75+10*LOG10($AB75/2/$Y75)</f>
        <v>167.771212547197</v>
      </c>
      <c r="AI75" s="52" t="n">
        <f aca="false">AF75/AB75</f>
        <v>5.86825328467088E-005</v>
      </c>
      <c r="AJ75" s="53" t="n">
        <f aca="false">AH75+10*LOG10(AB75)</f>
        <v>231.68056361823</v>
      </c>
    </row>
    <row r="76" customFormat="false" ht="12.75" hidden="false" customHeight="false" outlineLevel="0" collapsed="false">
      <c r="A76" s="50" t="n">
        <v>2003</v>
      </c>
      <c r="B76" s="41" t="n">
        <v>3.5</v>
      </c>
      <c r="C76" s="42" t="s">
        <v>139</v>
      </c>
      <c r="D76" s="42" t="s">
        <v>173</v>
      </c>
      <c r="E76" s="42" t="n">
        <v>0.5</v>
      </c>
      <c r="F76" s="44" t="s">
        <v>447</v>
      </c>
      <c r="G76" s="45" t="s">
        <v>448</v>
      </c>
      <c r="H76" s="45" t="s">
        <v>449</v>
      </c>
      <c r="I76" s="44" t="s">
        <v>450</v>
      </c>
      <c r="J76" s="46" t="str">
        <f aca="false">IF(I76&lt;&gt;"?", HYPERLINK(CONCATENATE("https://doi.org/",I76)), "")</f>
        <v>https://doi.org/10.1109/ISSCC.2003.1234208</v>
      </c>
      <c r="K76" s="45" t="s">
        <v>117</v>
      </c>
      <c r="L76" s="41" t="n">
        <v>3.3</v>
      </c>
      <c r="M76" s="41"/>
      <c r="N76" s="41"/>
      <c r="O76" s="34" t="s">
        <v>117</v>
      </c>
      <c r="P76" s="45" t="n">
        <v>5.76</v>
      </c>
      <c r="Q76" s="54"/>
      <c r="R76" s="48" t="n">
        <v>1100000</v>
      </c>
      <c r="S76" s="41" t="n">
        <v>83</v>
      </c>
      <c r="T76" s="41" t="n">
        <v>84</v>
      </c>
      <c r="U76" s="41" t="n">
        <v>88</v>
      </c>
      <c r="V76" s="41"/>
      <c r="W76" s="41"/>
      <c r="X76" s="49" t="n">
        <f aca="false">+IF(ISNUMBER($S76),$S76,MIN($V76,$T76,$U76,$W76))</f>
        <v>83</v>
      </c>
      <c r="Y76" s="48" t="n">
        <v>0.062</v>
      </c>
      <c r="Z76" s="48" t="n">
        <v>35200000</v>
      </c>
      <c r="AA76" s="50" t="n">
        <v>16</v>
      </c>
      <c r="AB76" s="48" t="n">
        <f aca="false">Z76/AA76</f>
        <v>2200000</v>
      </c>
      <c r="AC76" s="48"/>
      <c r="AD76" s="51" t="n">
        <f aca="false">Y76/AB76*1000000000000</f>
        <v>28181.8181818182</v>
      </c>
      <c r="AE76" s="49" t="str">
        <f aca="false">IF(ISNUMBER($Q76), $AD76*1000/2^(($Q76-1.76)/6.02), "")</f>
        <v/>
      </c>
      <c r="AF76" s="49" t="n">
        <f aca="false">$AD76*1000/2^(($X76-1.76)/6.02)</f>
        <v>2440.97997539455</v>
      </c>
      <c r="AG76" s="31" t="str">
        <f aca="false">IF(ISNUMBER($Q76), $Q76+10*LOG10($AB76/2/$Y76), "")</f>
        <v/>
      </c>
      <c r="AH76" s="31" t="n">
        <f aca="false">$X76+10*LOG10($AB76/2/$Y76)</f>
        <v>155.4900099566</v>
      </c>
      <c r="AI76" s="52" t="n">
        <f aca="false">AF76/AB76</f>
        <v>0.00110953635245207</v>
      </c>
      <c r="AJ76" s="53" t="n">
        <f aca="false">AH76+10*LOG10(AB76)</f>
        <v>218.914236764822</v>
      </c>
    </row>
    <row r="77" customFormat="false" ht="12.75" hidden="false" customHeight="false" outlineLevel="0" collapsed="false">
      <c r="A77" s="50" t="n">
        <v>2003</v>
      </c>
      <c r="B77" s="41" t="n">
        <v>3.6</v>
      </c>
      <c r="C77" s="42" t="s">
        <v>139</v>
      </c>
      <c r="D77" s="42" t="s">
        <v>163</v>
      </c>
      <c r="E77" s="42" t="n">
        <v>0.18</v>
      </c>
      <c r="F77" s="44" t="s">
        <v>451</v>
      </c>
      <c r="G77" s="45" t="s">
        <v>452</v>
      </c>
      <c r="H77" s="45" t="s">
        <v>453</v>
      </c>
      <c r="I77" s="44" t="s">
        <v>454</v>
      </c>
      <c r="J77" s="46" t="str">
        <f aca="false">IF(I77&lt;&gt;"?", HYPERLINK(CONCATENATE("https://doi.org/",I77)), "")</f>
        <v>https://doi.org/10.1109/ISSCC.2003.1234209</v>
      </c>
      <c r="K77" s="45" t="s">
        <v>117</v>
      </c>
      <c r="L77" s="41"/>
      <c r="M77" s="41"/>
      <c r="N77" s="41"/>
      <c r="O77" s="34" t="s">
        <v>117</v>
      </c>
      <c r="P77" s="45" t="n">
        <v>0.22</v>
      </c>
      <c r="Q77" s="54"/>
      <c r="R77" s="48" t="n">
        <v>1000000</v>
      </c>
      <c r="S77" s="41" t="n">
        <v>75.5</v>
      </c>
      <c r="T77" s="41"/>
      <c r="U77" s="41" t="n">
        <v>76</v>
      </c>
      <c r="V77" s="41"/>
      <c r="W77" s="41"/>
      <c r="X77" s="49" t="n">
        <f aca="false">+IF(ISNUMBER($S77),$S77,MIN($V77,$T77,$U77,$W77))</f>
        <v>75.5</v>
      </c>
      <c r="Y77" s="48" t="n">
        <v>0.0047</v>
      </c>
      <c r="Z77" s="48" t="n">
        <v>64000000</v>
      </c>
      <c r="AA77" s="50" t="n">
        <v>32</v>
      </c>
      <c r="AB77" s="48" t="n">
        <f aca="false">Z77/AA77</f>
        <v>2000000</v>
      </c>
      <c r="AC77" s="48" t="n">
        <v>500000</v>
      </c>
      <c r="AD77" s="51" t="n">
        <f aca="false">Y77/AB77*1000000000000</f>
        <v>2350</v>
      </c>
      <c r="AE77" s="49" t="str">
        <f aca="false">IF(ISNUMBER($Q77), $AD77*1000/2^(($Q77-1.76)/6.02), "")</f>
        <v/>
      </c>
      <c r="AF77" s="49" t="n">
        <f aca="false">$AD77*1000/2^(($X77-1.76)/6.02)</f>
        <v>482.725721467203</v>
      </c>
      <c r="AG77" s="31" t="str">
        <f aca="false">IF(ISNUMBER($Q77), $Q77+10*LOG10($AB77/2/$Y77), "")</f>
        <v/>
      </c>
      <c r="AH77" s="31" t="n">
        <f aca="false">$X77+10*LOG10($AB77/2/$Y77)</f>
        <v>158.779021420643</v>
      </c>
      <c r="AI77" s="52" t="n">
        <f aca="false">AF77/AB77</f>
        <v>0.000241362860733602</v>
      </c>
      <c r="AJ77" s="53" t="n">
        <f aca="false">AH77+10*LOG10(AB77)</f>
        <v>221.789321377283</v>
      </c>
    </row>
    <row r="78" customFormat="false" ht="12.75" hidden="false" customHeight="false" outlineLevel="0" collapsed="false">
      <c r="A78" s="50" t="n">
        <v>2003</v>
      </c>
      <c r="B78" s="41" t="n">
        <v>3.7</v>
      </c>
      <c r="C78" s="42" t="s">
        <v>139</v>
      </c>
      <c r="D78" s="42" t="s">
        <v>145</v>
      </c>
      <c r="E78" s="42" t="n">
        <v>0.13</v>
      </c>
      <c r="F78" s="44" t="s">
        <v>455</v>
      </c>
      <c r="G78" s="45" t="s">
        <v>456</v>
      </c>
      <c r="H78" s="45" t="s">
        <v>457</v>
      </c>
      <c r="I78" s="44" t="s">
        <v>458</v>
      </c>
      <c r="J78" s="46" t="str">
        <f aca="false">IF(I78&lt;&gt;"?", HYPERLINK(CONCATENATE("https://doi.org/",I78)), "")</f>
        <v>https://doi.org/10.1109/ISSCC.2003.1234210</v>
      </c>
      <c r="K78" s="45" t="s">
        <v>117</v>
      </c>
      <c r="L78" s="41" t="n">
        <v>2.5</v>
      </c>
      <c r="M78" s="41"/>
      <c r="N78" s="41"/>
      <c r="O78" s="34" t="s">
        <v>117</v>
      </c>
      <c r="P78" s="45" t="n">
        <v>2.4</v>
      </c>
      <c r="Q78" s="54"/>
      <c r="R78" s="48" t="n">
        <f aca="false">AB78/2</f>
        <v>20000000</v>
      </c>
      <c r="S78" s="41" t="n">
        <v>50</v>
      </c>
      <c r="T78" s="41"/>
      <c r="U78" s="41" t="n">
        <v>53</v>
      </c>
      <c r="V78" s="41"/>
      <c r="W78" s="41"/>
      <c r="X78" s="49" t="n">
        <f aca="false">+IF(ISNUMBER($S78),$S78,MIN($V78,$T78,$U78,$W78))</f>
        <v>50</v>
      </c>
      <c r="Y78" s="48" t="n">
        <f aca="false">0.106/2</f>
        <v>0.053</v>
      </c>
      <c r="Z78" s="48" t="n">
        <v>160000000</v>
      </c>
      <c r="AA78" s="50" t="n">
        <v>4</v>
      </c>
      <c r="AB78" s="48" t="n">
        <f aca="false">Z78/AA78</f>
        <v>40000000</v>
      </c>
      <c r="AC78" s="48"/>
      <c r="AD78" s="51" t="n">
        <f aca="false">Y78/AB78*1000000000000</f>
        <v>1325</v>
      </c>
      <c r="AE78" s="49" t="str">
        <f aca="false">IF(ISNUMBER($Q78), $AD78*1000/2^(($Q78-1.76)/6.02), "")</f>
        <v/>
      </c>
      <c r="AF78" s="49" t="n">
        <f aca="false">$AD78*1000/2^(($X78-1.76)/6.02)</f>
        <v>5128.32469528591</v>
      </c>
      <c r="AG78" s="31" t="str">
        <f aca="false">IF(ISNUMBER($Q78), $Q78+10*LOG10($AB78/2/$Y78), "")</f>
        <v/>
      </c>
      <c r="AH78" s="31" t="n">
        <f aca="false">$X78+10*LOG10($AB78/2/$Y78)</f>
        <v>135.767541260632</v>
      </c>
      <c r="AI78" s="52" t="n">
        <f aca="false">AF78/AB78</f>
        <v>0.000128208117382148</v>
      </c>
      <c r="AJ78" s="53" t="n">
        <f aca="false">AH78+10*LOG10(AB78)</f>
        <v>211.788141173912</v>
      </c>
    </row>
    <row r="79" customFormat="false" ht="12.75" hidden="false" customHeight="false" outlineLevel="0" collapsed="false">
      <c r="A79" s="50" t="n">
        <v>2003</v>
      </c>
      <c r="B79" s="41" t="n">
        <v>18.1</v>
      </c>
      <c r="C79" s="42" t="s">
        <v>111</v>
      </c>
      <c r="D79" s="42" t="s">
        <v>191</v>
      </c>
      <c r="E79" s="42" t="n">
        <v>0.18</v>
      </c>
      <c r="F79" s="44" t="s">
        <v>459</v>
      </c>
      <c r="G79" s="45" t="s">
        <v>460</v>
      </c>
      <c r="H79" s="45" t="s">
        <v>461</v>
      </c>
      <c r="I79" s="44" t="s">
        <v>462</v>
      </c>
      <c r="J79" s="46" t="str">
        <f aca="false">IF(I79&lt;&gt;"?", HYPERLINK(CONCATENATE("https://doi.org/",I79)), "")</f>
        <v>https://doi.org/10.1109/ISSCC.2003.1234315</v>
      </c>
      <c r="K79" s="45" t="s">
        <v>117</v>
      </c>
      <c r="L79" s="41"/>
      <c r="M79" s="41"/>
      <c r="N79" s="41"/>
      <c r="O79" s="34" t="n">
        <v>4</v>
      </c>
      <c r="P79" s="56" t="n">
        <f aca="false">14*14</f>
        <v>196</v>
      </c>
      <c r="Q79" s="54" t="n">
        <f aca="false">6.5*6.02+1.76</f>
        <v>40.89</v>
      </c>
      <c r="R79" s="48" t="n">
        <v>6000000000</v>
      </c>
      <c r="S79" s="41" t="n">
        <f aca="false">4.6*6.02+1.76</f>
        <v>29.452</v>
      </c>
      <c r="T79" s="41"/>
      <c r="U79" s="41"/>
      <c r="V79" s="41"/>
      <c r="W79" s="41"/>
      <c r="X79" s="49" t="n">
        <f aca="false">+IF(ISNUMBER($S79),$S79,MIN($V79,$T79,$U79,$W79))</f>
        <v>29.452</v>
      </c>
      <c r="Y79" s="48" t="n">
        <v>10</v>
      </c>
      <c r="Z79" s="48" t="n">
        <v>20000000000</v>
      </c>
      <c r="AA79" s="50" t="n">
        <v>1</v>
      </c>
      <c r="AB79" s="48" t="n">
        <f aca="false">Z79/AA79</f>
        <v>20000000000</v>
      </c>
      <c r="AC79" s="48"/>
      <c r="AD79" s="51" t="n">
        <f aca="false">Y79/AB79*1000000000000</f>
        <v>500</v>
      </c>
      <c r="AE79" s="49" t="n">
        <f aca="false">IF(ISNUMBER($Q79), $AD79*1000/2^(($Q79-1.76)/6.02), "")</f>
        <v>5524.2717280199</v>
      </c>
      <c r="AF79" s="49" t="n">
        <f aca="false">$AD79*1000/2^(($X79-1.76)/6.02)</f>
        <v>20617.3111058265</v>
      </c>
      <c r="AG79" s="31" t="n">
        <f aca="false">IF(ISNUMBER($Q79), $Q79+10*LOG10($AB79/2/$Y79), "")</f>
        <v>130.89</v>
      </c>
      <c r="AH79" s="31" t="n">
        <f aca="false">$X79+10*LOG10($AB79/2/$Y79)</f>
        <v>119.452</v>
      </c>
      <c r="AI79" s="52" t="n">
        <f aca="false">AF79/AB79</f>
        <v>1.03086555529132E-006</v>
      </c>
      <c r="AJ79" s="53" t="n">
        <f aca="false">AH79+10*LOG10(AB79)</f>
        <v>222.46229995664</v>
      </c>
    </row>
    <row r="80" customFormat="false" ht="12.75" hidden="false" customHeight="false" outlineLevel="0" collapsed="false">
      <c r="A80" s="50" t="n">
        <v>2003</v>
      </c>
      <c r="B80" s="41" t="n">
        <v>18.3</v>
      </c>
      <c r="C80" s="42" t="s">
        <v>111</v>
      </c>
      <c r="D80" s="42" t="s">
        <v>463</v>
      </c>
      <c r="E80" s="42" t="n">
        <v>0.18</v>
      </c>
      <c r="F80" s="44" t="s">
        <v>464</v>
      </c>
      <c r="G80" s="45" t="s">
        <v>465</v>
      </c>
      <c r="H80" s="45" t="s">
        <v>466</v>
      </c>
      <c r="I80" s="44" t="s">
        <v>467</v>
      </c>
      <c r="J80" s="46" t="str">
        <f aca="false">IF(I80&lt;&gt;"?", HYPERLINK(CONCATENATE("https://doi.org/",I80)), "")</f>
        <v>https://doi.org/10.1109/ISSCC.2003.1234317</v>
      </c>
      <c r="K80" s="45" t="s">
        <v>117</v>
      </c>
      <c r="L80" s="41"/>
      <c r="M80" s="41"/>
      <c r="N80" s="41"/>
      <c r="O80" s="34" t="s">
        <v>117</v>
      </c>
      <c r="P80" s="45" t="n">
        <v>0.5</v>
      </c>
      <c r="Q80" s="54"/>
      <c r="R80" s="48" t="n">
        <v>1000000000</v>
      </c>
      <c r="S80" s="41" t="n">
        <v>30</v>
      </c>
      <c r="T80" s="41"/>
      <c r="U80" s="41"/>
      <c r="V80" s="41"/>
      <c r="W80" s="41" t="n">
        <v>35</v>
      </c>
      <c r="X80" s="49" t="n">
        <f aca="false">+IF(ISNUMBER($S80),$S80,MIN($V80,$T80,$U80,$W80))</f>
        <v>30</v>
      </c>
      <c r="Y80" s="48" t="n">
        <v>0.31</v>
      </c>
      <c r="Z80" s="48" t="n">
        <v>2000000000</v>
      </c>
      <c r="AA80" s="50" t="n">
        <v>1</v>
      </c>
      <c r="AB80" s="48" t="n">
        <f aca="false">Z80/AA80</f>
        <v>2000000000</v>
      </c>
      <c r="AC80" s="48"/>
      <c r="AD80" s="51" t="n">
        <f aca="false">Y80/AB80*1000000000000</f>
        <v>155</v>
      </c>
      <c r="AE80" s="49" t="str">
        <f aca="false">IF(ISNUMBER($Q80), $AD80*1000/2^(($Q80-1.76)/6.02), "")</f>
        <v/>
      </c>
      <c r="AF80" s="49" t="n">
        <f aca="false">$AD80*1000/2^(($X80-1.76)/6.02)</f>
        <v>6000.54901523766</v>
      </c>
      <c r="AG80" s="31" t="str">
        <f aca="false">IF(ISNUMBER($Q80), $Q80+10*LOG10($AB80/2/$Y80), "")</f>
        <v/>
      </c>
      <c r="AH80" s="31" t="n">
        <f aca="false">$X80+10*LOG10($AB80/2/$Y80)</f>
        <v>125.086383061657</v>
      </c>
      <c r="AI80" s="52" t="n">
        <f aca="false">AF80/AB80</f>
        <v>3.00027450761883E-006</v>
      </c>
      <c r="AJ80" s="53" t="n">
        <f aca="false">AH80+10*LOG10(AB80)</f>
        <v>218.096683018297</v>
      </c>
    </row>
    <row r="81" customFormat="false" ht="12.75" hidden="false" customHeight="false" outlineLevel="0" collapsed="false">
      <c r="A81" s="50" t="n">
        <v>2003</v>
      </c>
      <c r="B81" s="41" t="n">
        <v>18.4</v>
      </c>
      <c r="C81" s="42" t="s">
        <v>111</v>
      </c>
      <c r="D81" s="42" t="s">
        <v>133</v>
      </c>
      <c r="E81" s="42" t="n">
        <v>0.18</v>
      </c>
      <c r="F81" s="44" t="s">
        <v>468</v>
      </c>
      <c r="G81" s="45" t="s">
        <v>469</v>
      </c>
      <c r="H81" s="45" t="s">
        <v>470</v>
      </c>
      <c r="I81" s="44" t="s">
        <v>471</v>
      </c>
      <c r="J81" s="46" t="str">
        <f aca="false">IF(I81&lt;&gt;"?", HYPERLINK(CONCATENATE("https://doi.org/",I81)), "")</f>
        <v>https://doi.org/10.1109/ISSCC.2003.1234318</v>
      </c>
      <c r="K81" s="45" t="s">
        <v>117</v>
      </c>
      <c r="L81" s="41"/>
      <c r="M81" s="41"/>
      <c r="N81" s="41"/>
      <c r="O81" s="34" t="s">
        <v>117</v>
      </c>
      <c r="P81" s="45" t="n">
        <v>1.85</v>
      </c>
      <c r="Q81" s="54"/>
      <c r="R81" s="48" t="n">
        <v>40000000</v>
      </c>
      <c r="S81" s="41" t="n">
        <f aca="false">9.38*6.02+1.76</f>
        <v>58.2276</v>
      </c>
      <c r="T81" s="41" t="n">
        <v>58.9</v>
      </c>
      <c r="U81" s="41"/>
      <c r="V81" s="41" t="n">
        <v>68.4</v>
      </c>
      <c r="W81" s="41" t="n">
        <v>70.6</v>
      </c>
      <c r="X81" s="49" t="n">
        <f aca="false">+IF(ISNUMBER($S81),$S81,MIN($V81,$T81,$U81,$W81))</f>
        <v>58.2276</v>
      </c>
      <c r="Y81" s="48" t="n">
        <v>0.069</v>
      </c>
      <c r="Z81" s="48" t="n">
        <v>80000000</v>
      </c>
      <c r="AA81" s="50" t="n">
        <v>1</v>
      </c>
      <c r="AB81" s="48" t="n">
        <f aca="false">Z81/AA81</f>
        <v>80000000</v>
      </c>
      <c r="AC81" s="48"/>
      <c r="AD81" s="51" t="n">
        <f aca="false">Y81/AB81*1000000000000</f>
        <v>862.5</v>
      </c>
      <c r="AE81" s="49" t="str">
        <f aca="false">IF(ISNUMBER($Q81), $AD81*1000/2^(($Q81-1.76)/6.02), "")</f>
        <v/>
      </c>
      <c r="AF81" s="49" t="n">
        <f aca="false">$AD81*1000/2^(($X81-1.76)/6.02)</f>
        <v>1294.48715220792</v>
      </c>
      <c r="AG81" s="31" t="str">
        <f aca="false">IF(ISNUMBER($Q81), $Q81+10*LOG10($AB81/2/$Y81), "")</f>
        <v/>
      </c>
      <c r="AH81" s="31" t="n">
        <f aca="false">$X81+10*LOG10($AB81/2/$Y81)</f>
        <v>145.859709005907</v>
      </c>
      <c r="AI81" s="52" t="n">
        <f aca="false">AF81/AB81</f>
        <v>1.6181089402599E-005</v>
      </c>
      <c r="AJ81" s="53" t="n">
        <f aca="false">AH81+10*LOG10(AB81)</f>
        <v>224.890608875826</v>
      </c>
    </row>
    <row r="82" customFormat="false" ht="12.75" hidden="false" customHeight="false" outlineLevel="0" collapsed="false">
      <c r="A82" s="50" t="n">
        <v>2003</v>
      </c>
      <c r="B82" s="41" t="n">
        <v>18.5</v>
      </c>
      <c r="C82" s="42" t="s">
        <v>111</v>
      </c>
      <c r="D82" s="42" t="s">
        <v>133</v>
      </c>
      <c r="E82" s="42" t="n">
        <v>0.18</v>
      </c>
      <c r="F82" s="44" t="s">
        <v>472</v>
      </c>
      <c r="G82" s="45" t="s">
        <v>473</v>
      </c>
      <c r="H82" s="45" t="s">
        <v>474</v>
      </c>
      <c r="I82" s="44" t="s">
        <v>475</v>
      </c>
      <c r="J82" s="46" t="str">
        <f aca="false">IF(I82&lt;&gt;"?", HYPERLINK(CONCATENATE("https://doi.org/",I82)), "")</f>
        <v>https://doi.org/10.1109/ISSCC.2003.1234319</v>
      </c>
      <c r="K82" s="45" t="s">
        <v>117</v>
      </c>
      <c r="L82" s="41" t="n">
        <v>1.8</v>
      </c>
      <c r="M82" s="41"/>
      <c r="N82" s="41"/>
      <c r="O82" s="34" t="s">
        <v>117</v>
      </c>
      <c r="P82" s="45" t="n">
        <v>2.2</v>
      </c>
      <c r="Q82" s="54"/>
      <c r="R82" s="48" t="n">
        <v>75000000</v>
      </c>
      <c r="S82" s="41" t="n">
        <v>52</v>
      </c>
      <c r="T82" s="41"/>
      <c r="U82" s="41"/>
      <c r="V82" s="41"/>
      <c r="W82" s="41" t="n">
        <v>65</v>
      </c>
      <c r="X82" s="49" t="n">
        <f aca="false">+IF(ISNUMBER($S82),$S82,MIN($V82,$T82,$U82,$W82))</f>
        <v>52</v>
      </c>
      <c r="Y82" s="48" t="n">
        <v>0.123</v>
      </c>
      <c r="Z82" s="48" t="n">
        <v>150000000</v>
      </c>
      <c r="AA82" s="50" t="n">
        <v>1</v>
      </c>
      <c r="AB82" s="48" t="n">
        <f aca="false">Z82/AA82</f>
        <v>150000000</v>
      </c>
      <c r="AC82" s="48"/>
      <c r="AD82" s="51" t="n">
        <f aca="false">Y82/AB82*1000000000000</f>
        <v>820</v>
      </c>
      <c r="AE82" s="49" t="str">
        <f aca="false">IF(ISNUMBER($Q82), $AD82*1000/2^(($Q82-1.76)/6.02), "")</f>
        <v/>
      </c>
      <c r="AF82" s="49" t="n">
        <f aca="false">$AD82*1000/2^(($X82-1.76)/6.02)</f>
        <v>2520.94588485533</v>
      </c>
      <c r="AG82" s="31" t="str">
        <f aca="false">IF(ISNUMBER($Q82), $Q82+10*LOG10($AB82/2/$Y82), "")</f>
        <v/>
      </c>
      <c r="AH82" s="31" t="n">
        <f aca="false">$X82+10*LOG10($AB82/2/$Y82)</f>
        <v>139.851561519523</v>
      </c>
      <c r="AI82" s="52" t="n">
        <f aca="false">AF82/AB82</f>
        <v>1.68063058990355E-005</v>
      </c>
      <c r="AJ82" s="53" t="n">
        <f aca="false">AH82+10*LOG10(AB82)</f>
        <v>221.61247411008</v>
      </c>
    </row>
    <row r="83" customFormat="false" ht="12.75" hidden="false" customHeight="false" outlineLevel="0" collapsed="false">
      <c r="A83" s="50" t="n">
        <v>2003</v>
      </c>
      <c r="B83" s="41" t="n">
        <v>18.6</v>
      </c>
      <c r="C83" s="42" t="s">
        <v>111</v>
      </c>
      <c r="D83" s="42" t="s">
        <v>133</v>
      </c>
      <c r="E83" s="42" t="n">
        <v>0.35</v>
      </c>
      <c r="F83" s="44" t="s">
        <v>476</v>
      </c>
      <c r="G83" s="45" t="s">
        <v>477</v>
      </c>
      <c r="H83" s="45" t="s">
        <v>478</v>
      </c>
      <c r="I83" s="44" t="s">
        <v>479</v>
      </c>
      <c r="J83" s="46" t="str">
        <f aca="false">IF(I83&lt;&gt;"?", HYPERLINK(CONCATENATE("https://doi.org/",I83)), "")</f>
        <v>https://doi.org/10.1109/ISSCC.2003.1234320</v>
      </c>
      <c r="K83" s="45" t="s">
        <v>117</v>
      </c>
      <c r="L83" s="41"/>
      <c r="M83" s="41"/>
      <c r="N83" s="41"/>
      <c r="O83" s="34" t="s">
        <v>117</v>
      </c>
      <c r="P83" s="45" t="n">
        <v>7.9</v>
      </c>
      <c r="Q83" s="54"/>
      <c r="R83" s="48" t="n">
        <v>37500000</v>
      </c>
      <c r="S83" s="41" t="n">
        <v>67</v>
      </c>
      <c r="T83" s="41"/>
      <c r="U83" s="41"/>
      <c r="V83" s="41"/>
      <c r="W83" s="41" t="n">
        <v>76</v>
      </c>
      <c r="X83" s="49" t="n">
        <f aca="false">+IF(ISNUMBER($S83),$S83,MIN($V83,$T83,$U83,$W83))</f>
        <v>67</v>
      </c>
      <c r="Y83" s="48" t="n">
        <v>0.29</v>
      </c>
      <c r="Z83" s="48" t="n">
        <v>75000000</v>
      </c>
      <c r="AA83" s="50" t="n">
        <v>1</v>
      </c>
      <c r="AB83" s="48" t="n">
        <f aca="false">Z83/AA83</f>
        <v>75000000</v>
      </c>
      <c r="AC83" s="48"/>
      <c r="AD83" s="51" t="n">
        <f aca="false">Y83/AB83*1000000000000</f>
        <v>3866.66666666667</v>
      </c>
      <c r="AE83" s="49" t="str">
        <f aca="false">IF(ISNUMBER($Q83), $AD83*1000/2^(($Q83-1.76)/6.02), "")</f>
        <v/>
      </c>
      <c r="AF83" s="49" t="n">
        <f aca="false">$AD83*1000/2^(($X83-1.76)/6.02)</f>
        <v>2113.54580924922</v>
      </c>
      <c r="AG83" s="31" t="str">
        <f aca="false">IF(ISNUMBER($Q83), $Q83+10*LOG10($AB83/2/$Y83), "")</f>
        <v/>
      </c>
      <c r="AH83" s="31" t="n">
        <f aca="false">$X83+10*LOG10($AB83/2/$Y83)</f>
        <v>148.116332698288</v>
      </c>
      <c r="AI83" s="52" t="n">
        <f aca="false">AF83/AB83</f>
        <v>2.81806107899896E-005</v>
      </c>
      <c r="AJ83" s="53" t="n">
        <f aca="false">AH83+10*LOG10(AB83)</f>
        <v>226.866945332205</v>
      </c>
    </row>
    <row r="84" customFormat="false" ht="12.75" hidden="false" customHeight="false" outlineLevel="0" collapsed="false">
      <c r="A84" s="50" t="n">
        <v>2003</v>
      </c>
      <c r="B84" s="41" t="n">
        <v>18.7</v>
      </c>
      <c r="C84" s="42" t="s">
        <v>111</v>
      </c>
      <c r="D84" s="42" t="s">
        <v>133</v>
      </c>
      <c r="E84" s="42" t="s">
        <v>209</v>
      </c>
      <c r="F84" s="44" t="s">
        <v>480</v>
      </c>
      <c r="G84" s="45" t="s">
        <v>481</v>
      </c>
      <c r="H84" s="45" t="s">
        <v>482</v>
      </c>
      <c r="I84" s="44" t="s">
        <v>483</v>
      </c>
      <c r="J84" s="46" t="str">
        <f aca="false">IF(I84&lt;&gt;"?", HYPERLINK(CONCATENATE("https://doi.org/",I84)), "")</f>
        <v>https://doi.org/10.1109/ISSCC.2003.1234321</v>
      </c>
      <c r="K84" s="45" t="s">
        <v>117</v>
      </c>
      <c r="L84" s="41"/>
      <c r="M84" s="41"/>
      <c r="N84" s="41"/>
      <c r="O84" s="34" t="s">
        <v>117</v>
      </c>
      <c r="P84" s="45" t="n">
        <v>25</v>
      </c>
      <c r="Q84" s="54"/>
      <c r="R84" s="48" t="n">
        <v>35000000</v>
      </c>
      <c r="S84" s="41" t="n">
        <f aca="false">11.8*6.02+1.76</f>
        <v>72.796</v>
      </c>
      <c r="T84" s="41"/>
      <c r="U84" s="41"/>
      <c r="V84" s="41"/>
      <c r="W84" s="41" t="n">
        <v>81</v>
      </c>
      <c r="X84" s="49" t="n">
        <f aca="false">+IF(ISNUMBER($S84),$S84,MIN($V84,$T84,$U84,$W84))</f>
        <v>72.796</v>
      </c>
      <c r="Y84" s="48" t="n">
        <v>1</v>
      </c>
      <c r="Z84" s="48" t="n">
        <v>70000000</v>
      </c>
      <c r="AA84" s="50" t="n">
        <v>1</v>
      </c>
      <c r="AB84" s="48" t="n">
        <f aca="false">Z84/AA84</f>
        <v>70000000</v>
      </c>
      <c r="AC84" s="48"/>
      <c r="AD84" s="51" t="n">
        <f aca="false">Y84/AB84*1000000000000</f>
        <v>14285.7142857143</v>
      </c>
      <c r="AE84" s="49" t="str">
        <f aca="false">IF(ISNUMBER($Q84), $AD84*1000/2^(($Q84-1.76)/6.02), "")</f>
        <v/>
      </c>
      <c r="AF84" s="49" t="n">
        <f aca="false">$AD84*1000/2^(($X84-1.76)/6.02)</f>
        <v>4006.34191893497</v>
      </c>
      <c r="AG84" s="31" t="str">
        <f aca="false">IF(ISNUMBER($Q84), $Q84+10*LOG10($AB84/2/$Y84), "")</f>
        <v/>
      </c>
      <c r="AH84" s="31" t="n">
        <f aca="false">$X84+10*LOG10($AB84/2/$Y84)</f>
        <v>148.236680443503</v>
      </c>
      <c r="AI84" s="52" t="n">
        <f aca="false">AF84/AB84</f>
        <v>5.72334559847853E-005</v>
      </c>
      <c r="AJ84" s="53" t="n">
        <f aca="false">AH84+10*LOG10(AB84)</f>
        <v>226.687660843645</v>
      </c>
    </row>
    <row r="85" customFormat="false" ht="12.75" hidden="false" customHeight="false" outlineLevel="0" collapsed="false">
      <c r="A85" s="50" t="n">
        <v>2003</v>
      </c>
      <c r="B85" s="41" t="n">
        <v>23.6</v>
      </c>
      <c r="C85" s="42" t="s">
        <v>139</v>
      </c>
      <c r="D85" s="42" t="s">
        <v>173</v>
      </c>
      <c r="E85" s="42" t="n">
        <v>0.25</v>
      </c>
      <c r="F85" s="44" t="s">
        <v>484</v>
      </c>
      <c r="G85" s="45" t="s">
        <v>485</v>
      </c>
      <c r="H85" s="45" t="s">
        <v>486</v>
      </c>
      <c r="I85" s="44" t="s">
        <v>487</v>
      </c>
      <c r="J85" s="46" t="str">
        <f aca="false">IF(I85&lt;&gt;"?", HYPERLINK(CONCATENATE("https://doi.org/",I85)), "")</f>
        <v>https://doi.org/10.1109/ISSCC.2003.1234364</v>
      </c>
      <c r="K85" s="45" t="s">
        <v>117</v>
      </c>
      <c r="L85" s="41"/>
      <c r="M85" s="41"/>
      <c r="N85" s="41"/>
      <c r="O85" s="34" t="s">
        <v>117</v>
      </c>
      <c r="P85" s="45" t="n">
        <v>31</v>
      </c>
      <c r="Q85" s="54"/>
      <c r="R85" s="48" t="n">
        <v>12000000</v>
      </c>
      <c r="S85" s="41"/>
      <c r="T85" s="41" t="n">
        <v>79</v>
      </c>
      <c r="U85" s="41"/>
      <c r="V85" s="41"/>
      <c r="W85" s="41"/>
      <c r="X85" s="49" t="n">
        <f aca="false">+IF(ISNUMBER($S85),$S85,MIN($V85,$T85,$U85,$W85))</f>
        <v>79</v>
      </c>
      <c r="Y85" s="48" t="n">
        <v>0.075</v>
      </c>
      <c r="Z85" s="48" t="n">
        <v>240000000</v>
      </c>
      <c r="AA85" s="50" t="n">
        <v>10</v>
      </c>
      <c r="AB85" s="48" t="n">
        <f aca="false">Z85/AA85</f>
        <v>24000000</v>
      </c>
      <c r="AC85" s="48"/>
      <c r="AD85" s="51" t="n">
        <f aca="false">Y85/AB85*1000000000000</f>
        <v>3125</v>
      </c>
      <c r="AE85" s="49" t="str">
        <f aca="false">IF(ISNUMBER($Q85), $AD85*1000/2^(($Q85-1.76)/6.02), "")</f>
        <v/>
      </c>
      <c r="AF85" s="49" t="n">
        <f aca="false">$AD85*1000/2^(($X85-1.76)/6.02)</f>
        <v>429.007772334815</v>
      </c>
      <c r="AG85" s="31" t="str">
        <f aca="false">IF(ISNUMBER($Q85), $Q85+10*LOG10($AB85/2/$Y85), "")</f>
        <v/>
      </c>
      <c r="AH85" s="31" t="n">
        <f aca="false">$X85+10*LOG10($AB85/2/$Y85)</f>
        <v>161.041199826559</v>
      </c>
      <c r="AI85" s="52" t="n">
        <f aca="false">AF85/AB85</f>
        <v>1.78753238472839E-005</v>
      </c>
      <c r="AJ85" s="53" t="n">
        <f aca="false">AH85+10*LOG10(AB85)</f>
        <v>234.843312243675</v>
      </c>
    </row>
    <row r="86" customFormat="false" ht="12.75" hidden="false" customHeight="false" outlineLevel="0" collapsed="false">
      <c r="A86" s="40" t="n">
        <v>2004</v>
      </c>
      <c r="B86" s="41" t="n">
        <v>4.1</v>
      </c>
      <c r="C86" s="42" t="s">
        <v>139</v>
      </c>
      <c r="D86" s="42" t="s">
        <v>173</v>
      </c>
      <c r="E86" s="42" t="n">
        <v>0.18</v>
      </c>
      <c r="F86" s="44" t="s">
        <v>488</v>
      </c>
      <c r="G86" s="45" t="s">
        <v>489</v>
      </c>
      <c r="H86" s="45" t="s">
        <v>490</v>
      </c>
      <c r="I86" s="44" t="s">
        <v>491</v>
      </c>
      <c r="J86" s="46" t="str">
        <f aca="false">IF(I86&lt;&gt;"?", HYPERLINK(CONCATENATE("https://doi.org/",I86)), "")</f>
        <v>https://doi.org/10.1109/ISSCC.2004.1332599</v>
      </c>
      <c r="K86" s="45" t="s">
        <v>117</v>
      </c>
      <c r="L86" s="41" t="n">
        <v>1.8</v>
      </c>
      <c r="M86" s="41"/>
      <c r="N86" s="41"/>
      <c r="O86" s="34" t="s">
        <v>117</v>
      </c>
      <c r="P86" s="45" t="n">
        <v>1.7</v>
      </c>
      <c r="Q86" s="54"/>
      <c r="R86" s="48" t="n">
        <v>10000000</v>
      </c>
      <c r="S86" s="41"/>
      <c r="T86" s="41" t="n">
        <v>63</v>
      </c>
      <c r="U86" s="41" t="n">
        <v>67</v>
      </c>
      <c r="V86" s="41"/>
      <c r="W86" s="41"/>
      <c r="X86" s="49" t="n">
        <f aca="false">+IF(ISNUMBER($S86),$S86,MIN($V86,$T86,$U86,$W86))</f>
        <v>63</v>
      </c>
      <c r="Y86" s="48" t="n">
        <f aca="false">0.068*1.8</f>
        <v>0.1224</v>
      </c>
      <c r="Z86" s="48" t="n">
        <v>160000000</v>
      </c>
      <c r="AA86" s="50" t="n">
        <v>8</v>
      </c>
      <c r="AB86" s="48" t="n">
        <f aca="false">Z86/AA86</f>
        <v>20000000</v>
      </c>
      <c r="AC86" s="48"/>
      <c r="AD86" s="51" t="n">
        <f aca="false">Y86/AB86*1000000000000</f>
        <v>6120</v>
      </c>
      <c r="AE86" s="49" t="str">
        <f aca="false">IF(ISNUMBER($Q86), $AD86*1000/2^(($Q86-1.76)/6.02), "")</f>
        <v/>
      </c>
      <c r="AF86" s="49" t="n">
        <f aca="false">$AD86*1000/2^(($X86-1.76)/6.02)</f>
        <v>5302.08008872313</v>
      </c>
      <c r="AG86" s="31" t="str">
        <f aca="false">IF(ISNUMBER($Q86), $Q86+10*LOG10($AB86/2/$Y86), "")</f>
        <v/>
      </c>
      <c r="AH86" s="31" t="n">
        <f aca="false">$X86+10*LOG10($AB86/2/$Y86)</f>
        <v>142.122185821905</v>
      </c>
      <c r="AI86" s="52" t="n">
        <f aca="false">AF86/AB86</f>
        <v>0.000265104004436157</v>
      </c>
      <c r="AJ86" s="53" t="n">
        <f aca="false">AH86+10*LOG10(AB86)</f>
        <v>215.132485778544</v>
      </c>
    </row>
    <row r="87" customFormat="false" ht="12.75" hidden="false" customHeight="false" outlineLevel="0" collapsed="false">
      <c r="A87" s="50" t="n">
        <v>2004</v>
      </c>
      <c r="B87" s="41" t="n">
        <v>4.2</v>
      </c>
      <c r="C87" s="42" t="s">
        <v>139</v>
      </c>
      <c r="D87" s="42" t="s">
        <v>145</v>
      </c>
      <c r="E87" s="42" t="n">
        <v>0.18</v>
      </c>
      <c r="F87" s="44" t="s">
        <v>492</v>
      </c>
      <c r="G87" s="45" t="s">
        <v>493</v>
      </c>
      <c r="H87" s="45" t="s">
        <v>494</v>
      </c>
      <c r="I87" s="44" t="s">
        <v>495</v>
      </c>
      <c r="J87" s="46" t="str">
        <f aca="false">IF(I87&lt;&gt;"?", HYPERLINK(CONCATENATE("https://doi.org/",I87)), "")</f>
        <v>https://doi.org/10.1109/ISSCC.2004.1332600</v>
      </c>
      <c r="K87" s="45" t="s">
        <v>117</v>
      </c>
      <c r="L87" s="41" t="n">
        <v>1.8</v>
      </c>
      <c r="M87" s="41"/>
      <c r="N87" s="41"/>
      <c r="O87" s="34" t="s">
        <v>117</v>
      </c>
      <c r="P87" s="45" t="n">
        <v>0.95</v>
      </c>
      <c r="Q87" s="54"/>
      <c r="R87" s="48" t="n">
        <v>12500000</v>
      </c>
      <c r="S87" s="41" t="n">
        <v>72</v>
      </c>
      <c r="T87" s="41" t="n">
        <v>82</v>
      </c>
      <c r="U87" s="41" t="n">
        <v>84</v>
      </c>
      <c r="V87" s="41"/>
      <c r="W87" s="41"/>
      <c r="X87" s="49" t="n">
        <f aca="false">+IF(ISNUMBER($S87),$S87,MIN($V87,$T87,$U87,$W87))</f>
        <v>72</v>
      </c>
      <c r="Y87" s="48" t="n">
        <v>0.2</v>
      </c>
      <c r="Z87" s="48" t="n">
        <v>200000000</v>
      </c>
      <c r="AA87" s="50" t="n">
        <v>8</v>
      </c>
      <c r="AB87" s="48" t="n">
        <f aca="false">Z87/AA87</f>
        <v>25000000</v>
      </c>
      <c r="AC87" s="48"/>
      <c r="AD87" s="51" t="n">
        <f aca="false">Y87/AB87*1000000000000</f>
        <v>8000</v>
      </c>
      <c r="AE87" s="49" t="str">
        <f aca="false">IF(ISNUMBER($Q87), $AD87*1000/2^(($Q87-1.76)/6.02), "")</f>
        <v/>
      </c>
      <c r="AF87" s="49" t="n">
        <f aca="false">$AD87*1000/2^(($X87-1.76)/6.02)</f>
        <v>2458.89511615932</v>
      </c>
      <c r="AG87" s="31" t="str">
        <f aca="false">IF(ISNUMBER($Q87), $Q87+10*LOG10($AB87/2/$Y87), "")</f>
        <v/>
      </c>
      <c r="AH87" s="31" t="n">
        <f aca="false">$X87+10*LOG10($AB87/2/$Y87)</f>
        <v>149.958800173441</v>
      </c>
      <c r="AI87" s="52" t="n">
        <f aca="false">AF87/AB87</f>
        <v>9.83558046463729E-005</v>
      </c>
      <c r="AJ87" s="53" t="n">
        <f aca="false">AH87+10*LOG10(AB87)</f>
        <v>223.938200260161</v>
      </c>
    </row>
    <row r="88" customFormat="false" ht="12.75" hidden="false" customHeight="false" outlineLevel="0" collapsed="false">
      <c r="A88" s="50" t="n">
        <v>2004</v>
      </c>
      <c r="B88" s="41" t="n">
        <v>4.3</v>
      </c>
      <c r="C88" s="42" t="s">
        <v>139</v>
      </c>
      <c r="D88" s="42" t="s">
        <v>145</v>
      </c>
      <c r="E88" s="42" t="n">
        <v>0.18</v>
      </c>
      <c r="F88" s="44" t="s">
        <v>496</v>
      </c>
      <c r="G88" s="45" t="s">
        <v>497</v>
      </c>
      <c r="H88" s="45" t="s">
        <v>498</v>
      </c>
      <c r="I88" s="44" t="s">
        <v>499</v>
      </c>
      <c r="J88" s="46" t="str">
        <f aca="false">IF(I88&lt;&gt;"?", HYPERLINK(CONCATENATE("https://doi.org/",I88)), "")</f>
        <v>https://doi.org/10.1109/ISSCC.2004.1332601</v>
      </c>
      <c r="K88" s="45" t="s">
        <v>117</v>
      </c>
      <c r="L88" s="41"/>
      <c r="M88" s="41"/>
      <c r="N88" s="41"/>
      <c r="O88" s="34" t="s">
        <v>117</v>
      </c>
      <c r="P88" s="45" t="n">
        <v>0.2</v>
      </c>
      <c r="Q88" s="54"/>
      <c r="R88" s="48" t="n">
        <v>1100000</v>
      </c>
      <c r="S88" s="41" t="n">
        <f aca="false">12.5*6.02+1.76</f>
        <v>77.01</v>
      </c>
      <c r="T88" s="41" t="n">
        <v>77.3</v>
      </c>
      <c r="U88" s="41"/>
      <c r="V88" s="41"/>
      <c r="W88" s="41"/>
      <c r="X88" s="49" t="n">
        <f aca="false">+IF(ISNUMBER($S88),$S88,MIN($V88,$T88,$U88,$W88))</f>
        <v>77.01</v>
      </c>
      <c r="Y88" s="48" t="n">
        <v>0.006</v>
      </c>
      <c r="Z88" s="48" t="n">
        <v>281600000</v>
      </c>
      <c r="AA88" s="50" t="n">
        <v>128</v>
      </c>
      <c r="AB88" s="48" t="n">
        <f aca="false">Z88/AA88</f>
        <v>2200000</v>
      </c>
      <c r="AC88" s="48"/>
      <c r="AD88" s="51" t="n">
        <f aca="false">Y88/AB88*1000000000000</f>
        <v>2727.27272727273</v>
      </c>
      <c r="AE88" s="49" t="str">
        <f aca="false">IF(ISNUMBER($Q88), $AD88*1000/2^(($Q88-1.76)/6.02), "")</f>
        <v/>
      </c>
      <c r="AF88" s="49" t="n">
        <f aca="false">$AD88*1000/2^(($X88-1.76)/6.02)</f>
        <v>470.818613183515</v>
      </c>
      <c r="AG88" s="31" t="str">
        <f aca="false">IF(ISNUMBER($Q88), $Q88+10*LOG10($AB88/2/$Y88), "")</f>
        <v/>
      </c>
      <c r="AH88" s="31" t="n">
        <f aca="false">$X88+10*LOG10($AB88/2/$Y88)</f>
        <v>159.642414347746</v>
      </c>
      <c r="AI88" s="52" t="n">
        <f aca="false">AF88/AB88</f>
        <v>0.000214008460537961</v>
      </c>
      <c r="AJ88" s="53" t="n">
        <f aca="false">AH88+10*LOG10(AB88)</f>
        <v>223.066641155968</v>
      </c>
    </row>
    <row r="89" customFormat="false" ht="12.75" hidden="false" customHeight="false" outlineLevel="0" collapsed="false">
      <c r="A89" s="50" t="n">
        <v>2004</v>
      </c>
      <c r="B89" s="41" t="n">
        <v>4.4</v>
      </c>
      <c r="C89" s="42" t="s">
        <v>139</v>
      </c>
      <c r="D89" s="42" t="s">
        <v>173</v>
      </c>
      <c r="E89" s="42" t="n">
        <v>0.13</v>
      </c>
      <c r="F89" s="44" t="s">
        <v>500</v>
      </c>
      <c r="G89" s="45" t="s">
        <v>501</v>
      </c>
      <c r="H89" s="45" t="s">
        <v>502</v>
      </c>
      <c r="I89" s="44" t="s">
        <v>503</v>
      </c>
      <c r="J89" s="46" t="str">
        <f aca="false">IF(I89&lt;&gt;"?", HYPERLINK(CONCATENATE("https://doi.org/",I89)), "")</f>
        <v>https://doi.org/10.1109/ISSCC.2004.1332602</v>
      </c>
      <c r="K89" s="45" t="s">
        <v>117</v>
      </c>
      <c r="L89" s="41"/>
      <c r="M89" s="41"/>
      <c r="N89" s="41"/>
      <c r="O89" s="34" t="s">
        <v>117</v>
      </c>
      <c r="P89" s="45" t="n">
        <v>0.12</v>
      </c>
      <c r="Q89" s="54"/>
      <c r="R89" s="48" t="n">
        <v>1920000</v>
      </c>
      <c r="S89" s="41" t="n">
        <v>50.9</v>
      </c>
      <c r="T89" s="41" t="n">
        <v>53.2</v>
      </c>
      <c r="U89" s="41" t="n">
        <v>54</v>
      </c>
      <c r="V89" s="41"/>
      <c r="W89" s="41"/>
      <c r="X89" s="49" t="n">
        <f aca="false">+IF(ISNUMBER($S89),$S89,MIN($V89,$T89,$U89,$W89))</f>
        <v>50.9</v>
      </c>
      <c r="Y89" s="48" t="n">
        <f aca="false">0.0015*0.9</f>
        <v>0.00135</v>
      </c>
      <c r="Z89" s="48" t="n">
        <v>61440000</v>
      </c>
      <c r="AA89" s="50" t="n">
        <v>16</v>
      </c>
      <c r="AB89" s="48" t="n">
        <f aca="false">Z89/AA89</f>
        <v>3840000</v>
      </c>
      <c r="AC89" s="48"/>
      <c r="AD89" s="51" t="n">
        <f aca="false">Y89/AB89*1000000000000</f>
        <v>351.5625</v>
      </c>
      <c r="AE89" s="49" t="str">
        <f aca="false">IF(ISNUMBER($Q89), $AD89*1000/2^(($Q89-1.76)/6.02), "")</f>
        <v/>
      </c>
      <c r="AF89" s="49" t="n">
        <f aca="false">$AD89*1000/2^(($X89-1.76)/6.02)</f>
        <v>1226.75460185579</v>
      </c>
      <c r="AG89" s="31" t="str">
        <f aca="false">IF(ISNUMBER($Q89), $Q89+10*LOG10($AB89/2/$Y89), "")</f>
        <v/>
      </c>
      <c r="AH89" s="31" t="n">
        <f aca="false">$X89+10*LOG10($AB89/2/$Y89)</f>
        <v>142.429674602085</v>
      </c>
      <c r="AI89" s="52" t="n">
        <f aca="false">AF89/AB89</f>
        <v>0.000319467344233277</v>
      </c>
      <c r="AJ89" s="53" t="n">
        <f aca="false">AH89+10*LOG10(AB89)</f>
        <v>208.272986845761</v>
      </c>
    </row>
    <row r="90" customFormat="false" ht="12.75" hidden="false" customHeight="false" outlineLevel="0" collapsed="false">
      <c r="A90" s="50" t="n">
        <v>2004</v>
      </c>
      <c r="B90" s="41" t="n">
        <v>4.5</v>
      </c>
      <c r="C90" s="42" t="s">
        <v>139</v>
      </c>
      <c r="D90" s="42" t="s">
        <v>145</v>
      </c>
      <c r="E90" s="42" t="n">
        <v>0.09</v>
      </c>
      <c r="F90" s="59" t="s">
        <v>504</v>
      </c>
      <c r="G90" s="45" t="s">
        <v>505</v>
      </c>
      <c r="H90" s="45" t="s">
        <v>506</v>
      </c>
      <c r="I90" s="44" t="s">
        <v>507</v>
      </c>
      <c r="J90" s="46" t="str">
        <f aca="false">IF(I90&lt;&gt;"?", HYPERLINK(CONCATENATE("https://doi.org/",I90)), "")</f>
        <v>https://doi.org/10.1109/ISSCC.2004.1332603</v>
      </c>
      <c r="K90" s="45" t="s">
        <v>117</v>
      </c>
      <c r="L90" s="41" t="n">
        <v>1</v>
      </c>
      <c r="M90" s="41"/>
      <c r="N90" s="41"/>
      <c r="O90" s="34" t="s">
        <v>117</v>
      </c>
      <c r="P90" s="45" t="n">
        <v>0.18</v>
      </c>
      <c r="Q90" s="54"/>
      <c r="R90" s="48" t="n">
        <v>20000</v>
      </c>
      <c r="S90" s="41" t="n">
        <v>81</v>
      </c>
      <c r="T90" s="41" t="n">
        <v>85</v>
      </c>
      <c r="U90" s="41" t="n">
        <v>88</v>
      </c>
      <c r="V90" s="41"/>
      <c r="W90" s="41"/>
      <c r="X90" s="49" t="n">
        <f aca="false">+IF(ISNUMBER($S90),$S90,MIN($V90,$T90,$U90,$W90))</f>
        <v>81</v>
      </c>
      <c r="Y90" s="48" t="n">
        <v>0.00014</v>
      </c>
      <c r="Z90" s="48" t="n">
        <v>4000000</v>
      </c>
      <c r="AA90" s="50" t="n">
        <v>100</v>
      </c>
      <c r="AB90" s="48" t="n">
        <f aca="false">Z90/AA90</f>
        <v>40000</v>
      </c>
      <c r="AC90" s="48"/>
      <c r="AD90" s="51" t="n">
        <f aca="false">Y90/AB90*1000000000000</f>
        <v>3500</v>
      </c>
      <c r="AE90" s="49" t="str">
        <f aca="false">IF(ISNUMBER($Q90), $AD90*1000/2^(($Q90-1.76)/6.02), "")</f>
        <v/>
      </c>
      <c r="AF90" s="49" t="n">
        <f aca="false">$AD90*1000/2^(($X90-1.76)/6.02)</f>
        <v>381.656987244022</v>
      </c>
      <c r="AG90" s="31" t="str">
        <f aca="false">IF(ISNUMBER($Q90), $Q90+10*LOG10($AB90/2/$Y90), "")</f>
        <v/>
      </c>
      <c r="AH90" s="31" t="n">
        <f aca="false">$X90+10*LOG10($AB90/2/$Y90)</f>
        <v>162.549019599857</v>
      </c>
      <c r="AI90" s="52" t="n">
        <f aca="false">AF90/AB90</f>
        <v>0.00954142468110055</v>
      </c>
      <c r="AJ90" s="53" t="n">
        <f aca="false">AH90+10*LOG10(AB90)</f>
        <v>208.569619513137</v>
      </c>
    </row>
    <row r="91" customFormat="false" ht="12.75" hidden="false" customHeight="false" outlineLevel="0" collapsed="false">
      <c r="A91" s="50" t="n">
        <v>2004</v>
      </c>
      <c r="B91" s="41" t="n">
        <v>4.6</v>
      </c>
      <c r="C91" s="42" t="s">
        <v>139</v>
      </c>
      <c r="D91" s="42" t="s">
        <v>145</v>
      </c>
      <c r="E91" s="42" t="n">
        <v>0.13</v>
      </c>
      <c r="F91" s="59" t="s">
        <v>508</v>
      </c>
      <c r="G91" s="45" t="s">
        <v>509</v>
      </c>
      <c r="H91" s="45" t="s">
        <v>510</v>
      </c>
      <c r="I91" s="44" t="s">
        <v>511</v>
      </c>
      <c r="J91" s="46" t="str">
        <f aca="false">IF(I91&lt;&gt;"?", HYPERLINK(CONCATENATE("https://doi.org/",I91)), "")</f>
        <v>https://doi.org/10.1109/ISSCC.2004.1332604</v>
      </c>
      <c r="K91" s="45" t="s">
        <v>512</v>
      </c>
      <c r="L91" s="41" t="n">
        <v>1.5</v>
      </c>
      <c r="M91" s="41"/>
      <c r="N91" s="41"/>
      <c r="O91" s="34" t="s">
        <v>117</v>
      </c>
      <c r="P91" s="56" t="n">
        <v>0</v>
      </c>
      <c r="Q91" s="54"/>
      <c r="R91" s="48" t="n">
        <v>1100000</v>
      </c>
      <c r="S91" s="41" t="n">
        <v>76</v>
      </c>
      <c r="T91" s="41" t="n">
        <v>78</v>
      </c>
      <c r="U91" s="41" t="n">
        <v>82</v>
      </c>
      <c r="V91" s="41"/>
      <c r="W91" s="41"/>
      <c r="X91" s="49" t="n">
        <f aca="false">+IF(ISNUMBER($S91),$S91,MIN($V91,$T91,$U91,$W91))</f>
        <v>76</v>
      </c>
      <c r="Y91" s="48" t="n">
        <v>0.015</v>
      </c>
      <c r="Z91" s="48" t="n">
        <v>105000000</v>
      </c>
      <c r="AA91" s="50" t="n">
        <v>47.7272727272727</v>
      </c>
      <c r="AB91" s="48" t="n">
        <f aca="false">Z91/AA91</f>
        <v>2200000</v>
      </c>
      <c r="AC91" s="48"/>
      <c r="AD91" s="51" t="n">
        <f aca="false">Y91/AB91*1000000000000</f>
        <v>6818.18181818182</v>
      </c>
      <c r="AE91" s="49" t="str">
        <f aca="false">IF(ISNUMBER($Q91), $AD91*1000/2^(($Q91-1.76)/6.02), "")</f>
        <v/>
      </c>
      <c r="AF91" s="49" t="n">
        <f aca="false">$AD91*1000/2^(($X91-1.76)/6.02)</f>
        <v>1322.20460357504</v>
      </c>
      <c r="AG91" s="31" t="str">
        <f aca="false">IF(ISNUMBER($Q91), $Q91+10*LOG10($AB91/2/$Y91), "")</f>
        <v/>
      </c>
      <c r="AH91" s="31" t="n">
        <f aca="false">$X91+10*LOG10($AB91/2/$Y91)</f>
        <v>154.653014261025</v>
      </c>
      <c r="AI91" s="52" t="n">
        <f aca="false">AF91/AB91</f>
        <v>0.000601002092534108</v>
      </c>
      <c r="AJ91" s="53" t="n">
        <f aca="false">AH91+10*LOG10(AB91)</f>
        <v>218.077241069248</v>
      </c>
    </row>
    <row r="92" customFormat="false" ht="12.75" hidden="false" customHeight="false" outlineLevel="0" collapsed="false">
      <c r="A92" s="50" t="n">
        <v>2004</v>
      </c>
      <c r="B92" s="41" t="n">
        <v>4.7</v>
      </c>
      <c r="C92" s="42" t="s">
        <v>139</v>
      </c>
      <c r="D92" s="42" t="s">
        <v>306</v>
      </c>
      <c r="E92" s="42" t="n">
        <v>0.18</v>
      </c>
      <c r="F92" s="59" t="s">
        <v>513</v>
      </c>
      <c r="G92" s="45" t="s">
        <v>514</v>
      </c>
      <c r="H92" s="45" t="s">
        <v>515</v>
      </c>
      <c r="I92" s="44" t="s">
        <v>516</v>
      </c>
      <c r="J92" s="46" t="str">
        <f aca="false">IF(I92&lt;&gt;"?", HYPERLINK(CONCATENATE("https://doi.org/",I92)), "")</f>
        <v>https://doi.org/10.1109/ISSCC.2004.1332605</v>
      </c>
      <c r="K92" s="45" t="s">
        <v>117</v>
      </c>
      <c r="L92" s="41" t="n">
        <v>1.8</v>
      </c>
      <c r="M92" s="41"/>
      <c r="N92" s="41"/>
      <c r="O92" s="34" t="s">
        <v>117</v>
      </c>
      <c r="P92" s="45" t="n">
        <v>1.1</v>
      </c>
      <c r="Q92" s="54"/>
      <c r="R92" s="48" t="n">
        <v>2500000</v>
      </c>
      <c r="S92" s="41"/>
      <c r="T92" s="41" t="n">
        <v>72</v>
      </c>
      <c r="U92" s="41"/>
      <c r="V92" s="41"/>
      <c r="W92" s="41" t="n">
        <v>86</v>
      </c>
      <c r="X92" s="49" t="n">
        <f aca="false">+IF(ISNUMBER($S92),$S92,MIN($V92,$T92,$U92,$W92))</f>
        <v>72</v>
      </c>
      <c r="Y92" s="48" t="n">
        <v>0.15</v>
      </c>
      <c r="Z92" s="48" t="n">
        <v>120000000</v>
      </c>
      <c r="AA92" s="50" t="n">
        <v>24</v>
      </c>
      <c r="AB92" s="48" t="n">
        <f aca="false">Z92/AA92</f>
        <v>5000000</v>
      </c>
      <c r="AC92" s="48" t="n">
        <v>40000000</v>
      </c>
      <c r="AD92" s="51" t="n">
        <f aca="false">Y92/AB92*1000000000000</f>
        <v>30000</v>
      </c>
      <c r="AE92" s="49" t="str">
        <f aca="false">IF(ISNUMBER($Q92), $AD92*1000/2^(($Q92-1.76)/6.02), "")</f>
        <v/>
      </c>
      <c r="AF92" s="49" t="n">
        <f aca="false">$AD92*1000/2^(($X92-1.76)/6.02)</f>
        <v>9220.85668559746</v>
      </c>
      <c r="AG92" s="31" t="str">
        <f aca="false">IF(ISNUMBER($Q92), $Q92+10*LOG10($AB92/2/$Y92), "")</f>
        <v/>
      </c>
      <c r="AH92" s="31" t="n">
        <f aca="false">$X92+10*LOG10($AB92/2/$Y92)</f>
        <v>144.218487496164</v>
      </c>
      <c r="AI92" s="52" t="n">
        <f aca="false">AF92/AB92</f>
        <v>0.00184417133711949</v>
      </c>
      <c r="AJ92" s="53" t="n">
        <f aca="false">AH92+10*LOG10(AB92)</f>
        <v>211.208187539524</v>
      </c>
    </row>
    <row r="93" customFormat="false" ht="12.75" hidden="false" customHeight="false" outlineLevel="0" collapsed="false">
      <c r="A93" s="50" t="n">
        <v>2004</v>
      </c>
      <c r="B93" s="41" t="n">
        <v>4.8</v>
      </c>
      <c r="C93" s="42" t="s">
        <v>139</v>
      </c>
      <c r="D93" s="42" t="s">
        <v>173</v>
      </c>
      <c r="E93" s="42" t="n">
        <v>0.18</v>
      </c>
      <c r="F93" s="59" t="s">
        <v>517</v>
      </c>
      <c r="G93" s="45" t="s">
        <v>518</v>
      </c>
      <c r="H93" s="45" t="s">
        <v>519</v>
      </c>
      <c r="I93" s="44" t="s">
        <v>520</v>
      </c>
      <c r="J93" s="46" t="str">
        <f aca="false">IF(I93&lt;&gt;"?", HYPERLINK(CONCATENATE("https://doi.org/",I93)), "")</f>
        <v>https://doi.org/10.1109/ISSCC.2004.1332606</v>
      </c>
      <c r="K93" s="45" t="s">
        <v>521</v>
      </c>
      <c r="L93" s="41"/>
      <c r="M93" s="41"/>
      <c r="N93" s="41"/>
      <c r="O93" s="34" t="s">
        <v>117</v>
      </c>
      <c r="P93" s="45" t="n">
        <v>0.14</v>
      </c>
      <c r="Q93" s="54"/>
      <c r="R93" s="48" t="n">
        <v>1000000</v>
      </c>
      <c r="S93" s="41" t="n">
        <v>65</v>
      </c>
      <c r="T93" s="41"/>
      <c r="U93" s="41" t="n">
        <v>68</v>
      </c>
      <c r="V93" s="41"/>
      <c r="W93" s="41"/>
      <c r="X93" s="49" t="n">
        <f aca="false">+IF(ISNUMBER($S93),$S93,MIN($V93,$T93,$U93,$W93))</f>
        <v>65</v>
      </c>
      <c r="Y93" s="48" t="n">
        <f aca="false">0.00115*1.8</f>
        <v>0.00207</v>
      </c>
      <c r="Z93" s="48" t="n">
        <v>64000000</v>
      </c>
      <c r="AA93" s="50" t="n">
        <v>32</v>
      </c>
      <c r="AB93" s="48" t="n">
        <f aca="false">Z93/AA93</f>
        <v>2000000</v>
      </c>
      <c r="AC93" s="48"/>
      <c r="AD93" s="51" t="n">
        <f aca="false">Y93/AB93*1000000000000</f>
        <v>1035</v>
      </c>
      <c r="AE93" s="49" t="str">
        <f aca="false">IF(ISNUMBER($Q93), $AD93*1000/2^(($Q93-1.76)/6.02), "")</f>
        <v/>
      </c>
      <c r="AF93" s="49" t="n">
        <f aca="false">$AD93*1000/2^(($X93-1.76)/6.02)</f>
        <v>712.238172185628</v>
      </c>
      <c r="AG93" s="31" t="str">
        <f aca="false">IF(ISNUMBER($Q93), $Q93+10*LOG10($AB93/2/$Y93), "")</f>
        <v/>
      </c>
      <c r="AH93" s="31" t="n">
        <f aca="false">$X93+10*LOG10($AB93/2/$Y93)</f>
        <v>151.840296545431</v>
      </c>
      <c r="AI93" s="52" t="n">
        <f aca="false">AF93/AB93</f>
        <v>0.000356119086092814</v>
      </c>
      <c r="AJ93" s="53" t="n">
        <f aca="false">AH93+10*LOG10(AB93)</f>
        <v>214.850596502071</v>
      </c>
    </row>
    <row r="94" customFormat="false" ht="12.75" hidden="false" customHeight="false" outlineLevel="0" collapsed="false">
      <c r="A94" s="50" t="n">
        <v>2004</v>
      </c>
      <c r="B94" s="41" t="n">
        <v>14.1</v>
      </c>
      <c r="C94" s="42" t="s">
        <v>111</v>
      </c>
      <c r="D94" s="42" t="s">
        <v>522</v>
      </c>
      <c r="E94" s="42" t="n">
        <v>0.18</v>
      </c>
      <c r="F94" s="44" t="s">
        <v>523</v>
      </c>
      <c r="G94" s="45" t="s">
        <v>524</v>
      </c>
      <c r="H94" s="45" t="s">
        <v>525</v>
      </c>
      <c r="I94" s="44" t="s">
        <v>526</v>
      </c>
      <c r="J94" s="46" t="str">
        <f aca="false">IF(I94&lt;&gt;"?", HYPERLINK(CONCATENATE("https://doi.org/",I94)), "")</f>
        <v>https://doi.org/10.1109/ISSCC.2004.1332689</v>
      </c>
      <c r="K94" s="45" t="s">
        <v>117</v>
      </c>
      <c r="L94" s="41"/>
      <c r="M94" s="41"/>
      <c r="N94" s="41"/>
      <c r="O94" s="34" t="s">
        <v>117</v>
      </c>
      <c r="P94" s="45" t="n">
        <v>8</v>
      </c>
      <c r="Q94" s="54"/>
      <c r="R94" s="48" t="n">
        <v>800000000</v>
      </c>
      <c r="S94" s="41"/>
      <c r="T94" s="41" t="n">
        <v>45.8</v>
      </c>
      <c r="U94" s="41"/>
      <c r="V94" s="41" t="n">
        <v>56</v>
      </c>
      <c r="W94" s="41" t="n">
        <v>55</v>
      </c>
      <c r="X94" s="49" t="n">
        <f aca="false">+IF(ISNUMBER($S94),$S94,MIN($V94,$T94,$U94,$W94))</f>
        <v>45.8</v>
      </c>
      <c r="Y94" s="48" t="n">
        <f aca="false">1.8*(501+204)*0.001</f>
        <v>1.269</v>
      </c>
      <c r="Z94" s="48" t="n">
        <f aca="false">1600000000</f>
        <v>1600000000</v>
      </c>
      <c r="AA94" s="50" t="n">
        <v>1</v>
      </c>
      <c r="AB94" s="48" t="n">
        <f aca="false">Z94/AA94</f>
        <v>1600000000</v>
      </c>
      <c r="AC94" s="48"/>
      <c r="AD94" s="51" t="n">
        <f aca="false">Y94/AB94*1000000000000</f>
        <v>793.125</v>
      </c>
      <c r="AE94" s="49" t="str">
        <f aca="false">IF(ISNUMBER($Q94), $AD94*1000/2^(($Q94-1.76)/6.02), "")</f>
        <v/>
      </c>
      <c r="AF94" s="49" t="n">
        <f aca="false">$AD94*1000/2^(($X94-1.76)/6.02)</f>
        <v>4978.77159022972</v>
      </c>
      <c r="AG94" s="31" t="str">
        <f aca="false">IF(ISNUMBER($Q94), $Q94+10*LOG10($AB94/2/$Y94), "")</f>
        <v/>
      </c>
      <c r="AH94" s="31" t="n">
        <f aca="false">$X94+10*LOG10($AB94/2/$Y94)</f>
        <v>133.796283648972</v>
      </c>
      <c r="AI94" s="52" t="n">
        <f aca="false">AF94/AB94</f>
        <v>3.11173224389358E-006</v>
      </c>
      <c r="AJ94" s="53" t="n">
        <f aca="false">AH94+10*LOG10(AB94)</f>
        <v>225.837483475532</v>
      </c>
    </row>
    <row r="95" customFormat="false" ht="12.75" hidden="false" customHeight="false" outlineLevel="0" collapsed="false">
      <c r="A95" s="50" t="n">
        <v>2004</v>
      </c>
      <c r="B95" s="41" t="n">
        <v>14.2</v>
      </c>
      <c r="C95" s="42" t="s">
        <v>111</v>
      </c>
      <c r="D95" s="42" t="s">
        <v>118</v>
      </c>
      <c r="E95" s="42" t="n">
        <v>0.18</v>
      </c>
      <c r="F95" s="44" t="s">
        <v>527</v>
      </c>
      <c r="G95" s="45" t="s">
        <v>528</v>
      </c>
      <c r="H95" s="45" t="s">
        <v>529</v>
      </c>
      <c r="I95" s="44" t="s">
        <v>530</v>
      </c>
      <c r="J95" s="46" t="str">
        <f aca="false">IF(I95&lt;&gt;"?", HYPERLINK(CONCATENATE("https://doi.org/",I95)), "")</f>
        <v>https://doi.org/10.1109/ISSCC.2004.1332690</v>
      </c>
      <c r="K95" s="45" t="s">
        <v>117</v>
      </c>
      <c r="L95" s="41" t="n">
        <v>3.3</v>
      </c>
      <c r="M95" s="41" t="n">
        <v>1.8</v>
      </c>
      <c r="N95" s="41"/>
      <c r="O95" s="34" t="s">
        <v>117</v>
      </c>
      <c r="P95" s="45" t="n">
        <v>0.2</v>
      </c>
      <c r="Q95" s="54"/>
      <c r="R95" s="48" t="n">
        <v>300000000</v>
      </c>
      <c r="S95" s="41" t="n">
        <f aca="false">7.5*6.02+1.76</f>
        <v>46.91</v>
      </c>
      <c r="T95" s="41"/>
      <c r="U95" s="41"/>
      <c r="V95" s="41"/>
      <c r="W95" s="41"/>
      <c r="X95" s="49" t="n">
        <f aca="false">+IF(ISNUMBER($S95),$S95,MIN($V95,$T95,$U95,$W95))</f>
        <v>46.91</v>
      </c>
      <c r="Y95" s="48" t="n">
        <v>0.2</v>
      </c>
      <c r="Z95" s="48" t="n">
        <v>600000000</v>
      </c>
      <c r="AA95" s="50" t="n">
        <v>1</v>
      </c>
      <c r="AB95" s="48" t="n">
        <f aca="false">Z95/AA95</f>
        <v>600000000</v>
      </c>
      <c r="AC95" s="48"/>
      <c r="AD95" s="51" t="n">
        <f aca="false">Y95/AB95*1000000000000</f>
        <v>333.333333333333</v>
      </c>
      <c r="AE95" s="49" t="str">
        <f aca="false">IF(ISNUMBER($Q95), $AD95*1000/2^(($Q95-1.76)/6.02), "")</f>
        <v/>
      </c>
      <c r="AF95" s="49" t="n">
        <f aca="false">$AD95*1000/2^(($X95-1.76)/6.02)</f>
        <v>1841.42390933997</v>
      </c>
      <c r="AG95" s="31" t="str">
        <f aca="false">IF(ISNUMBER($Q95), $Q95+10*LOG10($AB95/2/$Y95), "")</f>
        <v/>
      </c>
      <c r="AH95" s="31" t="n">
        <f aca="false">$X95+10*LOG10($AB95/2/$Y95)</f>
        <v>138.670912590557</v>
      </c>
      <c r="AI95" s="52" t="n">
        <f aca="false">AF95/AB95</f>
        <v>3.06903984889995E-006</v>
      </c>
      <c r="AJ95" s="53" t="n">
        <f aca="false">AH95+10*LOG10(AB95)</f>
        <v>226.452425094393</v>
      </c>
    </row>
    <row r="96" customFormat="false" ht="12.75" hidden="false" customHeight="false" outlineLevel="0" collapsed="false">
      <c r="A96" s="50" t="n">
        <v>2004</v>
      </c>
      <c r="B96" s="41" t="n">
        <v>14.3</v>
      </c>
      <c r="C96" s="42" t="s">
        <v>111</v>
      </c>
      <c r="D96" s="42" t="s">
        <v>133</v>
      </c>
      <c r="E96" s="42" t="n">
        <v>0.13</v>
      </c>
      <c r="F96" s="44" t="s">
        <v>531</v>
      </c>
      <c r="G96" s="45" t="s">
        <v>532</v>
      </c>
      <c r="H96" s="45" t="s">
        <v>533</v>
      </c>
      <c r="I96" s="44" t="s">
        <v>534</v>
      </c>
      <c r="J96" s="46" t="str">
        <f aca="false">IF(I96&lt;&gt;"?", HYPERLINK(CONCATENATE("https://doi.org/",I96)), "")</f>
        <v>https://doi.org/10.1109/ISSCC.2004.1332691</v>
      </c>
      <c r="K96" s="45" t="s">
        <v>117</v>
      </c>
      <c r="L96" s="41" t="n">
        <v>0.9</v>
      </c>
      <c r="M96" s="41"/>
      <c r="N96" s="41"/>
      <c r="O96" s="34" t="s">
        <v>117</v>
      </c>
      <c r="P96" s="45" t="n">
        <v>1.3</v>
      </c>
      <c r="Q96" s="54"/>
      <c r="R96" s="48" t="n">
        <v>110000000</v>
      </c>
      <c r="S96" s="41" t="n">
        <v>51</v>
      </c>
      <c r="T96" s="41"/>
      <c r="U96" s="41"/>
      <c r="V96" s="41"/>
      <c r="W96" s="41"/>
      <c r="X96" s="49" t="n">
        <f aca="false">+IF(ISNUMBER($S96),$S96,MIN($V96,$T96,$U96,$W96))</f>
        <v>51</v>
      </c>
      <c r="Y96" s="48" t="n">
        <v>0.135</v>
      </c>
      <c r="Z96" s="48" t="n">
        <v>220000000</v>
      </c>
      <c r="AA96" s="50" t="n">
        <v>1</v>
      </c>
      <c r="AB96" s="48" t="n">
        <f aca="false">Z96/AA96</f>
        <v>220000000</v>
      </c>
      <c r="AC96" s="48"/>
      <c r="AD96" s="51" t="n">
        <f aca="false">Y96/AB96*1000000000000</f>
        <v>613.636363636364</v>
      </c>
      <c r="AE96" s="49" t="str">
        <f aca="false">IF(ISNUMBER($Q96), $AD96*1000/2^(($Q96-1.76)/6.02), "")</f>
        <v/>
      </c>
      <c r="AF96" s="49" t="n">
        <f aca="false">$AD96*1000/2^(($X96-1.76)/6.02)</f>
        <v>2116.73134551838</v>
      </c>
      <c r="AG96" s="31" t="str">
        <f aca="false">IF(ISNUMBER($Q96), $Q96+10*LOG10($AB96/2/$Y96), "")</f>
        <v/>
      </c>
      <c r="AH96" s="31" t="n">
        <f aca="false">$X96+10*LOG10($AB96/2/$Y96)</f>
        <v>140.110589166632</v>
      </c>
      <c r="AI96" s="52" t="n">
        <f aca="false">AF96/AB96</f>
        <v>9.62150611599266E-006</v>
      </c>
      <c r="AJ96" s="53" t="n">
        <f aca="false">AH96+10*LOG10(AB96)</f>
        <v>223.534815974854</v>
      </c>
    </row>
    <row r="97" customFormat="false" ht="12.75" hidden="false" customHeight="false" outlineLevel="0" collapsed="false">
      <c r="A97" s="50" t="n">
        <v>2004</v>
      </c>
      <c r="B97" s="41" t="n">
        <v>14.4</v>
      </c>
      <c r="C97" s="42" t="s">
        <v>111</v>
      </c>
      <c r="D97" s="42" t="s">
        <v>191</v>
      </c>
      <c r="E97" s="42" t="n">
        <v>0.18</v>
      </c>
      <c r="F97" s="44" t="s">
        <v>535</v>
      </c>
      <c r="G97" s="45" t="s">
        <v>536</v>
      </c>
      <c r="H97" s="45" t="s">
        <v>537</v>
      </c>
      <c r="I97" s="44" t="s">
        <v>538</v>
      </c>
      <c r="J97" s="46" t="str">
        <f aca="false">IF(I97&lt;&gt;"?", HYPERLINK(CONCATENATE("https://doi.org/",I97)), "")</f>
        <v>https://doi.org/10.1109/ISSCC.2004.1332692</v>
      </c>
      <c r="K97" s="45" t="s">
        <v>117</v>
      </c>
      <c r="L97" s="41" t="n">
        <v>1.8</v>
      </c>
      <c r="M97" s="41"/>
      <c r="N97" s="41"/>
      <c r="O97" s="34" t="s">
        <v>117</v>
      </c>
      <c r="P97" s="45" t="n">
        <v>1.8</v>
      </c>
      <c r="Q97" s="54"/>
      <c r="R97" s="48" t="n">
        <v>75000000</v>
      </c>
      <c r="S97" s="41" t="n">
        <v>45.4</v>
      </c>
      <c r="T97" s="41"/>
      <c r="U97" s="41"/>
      <c r="V97" s="41"/>
      <c r="W97" s="41" t="n">
        <v>52.5</v>
      </c>
      <c r="X97" s="49" t="n">
        <f aca="false">+IF(ISNUMBER($S97),$S97,MIN($V97,$T97,$U97,$W97))</f>
        <v>45.4</v>
      </c>
      <c r="Y97" s="48" t="n">
        <v>0.071</v>
      </c>
      <c r="Z97" s="48" t="n">
        <v>150000000</v>
      </c>
      <c r="AA97" s="50" t="n">
        <v>1</v>
      </c>
      <c r="AB97" s="48" t="n">
        <f aca="false">Z97/AA97</f>
        <v>150000000</v>
      </c>
      <c r="AC97" s="48"/>
      <c r="AD97" s="51" t="n">
        <f aca="false">Y97/AB97*1000000000000</f>
        <v>473.333333333333</v>
      </c>
      <c r="AE97" s="49" t="str">
        <f aca="false">IF(ISNUMBER($Q97), $AD97*1000/2^(($Q97-1.76)/6.02), "")</f>
        <v/>
      </c>
      <c r="AF97" s="49" t="n">
        <f aca="false">$AD97*1000/2^(($X97-1.76)/6.02)</f>
        <v>3111.35557212336</v>
      </c>
      <c r="AG97" s="31" t="str">
        <f aca="false">IF(ISNUMBER($Q97), $Q97+10*LOG10($AB97/2/$Y97), "")</f>
        <v/>
      </c>
      <c r="AH97" s="31" t="n">
        <f aca="false">$X97+10*LOG10($AB97/2/$Y97)</f>
        <v>135.638029146726</v>
      </c>
      <c r="AI97" s="52" t="n">
        <f aca="false">AF97/AB97</f>
        <v>2.07423704808224E-005</v>
      </c>
      <c r="AJ97" s="53" t="n">
        <f aca="false">AH97+10*LOG10(AB97)</f>
        <v>217.398941737283</v>
      </c>
    </row>
    <row r="98" customFormat="false" ht="12.75" hidden="false" customHeight="false" outlineLevel="0" collapsed="false">
      <c r="A98" s="50" t="n">
        <v>2004</v>
      </c>
      <c r="B98" s="41" t="n">
        <v>14.5</v>
      </c>
      <c r="C98" s="42" t="s">
        <v>111</v>
      </c>
      <c r="D98" s="42" t="s">
        <v>246</v>
      </c>
      <c r="E98" s="42" t="n">
        <v>0.13</v>
      </c>
      <c r="F98" s="44" t="s">
        <v>539</v>
      </c>
      <c r="G98" s="45" t="s">
        <v>540</v>
      </c>
      <c r="H98" s="45" t="s">
        <v>541</v>
      </c>
      <c r="I98" s="44" t="s">
        <v>542</v>
      </c>
      <c r="J98" s="46" t="str">
        <f aca="false">IF(I98&lt;&gt;"?", HYPERLINK(CONCATENATE("https://doi.org/",I98)), "")</f>
        <v>https://doi.org/10.1109/ISSCC.2004.1332693</v>
      </c>
      <c r="K98" s="45" t="s">
        <v>117</v>
      </c>
      <c r="L98" s="41"/>
      <c r="M98" s="41"/>
      <c r="N98" s="41"/>
      <c r="O98" s="34" t="s">
        <v>117</v>
      </c>
      <c r="P98" s="45" t="n">
        <v>0.09</v>
      </c>
      <c r="Q98" s="54"/>
      <c r="R98" s="48" t="n">
        <v>62500000</v>
      </c>
      <c r="S98" s="41" t="n">
        <f aca="false">7.6*6.02+1.76</f>
        <v>47.512</v>
      </c>
      <c r="T98" s="41"/>
      <c r="U98" s="41"/>
      <c r="V98" s="41"/>
      <c r="W98" s="41"/>
      <c r="X98" s="49" t="n">
        <f aca="false">+IF(ISNUMBER($S98),$S98,MIN($V98,$T98,$U98,$W98))</f>
        <v>47.512</v>
      </c>
      <c r="Y98" s="48" t="n">
        <v>0.021</v>
      </c>
      <c r="Z98" s="48" t="n">
        <v>125000000</v>
      </c>
      <c r="AA98" s="50" t="n">
        <v>1</v>
      </c>
      <c r="AB98" s="48" t="n">
        <f aca="false">Z98/AA98</f>
        <v>125000000</v>
      </c>
      <c r="AC98" s="48"/>
      <c r="AD98" s="51" t="n">
        <f aca="false">Y98/AB98*1000000000000</f>
        <v>168</v>
      </c>
      <c r="AE98" s="49" t="str">
        <f aca="false">IF(ISNUMBER($Q98), $AD98*1000/2^(($Q98-1.76)/6.02), "")</f>
        <v/>
      </c>
      <c r="AF98" s="49" t="n">
        <f aca="false">$AD98*1000/2^(($X98-1.76)/6.02)</f>
        <v>865.927066444712</v>
      </c>
      <c r="AG98" s="31" t="str">
        <f aca="false">IF(ISNUMBER($Q98), $Q98+10*LOG10($AB98/2/$Y98), "")</f>
        <v/>
      </c>
      <c r="AH98" s="31" t="n">
        <f aca="false">$X98+10*LOG10($AB98/2/$Y98)</f>
        <v>142.248607226102</v>
      </c>
      <c r="AI98" s="52" t="n">
        <f aca="false">AF98/AB98</f>
        <v>6.9274165315577E-006</v>
      </c>
      <c r="AJ98" s="53" t="n">
        <f aca="false">AH98+10*LOG10(AB98)</f>
        <v>223.217707356182</v>
      </c>
    </row>
    <row r="99" customFormat="false" ht="12.75" hidden="false" customHeight="false" outlineLevel="0" collapsed="false">
      <c r="A99" s="50" t="n">
        <v>2004</v>
      </c>
      <c r="B99" s="41" t="n">
        <v>14.6</v>
      </c>
      <c r="C99" s="42" t="s">
        <v>111</v>
      </c>
      <c r="D99" s="42" t="s">
        <v>208</v>
      </c>
      <c r="E99" s="42" t="s">
        <v>543</v>
      </c>
      <c r="F99" s="44" t="s">
        <v>544</v>
      </c>
      <c r="G99" s="45" t="s">
        <v>545</v>
      </c>
      <c r="H99" s="45" t="s">
        <v>546</v>
      </c>
      <c r="I99" s="44" t="s">
        <v>547</v>
      </c>
      <c r="J99" s="46" t="str">
        <f aca="false">IF(I99&lt;&gt;"?", HYPERLINK(CONCATENATE("https://doi.org/",I99)), "")</f>
        <v>https://doi.org/10.1109/ISSCC.2004.1332694</v>
      </c>
      <c r="K99" s="45" t="s">
        <v>117</v>
      </c>
      <c r="L99" s="41"/>
      <c r="M99" s="41"/>
      <c r="N99" s="41"/>
      <c r="O99" s="34" t="s">
        <v>117</v>
      </c>
      <c r="P99" s="45" t="n">
        <v>3.96</v>
      </c>
      <c r="Q99" s="54"/>
      <c r="R99" s="48" t="n">
        <v>13000000000</v>
      </c>
      <c r="S99" s="41" t="n">
        <v>20</v>
      </c>
      <c r="T99" s="41"/>
      <c r="U99" s="41"/>
      <c r="V99" s="41"/>
      <c r="W99" s="41"/>
      <c r="X99" s="49" t="n">
        <f aca="false">+IF(ISNUMBER($S99),$S99,MIN($V99,$T99,$U99,$W99))</f>
        <v>20</v>
      </c>
      <c r="Y99" s="48" t="n">
        <v>3.8</v>
      </c>
      <c r="Z99" s="48" t="n">
        <v>40000000000</v>
      </c>
      <c r="AA99" s="50" t="n">
        <v>1</v>
      </c>
      <c r="AB99" s="48" t="n">
        <f aca="false">Z99/AA99</f>
        <v>40000000000</v>
      </c>
      <c r="AC99" s="48"/>
      <c r="AD99" s="51" t="n">
        <f aca="false">Y99/AB99*1000000000000</f>
        <v>95</v>
      </c>
      <c r="AE99" s="49" t="str">
        <f aca="false">IF(ISNUMBER($Q99), $AD99*1000/2^(($Q99-1.76)/6.02), "")</f>
        <v/>
      </c>
      <c r="AF99" s="49" t="n">
        <f aca="false">$AD99*1000/2^(($X99-1.76)/6.02)</f>
        <v>11631.4195561559</v>
      </c>
      <c r="AG99" s="31" t="str">
        <f aca="false">IF(ISNUMBER($Q99), $Q99+10*LOG10($AB99/2/$Y99), "")</f>
        <v/>
      </c>
      <c r="AH99" s="31" t="n">
        <f aca="false">$X99+10*LOG10($AB99/2/$Y99)</f>
        <v>117.212463990472</v>
      </c>
      <c r="AI99" s="52" t="n">
        <f aca="false">AF99/AB99</f>
        <v>2.90785488903897E-007</v>
      </c>
      <c r="AJ99" s="53" t="n">
        <f aca="false">AH99+10*LOG10(AB99)</f>
        <v>223.233063903751</v>
      </c>
    </row>
    <row r="100" customFormat="false" ht="12.75" hidden="false" customHeight="false" outlineLevel="0" collapsed="false">
      <c r="A100" s="50" t="n">
        <v>2004</v>
      </c>
      <c r="B100" s="41" t="n">
        <v>14.7</v>
      </c>
      <c r="C100" s="42" t="s">
        <v>111</v>
      </c>
      <c r="D100" s="42" t="s">
        <v>548</v>
      </c>
      <c r="E100" s="42" t="n">
        <v>0.09</v>
      </c>
      <c r="F100" s="44" t="s">
        <v>549</v>
      </c>
      <c r="G100" s="45" t="s">
        <v>550</v>
      </c>
      <c r="H100" s="45" t="s">
        <v>551</v>
      </c>
      <c r="I100" s="44" t="s">
        <v>552</v>
      </c>
      <c r="J100" s="46" t="str">
        <f aca="false">IF(I100&lt;&gt;"?", HYPERLINK(CONCATENATE("https://doi.org/",I100)), "")</f>
        <v>https://doi.org/10.1109/ISSCC.2004.1332695</v>
      </c>
      <c r="K100" s="45" t="s">
        <v>117</v>
      </c>
      <c r="L100" s="41"/>
      <c r="M100" s="41"/>
      <c r="N100" s="41"/>
      <c r="O100" s="34" t="s">
        <v>117</v>
      </c>
      <c r="P100" s="45" t="n">
        <v>0</v>
      </c>
      <c r="Q100" s="54"/>
      <c r="R100" s="48" t="n">
        <v>300000000</v>
      </c>
      <c r="S100" s="41" t="n">
        <v>31</v>
      </c>
      <c r="T100" s="41"/>
      <c r="U100" s="41"/>
      <c r="V100" s="41"/>
      <c r="W100" s="41"/>
      <c r="X100" s="49" t="n">
        <f aca="false">+IF(ISNUMBER($S100),$S100,MIN($V100,$T100,$U100,$W100))</f>
        <v>31</v>
      </c>
      <c r="Y100" s="48" t="n">
        <v>0.01</v>
      </c>
      <c r="Z100" s="48" t="n">
        <v>600000000</v>
      </c>
      <c r="AA100" s="50" t="n">
        <v>1</v>
      </c>
      <c r="AB100" s="48" t="n">
        <f aca="false">Z100/AA100</f>
        <v>600000000</v>
      </c>
      <c r="AC100" s="48"/>
      <c r="AD100" s="51" t="n">
        <f aca="false">Y100/AB100*1000000000000</f>
        <v>16.6666666666667</v>
      </c>
      <c r="AE100" s="49" t="str">
        <f aca="false">IF(ISNUMBER($Q100), $AD100*1000/2^(($Q100-1.76)/6.02), "")</f>
        <v/>
      </c>
      <c r="AF100" s="49" t="n">
        <f aca="false">$AD100*1000/2^(($X100-1.76)/6.02)</f>
        <v>575.046621705111</v>
      </c>
      <c r="AG100" s="31" t="str">
        <f aca="false">IF(ISNUMBER($Q100), $Q100+10*LOG10($AB100/2/$Y100), "")</f>
        <v/>
      </c>
      <c r="AH100" s="31" t="n">
        <f aca="false">$X100+10*LOG10($AB100/2/$Y100)</f>
        <v>135.771212547197</v>
      </c>
      <c r="AI100" s="52" t="n">
        <f aca="false">AF100/AB100</f>
        <v>9.58411036175184E-007</v>
      </c>
      <c r="AJ100" s="53" t="n">
        <f aca="false">AH100+10*LOG10(AB100)</f>
        <v>223.552725051033</v>
      </c>
    </row>
    <row r="101" customFormat="false" ht="12.75" hidden="false" customHeight="false" outlineLevel="0" collapsed="false">
      <c r="A101" s="50" t="n">
        <v>2004</v>
      </c>
      <c r="B101" s="41" t="n">
        <v>25.1</v>
      </c>
      <c r="C101" s="42" t="s">
        <v>111</v>
      </c>
      <c r="D101" s="42" t="s">
        <v>133</v>
      </c>
      <c r="E101" s="42" t="n">
        <v>0.18</v>
      </c>
      <c r="F101" s="44" t="s">
        <v>553</v>
      </c>
      <c r="G101" s="45" t="s">
        <v>554</v>
      </c>
      <c r="H101" s="45" t="s">
        <v>555</v>
      </c>
      <c r="I101" s="44" t="s">
        <v>556</v>
      </c>
      <c r="J101" s="46" t="str">
        <f aca="false">IF(I101&lt;&gt;"?", HYPERLINK(CONCATENATE("https://doi.org/",I101)), "")</f>
        <v>https://doi.org/10.1109/ISSCC.2004.1332789</v>
      </c>
      <c r="K101" s="45" t="s">
        <v>117</v>
      </c>
      <c r="L101" s="41"/>
      <c r="M101" s="41"/>
      <c r="N101" s="41"/>
      <c r="O101" s="34" t="s">
        <v>117</v>
      </c>
      <c r="P101" s="45" t="n">
        <v>20</v>
      </c>
      <c r="Q101" s="54"/>
      <c r="R101" s="48" t="n">
        <v>20000000</v>
      </c>
      <c r="S101" s="41"/>
      <c r="T101" s="41" t="n">
        <v>72</v>
      </c>
      <c r="U101" s="41"/>
      <c r="V101" s="41" t="n">
        <v>88</v>
      </c>
      <c r="W101" s="41" t="n">
        <v>90</v>
      </c>
      <c r="X101" s="49" t="n">
        <f aca="false">+IF(ISNUMBER($S101),$S101,MIN($V101,$T101,$U101,$W101))</f>
        <v>72</v>
      </c>
      <c r="Y101" s="48" t="n">
        <v>0.394</v>
      </c>
      <c r="Z101" s="48" t="n">
        <v>40000000</v>
      </c>
      <c r="AA101" s="50" t="n">
        <v>1</v>
      </c>
      <c r="AB101" s="48" t="n">
        <f aca="false">Z101/AA101</f>
        <v>40000000</v>
      </c>
      <c r="AC101" s="48"/>
      <c r="AD101" s="51" t="n">
        <f aca="false">Y101/AB101*1000000000000</f>
        <v>9850</v>
      </c>
      <c r="AE101" s="49" t="str">
        <f aca="false">IF(ISNUMBER($Q101), $AD101*1000/2^(($Q101-1.76)/6.02), "")</f>
        <v/>
      </c>
      <c r="AF101" s="49" t="n">
        <f aca="false">$AD101*1000/2^(($X101-1.76)/6.02)</f>
        <v>3027.51461177117</v>
      </c>
      <c r="AG101" s="31" t="str">
        <f aca="false">IF(ISNUMBER($Q101), $Q101+10*LOG10($AB101/2/$Y101), "")</f>
        <v/>
      </c>
      <c r="AH101" s="31" t="n">
        <f aca="false">$X101+10*LOG10($AB101/2/$Y101)</f>
        <v>149.055337738384</v>
      </c>
      <c r="AI101" s="52" t="n">
        <f aca="false">AF101/AB101</f>
        <v>7.56878652942792E-005</v>
      </c>
      <c r="AJ101" s="53" t="n">
        <f aca="false">AH101+10*LOG10(AB101)</f>
        <v>225.075937651664</v>
      </c>
    </row>
    <row r="102" customFormat="false" ht="12.75" hidden="false" customHeight="false" outlineLevel="0" collapsed="false">
      <c r="A102" s="50" t="n">
        <v>2004</v>
      </c>
      <c r="B102" s="41" t="n">
        <v>25.2</v>
      </c>
      <c r="C102" s="42" t="s">
        <v>111</v>
      </c>
      <c r="D102" s="42" t="s">
        <v>133</v>
      </c>
      <c r="E102" s="42" t="n">
        <v>0.18</v>
      </c>
      <c r="F102" s="44" t="s">
        <v>557</v>
      </c>
      <c r="G102" s="45" t="s">
        <v>558</v>
      </c>
      <c r="H102" s="45" t="s">
        <v>559</v>
      </c>
      <c r="I102" s="44" t="s">
        <v>560</v>
      </c>
      <c r="J102" s="46" t="str">
        <f aca="false">IF(I102&lt;&gt;"?", HYPERLINK(CONCATENATE("https://doi.org/",I102)), "")</f>
        <v>https://doi.org/10.1109/ISSCC.2004.1332790</v>
      </c>
      <c r="K102" s="45" t="s">
        <v>117</v>
      </c>
      <c r="L102" s="41"/>
      <c r="M102" s="41"/>
      <c r="N102" s="41"/>
      <c r="O102" s="34" t="s">
        <v>117</v>
      </c>
      <c r="P102" s="45" t="n">
        <v>11.22</v>
      </c>
      <c r="Q102" s="54"/>
      <c r="R102" s="48" t="n">
        <v>10000000</v>
      </c>
      <c r="S102" s="41" t="n">
        <v>74</v>
      </c>
      <c r="T102" s="41"/>
      <c r="U102" s="41"/>
      <c r="V102" s="41"/>
      <c r="W102" s="41" t="n">
        <v>94</v>
      </c>
      <c r="X102" s="49" t="n">
        <f aca="false">+IF(ISNUMBER($S102),$S102,MIN($V102,$T102,$U102,$W102))</f>
        <v>74</v>
      </c>
      <c r="Y102" s="48" t="n">
        <v>0.233</v>
      </c>
      <c r="Z102" s="48" t="n">
        <v>20000000</v>
      </c>
      <c r="AA102" s="50" t="n">
        <v>1</v>
      </c>
      <c r="AB102" s="48" t="n">
        <f aca="false">Z102/AA102</f>
        <v>20000000</v>
      </c>
      <c r="AC102" s="48"/>
      <c r="AD102" s="51" t="n">
        <f aca="false">Y102/AB102*1000000000000</f>
        <v>11650</v>
      </c>
      <c r="AE102" s="49" t="str">
        <f aca="false">IF(ISNUMBER($Q102), $AD102*1000/2^(($Q102-1.76)/6.02), "")</f>
        <v/>
      </c>
      <c r="AF102" s="49" t="n">
        <f aca="false">$AD102*1000/2^(($X102-1.76)/6.02)</f>
        <v>2844.23828125</v>
      </c>
      <c r="AG102" s="31" t="str">
        <f aca="false">IF(ISNUMBER($Q102), $Q102+10*LOG10($AB102/2/$Y102), "")</f>
        <v/>
      </c>
      <c r="AH102" s="31" t="n">
        <f aca="false">$X102+10*LOG10($AB102/2/$Y102)</f>
        <v>150.32644078974</v>
      </c>
      <c r="AI102" s="52" t="n">
        <f aca="false">AF102/AB102</f>
        <v>0.0001422119140625</v>
      </c>
      <c r="AJ102" s="53" t="n">
        <f aca="false">AH102+10*LOG10(AB102)</f>
        <v>223.33674074638</v>
      </c>
    </row>
    <row r="103" customFormat="false" ht="12.75" hidden="false" customHeight="false" outlineLevel="0" collapsed="false">
      <c r="A103" s="50" t="n">
        <v>2004</v>
      </c>
      <c r="B103" s="41" t="n">
        <v>25.3</v>
      </c>
      <c r="C103" s="42" t="s">
        <v>111</v>
      </c>
      <c r="D103" s="42" t="s">
        <v>133</v>
      </c>
      <c r="E103" s="42" t="n">
        <v>0.25</v>
      </c>
      <c r="F103" s="44" t="s">
        <v>561</v>
      </c>
      <c r="G103" s="45" t="s">
        <v>562</v>
      </c>
      <c r="H103" s="45" t="s">
        <v>563</v>
      </c>
      <c r="I103" s="44" t="s">
        <v>564</v>
      </c>
      <c r="J103" s="46" t="str">
        <f aca="false">IF(I103&lt;&gt;"?", HYPERLINK(CONCATENATE("https://doi.org/",I103)), "")</f>
        <v>https://doi.org/10.1109/ISSCC.2004.1332791</v>
      </c>
      <c r="K103" s="45" t="s">
        <v>117</v>
      </c>
      <c r="L103" s="41"/>
      <c r="M103" s="41"/>
      <c r="N103" s="41"/>
      <c r="O103" s="34" t="s">
        <v>117</v>
      </c>
      <c r="P103" s="45" t="n">
        <v>5.55</v>
      </c>
      <c r="Q103" s="54"/>
      <c r="R103" s="48" t="n">
        <v>25000000</v>
      </c>
      <c r="S103" s="41" t="n">
        <v>75</v>
      </c>
      <c r="T103" s="41"/>
      <c r="U103" s="41"/>
      <c r="V103" s="41"/>
      <c r="W103" s="41" t="n">
        <v>96</v>
      </c>
      <c r="X103" s="49" t="n">
        <f aca="false">+IF(ISNUMBER($S103),$S103,MIN($V103,$T103,$U103,$W103))</f>
        <v>75</v>
      </c>
      <c r="Y103" s="48" t="n">
        <v>0.78</v>
      </c>
      <c r="Z103" s="48" t="n">
        <v>50000000</v>
      </c>
      <c r="AA103" s="50" t="n">
        <v>1</v>
      </c>
      <c r="AB103" s="48" t="n">
        <f aca="false">Z103/AA103</f>
        <v>50000000</v>
      </c>
      <c r="AC103" s="48"/>
      <c r="AD103" s="51" t="n">
        <f aca="false">Y103/AB103*1000000000000</f>
        <v>15600</v>
      </c>
      <c r="AE103" s="49" t="str">
        <f aca="false">IF(ISNUMBER($Q103), $AD103*1000/2^(($Q103-1.76)/6.02), "")</f>
        <v/>
      </c>
      <c r="AF103" s="49" t="n">
        <f aca="false">$AD103*1000/2^(($X103-1.76)/6.02)</f>
        <v>3394.3738087224</v>
      </c>
      <c r="AG103" s="31" t="str">
        <f aca="false">IF(ISNUMBER($Q103), $Q103+10*LOG10($AB103/2/$Y103), "")</f>
        <v/>
      </c>
      <c r="AH103" s="31" t="n">
        <f aca="false">$X103+10*LOG10($AB103/2/$Y103)</f>
        <v>150.058454059816</v>
      </c>
      <c r="AI103" s="52" t="n">
        <f aca="false">AF103/AB103</f>
        <v>6.7887476174448E-005</v>
      </c>
      <c r="AJ103" s="53" t="n">
        <f aca="false">AH103+10*LOG10(AB103)</f>
        <v>227.048154103176</v>
      </c>
    </row>
    <row r="104" customFormat="false" ht="12.75" hidden="false" customHeight="false" outlineLevel="0" collapsed="false">
      <c r="A104" s="50" t="n">
        <v>2004</v>
      </c>
      <c r="B104" s="41" t="n">
        <v>25.4</v>
      </c>
      <c r="C104" s="42" t="s">
        <v>111</v>
      </c>
      <c r="D104" s="42" t="s">
        <v>133</v>
      </c>
      <c r="E104" s="42" t="n">
        <v>0.18</v>
      </c>
      <c r="F104" s="44" t="s">
        <v>565</v>
      </c>
      <c r="G104" s="45" t="s">
        <v>566</v>
      </c>
      <c r="H104" s="45" t="s">
        <v>567</v>
      </c>
      <c r="I104" s="44" t="s">
        <v>568</v>
      </c>
      <c r="J104" s="46" t="str">
        <f aca="false">IF(I104&lt;&gt;"?", HYPERLINK(CONCATENATE("https://doi.org/",I104)), "")</f>
        <v>https://doi.org/10.1109/ISSCC.2004.1332792</v>
      </c>
      <c r="K104" s="45" t="s">
        <v>117</v>
      </c>
      <c r="L104" s="41"/>
      <c r="M104" s="41"/>
      <c r="N104" s="41"/>
      <c r="O104" s="34" t="s">
        <v>117</v>
      </c>
      <c r="P104" s="45" t="n">
        <v>15</v>
      </c>
      <c r="Q104" s="54"/>
      <c r="R104" s="48" t="n">
        <v>5000000</v>
      </c>
      <c r="S104" s="41" t="n">
        <v>73.6</v>
      </c>
      <c r="T104" s="41"/>
      <c r="U104" s="41"/>
      <c r="V104" s="41"/>
      <c r="W104" s="41" t="n">
        <v>99</v>
      </c>
      <c r="X104" s="49" t="n">
        <f aca="false">+IF(ISNUMBER($S104),$S104,MIN($V104,$T104,$U104,$W104))</f>
        <v>73.6</v>
      </c>
      <c r="Y104" s="48" t="n">
        <v>0.112</v>
      </c>
      <c r="Z104" s="48" t="n">
        <v>10000000</v>
      </c>
      <c r="AA104" s="50" t="n">
        <v>1</v>
      </c>
      <c r="AB104" s="48" t="n">
        <f aca="false">Z104/AA104</f>
        <v>10000000</v>
      </c>
      <c r="AC104" s="48"/>
      <c r="AD104" s="51" t="n">
        <f aca="false">Y104/AB104*1000000000000</f>
        <v>11200</v>
      </c>
      <c r="AE104" s="49" t="str">
        <f aca="false">IF(ISNUMBER($Q104), $AD104*1000/2^(($Q104-1.76)/6.02), "")</f>
        <v/>
      </c>
      <c r="AF104" s="49" t="n">
        <f aca="false">$AD104*1000/2^(($X104-1.76)/6.02)</f>
        <v>2863.25526361827</v>
      </c>
      <c r="AG104" s="31" t="str">
        <f aca="false">IF(ISNUMBER($Q104), $Q104+10*LOG10($AB104/2/$Y104), "")</f>
        <v/>
      </c>
      <c r="AH104" s="31" t="n">
        <f aca="false">$X104+10*LOG10($AB104/2/$Y104)</f>
        <v>150.097519816658</v>
      </c>
      <c r="AI104" s="52" t="n">
        <f aca="false">AF104/AB104</f>
        <v>0.000286325526361827</v>
      </c>
      <c r="AJ104" s="53" t="n">
        <f aca="false">AH104+10*LOG10(AB104)</f>
        <v>220.097519816658</v>
      </c>
    </row>
    <row r="105" customFormat="false" ht="12.75" hidden="false" customHeight="false" outlineLevel="0" collapsed="false">
      <c r="A105" s="50" t="n">
        <v>2004</v>
      </c>
      <c r="B105" s="41" t="n">
        <v>25.5</v>
      </c>
      <c r="C105" s="42" t="s">
        <v>111</v>
      </c>
      <c r="D105" s="42" t="s">
        <v>133</v>
      </c>
      <c r="E105" s="42" t="n">
        <v>0.25</v>
      </c>
      <c r="F105" s="44" t="s">
        <v>569</v>
      </c>
      <c r="G105" s="45" t="s">
        <v>570</v>
      </c>
      <c r="H105" s="45" t="s">
        <v>571</v>
      </c>
      <c r="I105" s="44" t="s">
        <v>572</v>
      </c>
      <c r="J105" s="46" t="str">
        <f aca="false">IF(I105&lt;&gt;"?", HYPERLINK(CONCATENATE("https://doi.org/",I105)), "")</f>
        <v>https://doi.org/10.1109/ISSCC.2004.1332793</v>
      </c>
      <c r="K105" s="45" t="s">
        <v>117</v>
      </c>
      <c r="L105" s="41"/>
      <c r="M105" s="41"/>
      <c r="N105" s="41"/>
      <c r="O105" s="34" t="s">
        <v>117</v>
      </c>
      <c r="P105" s="45" t="n">
        <v>19.6</v>
      </c>
      <c r="Q105" s="54"/>
      <c r="R105" s="48" t="n">
        <v>40000000</v>
      </c>
      <c r="S105" s="41" t="n">
        <v>72.6</v>
      </c>
      <c r="T105" s="41"/>
      <c r="U105" s="41"/>
      <c r="V105" s="41"/>
      <c r="W105" s="41" t="n">
        <v>84.5</v>
      </c>
      <c r="X105" s="49" t="n">
        <f aca="false">+IF(ISNUMBER($S105),$S105,MIN($V105,$T105,$U105,$W105))</f>
        <v>72.6</v>
      </c>
      <c r="Y105" s="48" t="n">
        <v>0.755</v>
      </c>
      <c r="Z105" s="48" t="n">
        <v>80000000</v>
      </c>
      <c r="AA105" s="50" t="n">
        <v>1</v>
      </c>
      <c r="AB105" s="48" t="n">
        <f aca="false">Z105/AA105</f>
        <v>80000000</v>
      </c>
      <c r="AC105" s="48"/>
      <c r="AD105" s="51" t="n">
        <f aca="false">Y105/AB105*1000000000000</f>
        <v>9437.5</v>
      </c>
      <c r="AE105" s="49" t="str">
        <f aca="false">IF(ISNUMBER($Q105), $AD105*1000/2^(($Q105-1.76)/6.02), "")</f>
        <v/>
      </c>
      <c r="AF105" s="49" t="n">
        <f aca="false">$AD105*1000/2^(($X105-1.76)/6.02)</f>
        <v>2707.09808976145</v>
      </c>
      <c r="AG105" s="31" t="str">
        <f aca="false">IF(ISNUMBER($Q105), $Q105+10*LOG10($AB105/2/$Y105), "")</f>
        <v/>
      </c>
      <c r="AH105" s="31" t="n">
        <f aca="false">$X105+10*LOG10($AB105/2/$Y105)</f>
        <v>149.841130396988</v>
      </c>
      <c r="AI105" s="52" t="n">
        <f aca="false">AF105/AB105</f>
        <v>3.38387261220181E-005</v>
      </c>
      <c r="AJ105" s="53" t="n">
        <f aca="false">AH105+10*LOG10(AB105)</f>
        <v>228.872030266907</v>
      </c>
    </row>
    <row r="106" customFormat="false" ht="12.75" hidden="false" customHeight="false" outlineLevel="0" collapsed="false">
      <c r="A106" s="50" t="n">
        <v>2004</v>
      </c>
      <c r="B106" s="41" t="n">
        <v>25.6</v>
      </c>
      <c r="C106" s="42" t="s">
        <v>111</v>
      </c>
      <c r="D106" s="42" t="s">
        <v>133</v>
      </c>
      <c r="E106" s="42" t="n">
        <v>0.13</v>
      </c>
      <c r="F106" s="44" t="s">
        <v>573</v>
      </c>
      <c r="G106" s="45" t="s">
        <v>574</v>
      </c>
      <c r="H106" s="45" t="s">
        <v>575</v>
      </c>
      <c r="I106" s="44" t="s">
        <v>576</v>
      </c>
      <c r="J106" s="46" t="str">
        <f aca="false">IF(I106&lt;&gt;"?", HYPERLINK(CONCATENATE("https://doi.org/",I106)), "")</f>
        <v>https://doi.org/10.1109/ISSCC.2004.1332794</v>
      </c>
      <c r="K106" s="45" t="s">
        <v>117</v>
      </c>
      <c r="L106" s="41"/>
      <c r="M106" s="41"/>
      <c r="N106" s="41"/>
      <c r="O106" s="34" t="s">
        <v>117</v>
      </c>
      <c r="P106" s="45" t="n">
        <v>0.3</v>
      </c>
      <c r="Q106" s="54"/>
      <c r="R106" s="48" t="n">
        <v>40000000</v>
      </c>
      <c r="S106" s="41" t="n">
        <f aca="false">9*6.02+1.76</f>
        <v>55.94</v>
      </c>
      <c r="T106" s="41"/>
      <c r="U106" s="41"/>
      <c r="V106" s="41"/>
      <c r="W106" s="41"/>
      <c r="X106" s="49" t="n">
        <f aca="false">+IF(ISNUMBER($S106),$S106,MIN($V106,$T106,$U106,$W106))</f>
        <v>55.94</v>
      </c>
      <c r="Y106" s="48" t="n">
        <v>0.033</v>
      </c>
      <c r="Z106" s="48" t="n">
        <v>80000000</v>
      </c>
      <c r="AA106" s="50" t="n">
        <v>1</v>
      </c>
      <c r="AB106" s="48" t="n">
        <f aca="false">Z106/AA106</f>
        <v>80000000</v>
      </c>
      <c r="AC106" s="48"/>
      <c r="AD106" s="51" t="n">
        <f aca="false">Y106/AB106*1000000000000</f>
        <v>412.5</v>
      </c>
      <c r="AE106" s="49" t="str">
        <f aca="false">IF(ISNUMBER($Q106), $AD106*1000/2^(($Q106-1.76)/6.02), "")</f>
        <v/>
      </c>
      <c r="AF106" s="49" t="n">
        <f aca="false">$AD106*1000/2^(($X106-1.76)/6.02)</f>
        <v>805.6640625</v>
      </c>
      <c r="AG106" s="31" t="str">
        <f aca="false">IF(ISNUMBER($Q106), $Q106+10*LOG10($AB106/2/$Y106), "")</f>
        <v/>
      </c>
      <c r="AH106" s="31" t="n">
        <f aca="false">$X106+10*LOG10($AB106/2/$Y106)</f>
        <v>146.775460514501</v>
      </c>
      <c r="AI106" s="52" t="n">
        <f aca="false">AF106/AB106</f>
        <v>1.007080078125E-005</v>
      </c>
      <c r="AJ106" s="53" t="n">
        <f aca="false">AH106+10*LOG10(AB106)</f>
        <v>225.80636038442</v>
      </c>
    </row>
    <row r="107" customFormat="false" ht="12.75" hidden="false" customHeight="false" outlineLevel="0" collapsed="false">
      <c r="A107" s="50" t="n">
        <v>2004</v>
      </c>
      <c r="B107" s="41" t="n">
        <v>25.7</v>
      </c>
      <c r="C107" s="42" t="s">
        <v>111</v>
      </c>
      <c r="D107" s="42" t="s">
        <v>133</v>
      </c>
      <c r="E107" s="42" t="n">
        <v>0.18</v>
      </c>
      <c r="F107" s="44" t="s">
        <v>577</v>
      </c>
      <c r="G107" s="45" t="s">
        <v>578</v>
      </c>
      <c r="H107" s="45" t="s">
        <v>579</v>
      </c>
      <c r="I107" s="44" t="s">
        <v>580</v>
      </c>
      <c r="J107" s="46" t="str">
        <f aca="false">IF(I107&lt;&gt;"?", HYPERLINK(CONCATENATE("https://doi.org/",I107)), "")</f>
        <v>https://doi.org/10.1109/ISSCC.2004.1332795</v>
      </c>
      <c r="K107" s="45" t="s">
        <v>117</v>
      </c>
      <c r="L107" s="41"/>
      <c r="M107" s="41"/>
      <c r="N107" s="41"/>
      <c r="O107" s="34" t="s">
        <v>117</v>
      </c>
      <c r="P107" s="45" t="n">
        <v>15.96</v>
      </c>
      <c r="Q107" s="54"/>
      <c r="R107" s="48" t="n">
        <v>15000000</v>
      </c>
      <c r="S107" s="41" t="n">
        <v>61</v>
      </c>
      <c r="T107" s="41"/>
      <c r="U107" s="41"/>
      <c r="V107" s="41" t="n">
        <v>78</v>
      </c>
      <c r="W107" s="41" t="n">
        <v>84</v>
      </c>
      <c r="X107" s="49" t="n">
        <f aca="false">+IF(ISNUMBER($S107),$S107,MIN($V107,$T107,$U107,$W107))</f>
        <v>61</v>
      </c>
      <c r="Y107" s="48" t="n">
        <v>0.35</v>
      </c>
      <c r="Z107" s="48" t="n">
        <v>30000000</v>
      </c>
      <c r="AA107" s="50" t="n">
        <v>1</v>
      </c>
      <c r="AB107" s="48" t="n">
        <f aca="false">Z107/AA107</f>
        <v>30000000</v>
      </c>
      <c r="AC107" s="48"/>
      <c r="AD107" s="51" t="n">
        <f aca="false">Y107/AB107*1000000000000</f>
        <v>11666.6666666667</v>
      </c>
      <c r="AE107" s="49" t="str">
        <f aca="false">IF(ISNUMBER($Q107), $AD107*1000/2^(($Q107-1.76)/6.02), "")</f>
        <v/>
      </c>
      <c r="AF107" s="49" t="n">
        <f aca="false">$AD107*1000/2^(($X107-1.76)/6.02)</f>
        <v>12724.8190814157</v>
      </c>
      <c r="AG107" s="31" t="str">
        <f aca="false">IF(ISNUMBER($Q107), $Q107+10*LOG10($AB107/2/$Y107), "")</f>
        <v/>
      </c>
      <c r="AH107" s="31" t="n">
        <f aca="false">$X107+10*LOG10($AB107/2/$Y107)</f>
        <v>137.320232147054</v>
      </c>
      <c r="AI107" s="52" t="n">
        <f aca="false">AF107/AB107</f>
        <v>0.000424160636047191</v>
      </c>
      <c r="AJ107" s="53" t="n">
        <f aca="false">AH107+10*LOG10(AB107)</f>
        <v>212.091444694251</v>
      </c>
    </row>
    <row r="108" customFormat="false" ht="12.75" hidden="false" customHeight="false" outlineLevel="0" collapsed="false">
      <c r="A108" s="40" t="n">
        <v>2005</v>
      </c>
      <c r="B108" s="41" t="n">
        <v>9.1</v>
      </c>
      <c r="C108" s="42" t="s">
        <v>139</v>
      </c>
      <c r="D108" s="42" t="s">
        <v>581</v>
      </c>
      <c r="E108" s="42" t="n">
        <v>0.35</v>
      </c>
      <c r="F108" s="44" t="s">
        <v>582</v>
      </c>
      <c r="G108" s="45" t="s">
        <v>583</v>
      </c>
      <c r="H108" s="45" t="s">
        <v>584</v>
      </c>
      <c r="I108" s="44" t="s">
        <v>585</v>
      </c>
      <c r="J108" s="46" t="str">
        <f aca="false">IF(I108&lt;&gt;"?", HYPERLINK(CONCATENATE("https://doi.org/",I108)), "")</f>
        <v>https://doi.org/10.1109/ISSCC.2005.1493921</v>
      </c>
      <c r="K108" s="45" t="s">
        <v>117</v>
      </c>
      <c r="L108" s="41" t="n">
        <v>0.6</v>
      </c>
      <c r="M108" s="41"/>
      <c r="N108" s="41"/>
      <c r="O108" s="34" t="s">
        <v>117</v>
      </c>
      <c r="P108" s="45" t="n">
        <v>2.88</v>
      </c>
      <c r="Q108" s="54"/>
      <c r="R108" s="48" t="n">
        <v>24000</v>
      </c>
      <c r="S108" s="41" t="n">
        <v>81</v>
      </c>
      <c r="T108" s="41" t="n">
        <v>81</v>
      </c>
      <c r="U108" s="41" t="n">
        <v>82</v>
      </c>
      <c r="V108" s="41"/>
      <c r="W108" s="41" t="n">
        <v>103</v>
      </c>
      <c r="X108" s="49" t="n">
        <f aca="false">+IF(ISNUMBER($S108),$S108,MIN($V108,$T108,$U108,$W108))</f>
        <v>81</v>
      </c>
      <c r="Y108" s="48" t="n">
        <v>0.001</v>
      </c>
      <c r="Z108" s="48" t="n">
        <v>3072000</v>
      </c>
      <c r="AA108" s="50" t="n">
        <v>64</v>
      </c>
      <c r="AB108" s="48" t="n">
        <f aca="false">Z108/AA108</f>
        <v>48000</v>
      </c>
      <c r="AC108" s="48"/>
      <c r="AD108" s="51" t="n">
        <f aca="false">Y108/AB108*1000000000000</f>
        <v>20833.3333333333</v>
      </c>
      <c r="AE108" s="49" t="str">
        <f aca="false">IF(ISNUMBER($Q108), $AD108*1000/2^(($Q108-1.76)/6.02), "")</f>
        <v/>
      </c>
      <c r="AF108" s="49" t="n">
        <f aca="false">$AD108*1000/2^(($X108-1.76)/6.02)</f>
        <v>2271.76778121442</v>
      </c>
      <c r="AG108" s="31" t="str">
        <f aca="false">IF(ISNUMBER($Q108), $Q108+10*LOG10($AB108/2/$Y108), "")</f>
        <v/>
      </c>
      <c r="AH108" s="31" t="n">
        <f aca="false">$X108+10*LOG10($AB108/2/$Y108)</f>
        <v>154.802112417116</v>
      </c>
      <c r="AI108" s="52" t="n">
        <f aca="false">AF108/AB108</f>
        <v>0.047328495441967</v>
      </c>
      <c r="AJ108" s="53" t="n">
        <f aca="false">AH108+10*LOG10(AB108)</f>
        <v>201.614524790872</v>
      </c>
    </row>
    <row r="109" customFormat="false" ht="12.75" hidden="false" customHeight="false" outlineLevel="0" collapsed="false">
      <c r="A109" s="50" t="n">
        <v>2005</v>
      </c>
      <c r="B109" s="41" t="n">
        <v>9.2</v>
      </c>
      <c r="C109" s="42" t="s">
        <v>139</v>
      </c>
      <c r="D109" s="42" t="s">
        <v>145</v>
      </c>
      <c r="E109" s="42" t="n">
        <v>0.09</v>
      </c>
      <c r="F109" s="44" t="s">
        <v>586</v>
      </c>
      <c r="G109" s="45" t="s">
        <v>587</v>
      </c>
      <c r="H109" s="45" t="s">
        <v>588</v>
      </c>
      <c r="I109" s="44" t="s">
        <v>589</v>
      </c>
      <c r="J109" s="46" t="str">
        <f aca="false">IF(I109&lt;&gt;"?", HYPERLINK(CONCATENATE("https://doi.org/",I109)), "")</f>
        <v>https://doi.org/10.1109/ISSCC.2005.1493922</v>
      </c>
      <c r="K109" s="45" t="s">
        <v>117</v>
      </c>
      <c r="L109" s="41" t="n">
        <v>1.3</v>
      </c>
      <c r="M109" s="41"/>
      <c r="N109" s="41"/>
      <c r="O109" s="34" t="s">
        <v>117</v>
      </c>
      <c r="P109" s="45" t="n">
        <v>0.4</v>
      </c>
      <c r="Q109" s="54"/>
      <c r="R109" s="48" t="n">
        <v>2000000</v>
      </c>
      <c r="S109" s="41" t="n">
        <v>51</v>
      </c>
      <c r="T109" s="41"/>
      <c r="U109" s="41" t="n">
        <v>58</v>
      </c>
      <c r="V109" s="41"/>
      <c r="W109" s="41"/>
      <c r="X109" s="49" t="n">
        <f aca="false">+IF(ISNUMBER($S109),$S109,MIN($V109,$T109,$U109,$W109))</f>
        <v>51</v>
      </c>
      <c r="Y109" s="48" t="n">
        <v>0.0021</v>
      </c>
      <c r="Z109" s="48" t="n">
        <v>40000000</v>
      </c>
      <c r="AA109" s="50" t="n">
        <v>10</v>
      </c>
      <c r="AB109" s="48" t="n">
        <f aca="false">Z109/AA109</f>
        <v>4000000</v>
      </c>
      <c r="AC109" s="48"/>
      <c r="AD109" s="51" t="n">
        <f aca="false">Y109/AB109*1000000000000</f>
        <v>525</v>
      </c>
      <c r="AE109" s="49" t="str">
        <f aca="false">IF(ISNUMBER($Q109), $AD109*1000/2^(($Q109-1.76)/6.02), "")</f>
        <v/>
      </c>
      <c r="AF109" s="49" t="n">
        <f aca="false">$AD109*1000/2^(($X109-1.76)/6.02)</f>
        <v>1810.98126227684</v>
      </c>
      <c r="AG109" s="31" t="str">
        <f aca="false">IF(ISNUMBER($Q109), $Q109+10*LOG10($AB109/2/$Y109), "")</f>
        <v/>
      </c>
      <c r="AH109" s="31" t="n">
        <f aca="false">$X109+10*LOG10($AB109/2/$Y109)</f>
        <v>140.788107009301</v>
      </c>
      <c r="AI109" s="52" t="n">
        <f aca="false">AF109/AB109</f>
        <v>0.00045274531556921</v>
      </c>
      <c r="AJ109" s="53" t="n">
        <f aca="false">AH109+10*LOG10(AB109)</f>
        <v>206.80870692258</v>
      </c>
    </row>
    <row r="110" customFormat="false" ht="12.75" hidden="false" customHeight="false" outlineLevel="0" collapsed="false">
      <c r="A110" s="50" t="n">
        <v>2005</v>
      </c>
      <c r="B110" s="41" t="n">
        <v>9.3</v>
      </c>
      <c r="C110" s="42" t="s">
        <v>139</v>
      </c>
      <c r="D110" s="42" t="s">
        <v>145</v>
      </c>
      <c r="E110" s="42" t="n">
        <v>0.09</v>
      </c>
      <c r="F110" s="59" t="s">
        <v>590</v>
      </c>
      <c r="G110" s="45" t="s">
        <v>591</v>
      </c>
      <c r="H110" s="45" t="s">
        <v>592</v>
      </c>
      <c r="I110" s="44" t="s">
        <v>593</v>
      </c>
      <c r="J110" s="46" t="str">
        <f aca="false">IF(I110&lt;&gt;"?", HYPERLINK(CONCATENATE("https://doi.org/",I110)), "")</f>
        <v>https://doi.org/10.1109/ISSCC.2005.1493923</v>
      </c>
      <c r="K110" s="45" t="s">
        <v>117</v>
      </c>
      <c r="L110" s="41" t="n">
        <v>1.2</v>
      </c>
      <c r="M110" s="41"/>
      <c r="N110" s="41"/>
      <c r="O110" s="34" t="s">
        <v>117</v>
      </c>
      <c r="P110" s="45" t="n">
        <v>0.26</v>
      </c>
      <c r="Q110" s="54"/>
      <c r="R110" s="48" t="n">
        <v>1940000</v>
      </c>
      <c r="S110" s="41" t="n">
        <v>63</v>
      </c>
      <c r="T110" s="41"/>
      <c r="U110" s="41" t="n">
        <v>66</v>
      </c>
      <c r="V110" s="41"/>
      <c r="W110" s="41"/>
      <c r="X110" s="49" t="n">
        <f aca="false">+IF(ISNUMBER($S110),$S110,MIN($V110,$T110,$U110,$W110))</f>
        <v>63</v>
      </c>
      <c r="Y110" s="48" t="n">
        <v>0.0012</v>
      </c>
      <c r="Z110" s="48" t="n">
        <v>38400000</v>
      </c>
      <c r="AA110" s="50" t="n">
        <v>9.89690721649485</v>
      </c>
      <c r="AB110" s="48" t="n">
        <f aca="false">Z110/AA110</f>
        <v>3880000</v>
      </c>
      <c r="AC110" s="48"/>
      <c r="AD110" s="51" t="n">
        <f aca="false">Y110/AB110*1000000000000</f>
        <v>309.278350515464</v>
      </c>
      <c r="AE110" s="49" t="str">
        <f aca="false">IF(ISNUMBER($Q110), $AD110*1000/2^(($Q110-1.76)/6.02), "")</f>
        <v/>
      </c>
      <c r="AF110" s="49" t="n">
        <f aca="false">$AD110*1000/2^(($X110-1.76)/6.02)</f>
        <v>267.944213094963</v>
      </c>
      <c r="AG110" s="31" t="str">
        <f aca="false">IF(ISNUMBER($Q110), $Q110+10*LOG10($AB110/2/$Y110), "")</f>
        <v/>
      </c>
      <c r="AH110" s="31" t="n">
        <f aca="false">$X110+10*LOG10($AB110/2/$Y110)</f>
        <v>155.086204838826</v>
      </c>
      <c r="AI110" s="52" t="n">
        <f aca="false">AF110/AB110</f>
        <v>6.90577868801452E-005</v>
      </c>
      <c r="AJ110" s="53" t="n">
        <f aca="false">AH110+10*LOG10(AB110)</f>
        <v>220.974522094768</v>
      </c>
    </row>
    <row r="111" customFormat="false" ht="12.75" hidden="false" customHeight="false" outlineLevel="0" collapsed="false">
      <c r="A111" s="50" t="n">
        <v>2005</v>
      </c>
      <c r="B111" s="41" t="n">
        <v>9.4</v>
      </c>
      <c r="C111" s="42" t="s">
        <v>139</v>
      </c>
      <c r="D111" s="42" t="s">
        <v>145</v>
      </c>
      <c r="E111" s="42" t="n">
        <v>0.25</v>
      </c>
      <c r="F111" s="44" t="s">
        <v>594</v>
      </c>
      <c r="G111" s="45" t="s">
        <v>595</v>
      </c>
      <c r="H111" s="45" t="s">
        <v>596</v>
      </c>
      <c r="I111" s="44" t="s">
        <v>597</v>
      </c>
      <c r="J111" s="46" t="str">
        <f aca="false">IF(I111&lt;&gt;"?", HYPERLINK(CONCATENATE("https://doi.org/",I111)), "")</f>
        <v>https://doi.org/10.1109/ISSCC.2005.1493924</v>
      </c>
      <c r="K111" s="45" t="s">
        <v>598</v>
      </c>
      <c r="L111" s="41" t="n">
        <v>5</v>
      </c>
      <c r="M111" s="41" t="n">
        <v>2.5</v>
      </c>
      <c r="N111" s="41"/>
      <c r="O111" s="34" t="s">
        <v>117</v>
      </c>
      <c r="P111" s="45" t="n">
        <v>20.21</v>
      </c>
      <c r="Q111" s="54"/>
      <c r="R111" s="48" t="n">
        <v>1000000</v>
      </c>
      <c r="S111" s="41"/>
      <c r="T111" s="41" t="n">
        <v>100</v>
      </c>
      <c r="U111" s="41" t="n">
        <v>103</v>
      </c>
      <c r="V111" s="41"/>
      <c r="W111" s="41"/>
      <c r="X111" s="49" t="n">
        <f aca="false">+IF(ISNUMBER($S111),$S111,MIN($V111,$T111,$U111,$W111))</f>
        <v>100</v>
      </c>
      <c r="Y111" s="48" t="n">
        <v>0.475</v>
      </c>
      <c r="Z111" s="48" t="n">
        <v>20000000</v>
      </c>
      <c r="AA111" s="50" t="n">
        <v>10</v>
      </c>
      <c r="AB111" s="48" t="n">
        <f aca="false">Z111/AA111</f>
        <v>2000000</v>
      </c>
      <c r="AC111" s="48"/>
      <c r="AD111" s="51" t="n">
        <f aca="false">Y111/AB111*1000000000000</f>
        <v>237500</v>
      </c>
      <c r="AE111" s="49" t="str">
        <f aca="false">IF(ISNUMBER($Q111), $AD111*1000/2^(($Q111-1.76)/6.02), "")</f>
        <v/>
      </c>
      <c r="AF111" s="49" t="n">
        <f aca="false">$AD111*1000/2^(($X111-1.76)/6.02)</f>
        <v>2905.18716376741</v>
      </c>
      <c r="AG111" s="31" t="str">
        <f aca="false">IF(ISNUMBER($Q111), $Q111+10*LOG10($AB111/2/$Y111), "")</f>
        <v/>
      </c>
      <c r="AH111" s="31" t="n">
        <f aca="false">$X111+10*LOG10($AB111/2/$Y111)</f>
        <v>163.233063903751</v>
      </c>
      <c r="AI111" s="52" t="n">
        <f aca="false">AF111/AB111</f>
        <v>0.00145259358188371</v>
      </c>
      <c r="AJ111" s="53" t="n">
        <f aca="false">AH111+10*LOG10(AB111)</f>
        <v>226.243363860391</v>
      </c>
    </row>
    <row r="112" customFormat="false" ht="12.75" hidden="false" customHeight="false" outlineLevel="0" collapsed="false">
      <c r="A112" s="50" t="n">
        <v>2005</v>
      </c>
      <c r="B112" s="41" t="n">
        <v>9.5</v>
      </c>
      <c r="C112" s="42" t="s">
        <v>139</v>
      </c>
      <c r="D112" s="42" t="s">
        <v>140</v>
      </c>
      <c r="E112" s="42" t="n">
        <v>0.18</v>
      </c>
      <c r="F112" s="59" t="s">
        <v>599</v>
      </c>
      <c r="G112" s="45" t="s">
        <v>600</v>
      </c>
      <c r="H112" s="45" t="s">
        <v>601</v>
      </c>
      <c r="I112" s="44" t="s">
        <v>602</v>
      </c>
      <c r="J112" s="46" t="str">
        <f aca="false">IF(I112&lt;&gt;"?", HYPERLINK(CONCATENATE("https://doi.org/",I112)), "")</f>
        <v>https://doi.org/10.1109/ISSCC.2005.1493925</v>
      </c>
      <c r="K112" s="45" t="s">
        <v>117</v>
      </c>
      <c r="L112" s="41"/>
      <c r="M112" s="41"/>
      <c r="N112" s="41"/>
      <c r="O112" s="34" t="s">
        <v>117</v>
      </c>
      <c r="P112" s="56" t="n">
        <v>4</v>
      </c>
      <c r="Q112" s="54"/>
      <c r="R112" s="48" t="n">
        <v>10000000</v>
      </c>
      <c r="S112" s="41" t="n">
        <v>73.5</v>
      </c>
      <c r="T112" s="41" t="n">
        <v>73.8</v>
      </c>
      <c r="U112" s="41" t="n">
        <v>75</v>
      </c>
      <c r="V112" s="41"/>
      <c r="W112" s="41" t="n">
        <v>87</v>
      </c>
      <c r="X112" s="49" t="n">
        <f aca="false">+IF(ISNUMBER($S112),$S112,MIN($V112,$T112,$U112,$W112))</f>
        <v>73.5</v>
      </c>
      <c r="Y112" s="48" t="n">
        <v>0.24</v>
      </c>
      <c r="Z112" s="48" t="n">
        <v>80000000</v>
      </c>
      <c r="AA112" s="50" t="n">
        <v>4</v>
      </c>
      <c r="AB112" s="48" t="n">
        <f aca="false">Z112/AA112</f>
        <v>20000000</v>
      </c>
      <c r="AC112" s="48"/>
      <c r="AD112" s="51" t="n">
        <f aca="false">Y112/AB112*1000000000000</f>
        <v>12000</v>
      </c>
      <c r="AE112" s="49" t="str">
        <f aca="false">IF(ISNUMBER($Q112), $AD112*1000/2^(($Q112-1.76)/6.02), "")</f>
        <v/>
      </c>
      <c r="AF112" s="49" t="n">
        <f aca="false">$AD112*1000/2^(($X112-1.76)/6.02)</f>
        <v>3103.3002000389</v>
      </c>
      <c r="AG112" s="31" t="str">
        <f aca="false">IF(ISNUMBER($Q112), $Q112+10*LOG10($AB112/2/$Y112), "")</f>
        <v/>
      </c>
      <c r="AH112" s="31" t="n">
        <f aca="false">$X112+10*LOG10($AB112/2/$Y112)</f>
        <v>149.697887582884</v>
      </c>
      <c r="AI112" s="52" t="n">
        <f aca="false">AF112/AB112</f>
        <v>0.000155165010001945</v>
      </c>
      <c r="AJ112" s="53" t="n">
        <f aca="false">AH112+10*LOG10(AB112)</f>
        <v>222.708187539524</v>
      </c>
    </row>
    <row r="113" customFormat="false" ht="12.75" hidden="false" customHeight="false" outlineLevel="0" collapsed="false">
      <c r="A113" s="50" t="n">
        <v>2005</v>
      </c>
      <c r="B113" s="41" t="n">
        <v>9.6</v>
      </c>
      <c r="C113" s="42" t="s">
        <v>139</v>
      </c>
      <c r="D113" s="42" t="s">
        <v>603</v>
      </c>
      <c r="E113" s="42" t="n">
        <v>0.35</v>
      </c>
      <c r="F113" s="59" t="s">
        <v>604</v>
      </c>
      <c r="G113" s="45" t="s">
        <v>605</v>
      </c>
      <c r="H113" s="45" t="s">
        <v>606</v>
      </c>
      <c r="I113" s="44" t="s">
        <v>607</v>
      </c>
      <c r="J113" s="46" t="str">
        <f aca="false">IF(I113&lt;&gt;"?", HYPERLINK(CONCATENATE("https://doi.org/",I113)), "")</f>
        <v>https://doi.org/10.1109/ISSCC.2005.1493926</v>
      </c>
      <c r="K113" s="45" t="s">
        <v>117</v>
      </c>
      <c r="L113" s="41"/>
      <c r="M113" s="41"/>
      <c r="N113" s="41"/>
      <c r="O113" s="34" t="s">
        <v>117</v>
      </c>
      <c r="P113" s="45" t="n">
        <v>0.82</v>
      </c>
      <c r="Q113" s="54"/>
      <c r="R113" s="48" t="n">
        <v>20000</v>
      </c>
      <c r="S113" s="41" t="n">
        <v>97</v>
      </c>
      <c r="T113" s="41" t="n">
        <v>106</v>
      </c>
      <c r="U113" s="41" t="n">
        <v>106</v>
      </c>
      <c r="V113" s="41"/>
      <c r="W113" s="41"/>
      <c r="X113" s="49" t="n">
        <f aca="false">+IF(ISNUMBER($S113),$S113,MIN($V113,$T113,$U113,$W113))</f>
        <v>97</v>
      </c>
      <c r="Y113" s="48" t="n">
        <v>0.018</v>
      </c>
      <c r="Z113" s="48" t="n">
        <v>6144000</v>
      </c>
      <c r="AA113" s="50" t="n">
        <v>153.6</v>
      </c>
      <c r="AB113" s="48" t="n">
        <f aca="false">Z113/AA113</f>
        <v>40000</v>
      </c>
      <c r="AC113" s="48"/>
      <c r="AD113" s="51" t="n">
        <f aca="false">Y113/AB113*1000000000000</f>
        <v>450000</v>
      </c>
      <c r="AE113" s="49" t="str">
        <f aca="false">IF(ISNUMBER($Q113), $AD113*1000/2^(($Q113-1.76)/6.02), "")</f>
        <v/>
      </c>
      <c r="AF113" s="49" t="n">
        <f aca="false">$AD113*1000/2^(($X113-1.76)/6.02)</f>
        <v>7775.67257127888</v>
      </c>
      <c r="AG113" s="31" t="str">
        <f aca="false">IF(ISNUMBER($Q113), $Q113+10*LOG10($AB113/2/$Y113), "")</f>
        <v/>
      </c>
      <c r="AH113" s="31" t="n">
        <f aca="false">$X113+10*LOG10($AB113/2/$Y113)</f>
        <v>157.457574905607</v>
      </c>
      <c r="AI113" s="52" t="n">
        <f aca="false">AF113/AB113</f>
        <v>0.194391814281972</v>
      </c>
      <c r="AJ113" s="53" t="n">
        <f aca="false">AH113+10*LOG10(AB113)</f>
        <v>203.478174818886</v>
      </c>
    </row>
    <row r="114" customFormat="false" ht="12.75" hidden="false" customHeight="false" outlineLevel="0" collapsed="false">
      <c r="A114" s="50" t="n">
        <v>2005</v>
      </c>
      <c r="B114" s="41" t="n">
        <v>9.7</v>
      </c>
      <c r="C114" s="42" t="s">
        <v>139</v>
      </c>
      <c r="D114" s="42" t="s">
        <v>603</v>
      </c>
      <c r="E114" s="42" t="n">
        <v>0.18</v>
      </c>
      <c r="F114" s="59" t="s">
        <v>608</v>
      </c>
      <c r="G114" s="45" t="s">
        <v>609</v>
      </c>
      <c r="H114" s="45" t="s">
        <v>610</v>
      </c>
      <c r="I114" s="44" t="s">
        <v>611</v>
      </c>
      <c r="J114" s="46" t="str">
        <f aca="false">IF(I114&lt;&gt;"?", HYPERLINK(CONCATENATE("https://doi.org/",I114)), "")</f>
        <v>https://doi.org/10.1109/ISSCC.2005.1493927</v>
      </c>
      <c r="K114" s="45" t="s">
        <v>117</v>
      </c>
      <c r="L114" s="41" t="n">
        <v>3.3</v>
      </c>
      <c r="M114" s="41"/>
      <c r="N114" s="41"/>
      <c r="O114" s="34" t="s">
        <v>117</v>
      </c>
      <c r="P114" s="45" t="n">
        <v>0.65</v>
      </c>
      <c r="Q114" s="54"/>
      <c r="R114" s="48" t="n">
        <v>20000</v>
      </c>
      <c r="S114" s="41"/>
      <c r="T114" s="41" t="n">
        <v>102</v>
      </c>
      <c r="U114" s="41"/>
      <c r="V114" s="41"/>
      <c r="W114" s="41"/>
      <c r="X114" s="49" t="n">
        <f aca="false">+IF(ISNUMBER($S114),$S114,MIN($V114,$T114,$U114,$W114))</f>
        <v>102</v>
      </c>
      <c r="Y114" s="48" t="n">
        <v>0.037</v>
      </c>
      <c r="Z114" s="48" t="n">
        <v>6144000</v>
      </c>
      <c r="AA114" s="50" t="n">
        <v>153.6</v>
      </c>
      <c r="AB114" s="48" t="n">
        <f aca="false">Z114/AA114</f>
        <v>40000</v>
      </c>
      <c r="AC114" s="48"/>
      <c r="AD114" s="51" t="n">
        <f aca="false">Y114/AB114*1000000000000</f>
        <v>925000</v>
      </c>
      <c r="AE114" s="49" t="str">
        <f aca="false">IF(ISNUMBER($Q114), $AD114*1000/2^(($Q114-1.76)/6.02), "")</f>
        <v/>
      </c>
      <c r="AF114" s="49" t="n">
        <f aca="false">$AD114*1000/2^(($X114-1.76)/6.02)</f>
        <v>8987.56967164536</v>
      </c>
      <c r="AG114" s="31" t="str">
        <f aca="false">IF(ISNUMBER($Q114), $Q114+10*LOG10($AB114/2/$Y114), "")</f>
        <v/>
      </c>
      <c r="AH114" s="31" t="n">
        <f aca="false">$X114+10*LOG10($AB114/2/$Y114)</f>
        <v>159.32828271597</v>
      </c>
      <c r="AI114" s="52" t="n">
        <f aca="false">AF114/AB114</f>
        <v>0.224689241791134</v>
      </c>
      <c r="AJ114" s="53" t="n">
        <f aca="false">AH114+10*LOG10(AB114)</f>
        <v>205.348882629249</v>
      </c>
    </row>
    <row r="115" customFormat="false" ht="12.75" hidden="false" customHeight="false" outlineLevel="0" collapsed="false">
      <c r="A115" s="50" t="n">
        <v>2005</v>
      </c>
      <c r="B115" s="41" t="n">
        <v>15.2</v>
      </c>
      <c r="C115" s="42" t="s">
        <v>111</v>
      </c>
      <c r="D115" s="42" t="s">
        <v>133</v>
      </c>
      <c r="E115" s="42" t="n">
        <v>0.09</v>
      </c>
      <c r="F115" s="59" t="s">
        <v>612</v>
      </c>
      <c r="G115" s="45" t="s">
        <v>613</v>
      </c>
      <c r="H115" s="45" t="s">
        <v>614</v>
      </c>
      <c r="I115" s="44" t="s">
        <v>615</v>
      </c>
      <c r="J115" s="46" t="str">
        <f aca="false">IF(I115&lt;&gt;"?", HYPERLINK(CONCATENATE("https://doi.org/",I115)), "")</f>
        <v>https://doi.org/10.1109/ISSCC.2005.1493977</v>
      </c>
      <c r="K115" s="45" t="s">
        <v>117</v>
      </c>
      <c r="L115" s="41" t="n">
        <v>1.2</v>
      </c>
      <c r="M115" s="41"/>
      <c r="N115" s="41"/>
      <c r="O115" s="34" t="s">
        <v>117</v>
      </c>
      <c r="P115" s="45" t="n">
        <v>0.3</v>
      </c>
      <c r="Q115" s="54"/>
      <c r="R115" s="48" t="n">
        <v>6000000</v>
      </c>
      <c r="S115" s="41" t="n">
        <v>52.6</v>
      </c>
      <c r="T115" s="41"/>
      <c r="U115" s="41"/>
      <c r="V115" s="41"/>
      <c r="W115" s="41"/>
      <c r="X115" s="49" t="n">
        <f aca="false">+IF(ISNUMBER($S115),$S115,MIN($V115,$T115,$U115,$W115))</f>
        <v>52.6</v>
      </c>
      <c r="Y115" s="48" t="n">
        <v>0.0033</v>
      </c>
      <c r="Z115" s="48" t="n">
        <v>12000000</v>
      </c>
      <c r="AA115" s="50" t="n">
        <v>1</v>
      </c>
      <c r="AB115" s="48" t="n">
        <f aca="false">Z115/AA115</f>
        <v>12000000</v>
      </c>
      <c r="AC115" s="48"/>
      <c r="AD115" s="51" t="n">
        <f aca="false">Y115/AB115*1000000000000</f>
        <v>275</v>
      </c>
      <c r="AE115" s="49" t="str">
        <f aca="false">IF(ISNUMBER($Q115), $AD115*1000/2^(($Q115-1.76)/6.02), "")</f>
        <v/>
      </c>
      <c r="AF115" s="49" t="n">
        <f aca="false">$AD115*1000/2^(($X115-1.76)/6.02)</f>
        <v>789.004308877784</v>
      </c>
      <c r="AG115" s="31" t="str">
        <f aca="false">IF(ISNUMBER($Q115), $Q115+10*LOG10($AB115/2/$Y115), "")</f>
        <v/>
      </c>
      <c r="AH115" s="31" t="n">
        <f aca="false">$X115+10*LOG10($AB115/2/$Y115)</f>
        <v>145.196373105058</v>
      </c>
      <c r="AI115" s="52" t="n">
        <f aca="false">AF115/AB115</f>
        <v>6.57503590731486E-005</v>
      </c>
      <c r="AJ115" s="53" t="n">
        <f aca="false">AH115+10*LOG10(AB115)</f>
        <v>215.988185565534</v>
      </c>
    </row>
    <row r="116" customFormat="false" ht="12.75" hidden="false" customHeight="false" outlineLevel="0" collapsed="false">
      <c r="A116" s="50" t="n">
        <v>2005</v>
      </c>
      <c r="B116" s="41" t="n">
        <v>15.3</v>
      </c>
      <c r="C116" s="42" t="s">
        <v>111</v>
      </c>
      <c r="D116" s="42" t="s">
        <v>616</v>
      </c>
      <c r="E116" s="42" t="n">
        <v>0.18</v>
      </c>
      <c r="F116" s="44" t="s">
        <v>617</v>
      </c>
      <c r="G116" s="45" t="s">
        <v>618</v>
      </c>
      <c r="H116" s="45" t="s">
        <v>619</v>
      </c>
      <c r="I116" s="44" t="s">
        <v>620</v>
      </c>
      <c r="J116" s="46" t="str">
        <f aca="false">IF(I116&lt;&gt;"?", HYPERLINK(CONCATENATE("https://doi.org/",I116)), "")</f>
        <v>https://doi.org/10.1109/ISSCC.2005.1493978</v>
      </c>
      <c r="K116" s="45" t="s">
        <v>117</v>
      </c>
      <c r="L116" s="41"/>
      <c r="M116" s="41"/>
      <c r="N116" s="41"/>
      <c r="O116" s="34" t="s">
        <v>117</v>
      </c>
      <c r="P116" s="45" t="n">
        <v>1.2</v>
      </c>
      <c r="Q116" s="54"/>
      <c r="R116" s="48" t="n">
        <v>25000000</v>
      </c>
      <c r="S116" s="41" t="n">
        <v>55</v>
      </c>
      <c r="T116" s="41"/>
      <c r="U116" s="41"/>
      <c r="V116" s="41"/>
      <c r="W116" s="41"/>
      <c r="X116" s="49" t="n">
        <f aca="false">+IF(ISNUMBER($S116),$S116,MIN($V116,$T116,$U116,$W116))</f>
        <v>55</v>
      </c>
      <c r="Y116" s="48" t="n">
        <v>0.035</v>
      </c>
      <c r="Z116" s="48" t="n">
        <v>50000000</v>
      </c>
      <c r="AA116" s="50" t="n">
        <v>1</v>
      </c>
      <c r="AB116" s="48" t="n">
        <f aca="false">Z116/AA116</f>
        <v>50000000</v>
      </c>
      <c r="AC116" s="48"/>
      <c r="AD116" s="51" t="n">
        <f aca="false">Y116/AB116*1000000000000</f>
        <v>700</v>
      </c>
      <c r="AE116" s="49" t="str">
        <f aca="false">IF(ISNUMBER($Q116), $AD116*1000/2^(($Q116-1.76)/6.02), "")</f>
        <v/>
      </c>
      <c r="AF116" s="49" t="n">
        <f aca="false">$AD116*1000/2^(($X116-1.76)/6.02)</f>
        <v>1523.46598758397</v>
      </c>
      <c r="AG116" s="31" t="str">
        <f aca="false">IF(ISNUMBER($Q116), $Q116+10*LOG10($AB116/2/$Y116), "")</f>
        <v/>
      </c>
      <c r="AH116" s="31" t="n">
        <f aca="false">$X116+10*LOG10($AB116/2/$Y116)</f>
        <v>143.538719643218</v>
      </c>
      <c r="AI116" s="52" t="n">
        <f aca="false">AF116/AB116</f>
        <v>3.04693197516794E-005</v>
      </c>
      <c r="AJ116" s="53" t="n">
        <f aca="false">AH116+10*LOG10(AB116)</f>
        <v>220.528419686578</v>
      </c>
    </row>
    <row r="117" customFormat="false" ht="12.75" hidden="false" customHeight="false" outlineLevel="0" collapsed="false">
      <c r="A117" s="50" t="n">
        <v>2005</v>
      </c>
      <c r="B117" s="41" t="n">
        <v>15.4</v>
      </c>
      <c r="C117" s="42" t="s">
        <v>111</v>
      </c>
      <c r="D117" s="42" t="s">
        <v>133</v>
      </c>
      <c r="E117" s="42" t="n">
        <v>0.18</v>
      </c>
      <c r="F117" s="44" t="s">
        <v>621</v>
      </c>
      <c r="G117" s="45" t="s">
        <v>622</v>
      </c>
      <c r="H117" s="45" t="s">
        <v>623</v>
      </c>
      <c r="I117" s="44" t="s">
        <v>624</v>
      </c>
      <c r="J117" s="46" t="str">
        <f aca="false">IF(I117&lt;&gt;"?", HYPERLINK(CONCATENATE("https://doi.org/",I117)), "")</f>
        <v>https://doi.org/10.1109/ISSCC.2005.1493979</v>
      </c>
      <c r="K117" s="45" t="s">
        <v>117</v>
      </c>
      <c r="L117" s="41" t="n">
        <v>1.8</v>
      </c>
      <c r="M117" s="41"/>
      <c r="N117" s="41"/>
      <c r="O117" s="34" t="s">
        <v>117</v>
      </c>
      <c r="P117" s="45" t="n">
        <v>0.66</v>
      </c>
      <c r="Q117" s="54"/>
      <c r="R117" s="48" t="n">
        <v>62500000</v>
      </c>
      <c r="S117" s="41" t="n">
        <v>53.7</v>
      </c>
      <c r="T117" s="41"/>
      <c r="U117" s="41"/>
      <c r="V117" s="41"/>
      <c r="W117" s="41"/>
      <c r="X117" s="49" t="n">
        <f aca="false">+IF(ISNUMBER($S117),$S117,MIN($V117,$T117,$U117,$W117))</f>
        <v>53.7</v>
      </c>
      <c r="Y117" s="48" t="n">
        <v>0.04</v>
      </c>
      <c r="Z117" s="48" t="n">
        <v>125000000</v>
      </c>
      <c r="AA117" s="50" t="n">
        <v>1</v>
      </c>
      <c r="AB117" s="48" t="n">
        <f aca="false">Z117/AA117</f>
        <v>125000000</v>
      </c>
      <c r="AC117" s="48"/>
      <c r="AD117" s="51" t="n">
        <f aca="false">Y117/AB117*1000000000000</f>
        <v>320</v>
      </c>
      <c r="AE117" s="49" t="str">
        <f aca="false">IF(ISNUMBER($Q117), $AD117*1000/2^(($Q117-1.76)/6.02), "")</f>
        <v/>
      </c>
      <c r="AF117" s="49" t="n">
        <f aca="false">$AD117*1000/2^(($X117-1.76)/6.02)</f>
        <v>808.893188838532</v>
      </c>
      <c r="AG117" s="31" t="str">
        <f aca="false">IF(ISNUMBER($Q117), $Q117+10*LOG10($AB117/2/$Y117), "")</f>
        <v/>
      </c>
      <c r="AH117" s="31" t="n">
        <f aca="false">$X117+10*LOG10($AB117/2/$Y117)</f>
        <v>145.638200260161</v>
      </c>
      <c r="AI117" s="52" t="n">
        <f aca="false">AF117/AB117</f>
        <v>6.47114551070826E-006</v>
      </c>
      <c r="AJ117" s="53" t="n">
        <f aca="false">AH117+10*LOG10(AB117)</f>
        <v>226.607300390242</v>
      </c>
    </row>
    <row r="118" customFormat="false" ht="12.75" hidden="false" customHeight="false" outlineLevel="0" collapsed="false">
      <c r="A118" s="50" t="n">
        <v>2005</v>
      </c>
      <c r="B118" s="41" t="n">
        <v>15.5</v>
      </c>
      <c r="C118" s="42" t="s">
        <v>111</v>
      </c>
      <c r="D118" s="42" t="s">
        <v>133</v>
      </c>
      <c r="E118" s="42" t="n">
        <v>0.18</v>
      </c>
      <c r="F118" s="44" t="s">
        <v>625</v>
      </c>
      <c r="G118" s="45" t="s">
        <v>626</v>
      </c>
      <c r="H118" s="45" t="s">
        <v>627</v>
      </c>
      <c r="I118" s="44" t="s">
        <v>628</v>
      </c>
      <c r="J118" s="46" t="str">
        <f aca="false">IF(I118&lt;&gt;"?", HYPERLINK(CONCATENATE("https://doi.org/",I118)), "")</f>
        <v>https://doi.org/10.1109/ISSCC.2005.1493980</v>
      </c>
      <c r="K118" s="45" t="s">
        <v>117</v>
      </c>
      <c r="L118" s="41" t="n">
        <v>1.8</v>
      </c>
      <c r="M118" s="41"/>
      <c r="N118" s="41"/>
      <c r="O118" s="34" t="s">
        <v>117</v>
      </c>
      <c r="P118" s="45" t="n">
        <v>0.15</v>
      </c>
      <c r="Q118" s="54"/>
      <c r="R118" s="48" t="n">
        <v>100000000</v>
      </c>
      <c r="S118" s="41" t="n">
        <v>47.3</v>
      </c>
      <c r="T118" s="41"/>
      <c r="U118" s="41"/>
      <c r="V118" s="41"/>
      <c r="W118" s="41" t="n">
        <v>55.8</v>
      </c>
      <c r="X118" s="49" t="n">
        <f aca="false">+IF(ISNUMBER($S118),$S118,MIN($V118,$T118,$U118,$W118))</f>
        <v>47.3</v>
      </c>
      <c r="Y118" s="48" t="n">
        <v>0.03</v>
      </c>
      <c r="Z118" s="48" t="n">
        <v>200000000</v>
      </c>
      <c r="AA118" s="50" t="n">
        <v>1</v>
      </c>
      <c r="AB118" s="48" t="n">
        <f aca="false">Z118/AA118</f>
        <v>200000000</v>
      </c>
      <c r="AC118" s="48"/>
      <c r="AD118" s="51" t="n">
        <f aca="false">Y118/AB118*1000000000000</f>
        <v>150</v>
      </c>
      <c r="AE118" s="49" t="str">
        <f aca="false">IF(ISNUMBER($Q118), $AD118*1000/2^(($Q118-1.76)/6.02), "")</f>
        <v/>
      </c>
      <c r="AF118" s="49" t="n">
        <f aca="false">$AD118*1000/2^(($X118-1.76)/6.02)</f>
        <v>792.253831740132</v>
      </c>
      <c r="AG118" s="31" t="str">
        <f aca="false">IF(ISNUMBER($Q118), $Q118+10*LOG10($AB118/2/$Y118), "")</f>
        <v/>
      </c>
      <c r="AH118" s="31" t="n">
        <f aca="false">$X118+10*LOG10($AB118/2/$Y118)</f>
        <v>142.528787452803</v>
      </c>
      <c r="AI118" s="52" t="n">
        <f aca="false">AF118/AB118</f>
        <v>3.96126915870066E-006</v>
      </c>
      <c r="AJ118" s="53" t="n">
        <f aca="false">AH118+10*LOG10(AB118)</f>
        <v>225.539087409443</v>
      </c>
    </row>
    <row r="119" customFormat="false" ht="12.75" hidden="false" customHeight="false" outlineLevel="0" collapsed="false">
      <c r="A119" s="50" t="n">
        <v>2005</v>
      </c>
      <c r="B119" s="41" t="n">
        <v>27.1</v>
      </c>
      <c r="C119" s="42" t="s">
        <v>139</v>
      </c>
      <c r="D119" s="42" t="s">
        <v>173</v>
      </c>
      <c r="E119" s="42" t="n">
        <v>0.13</v>
      </c>
      <c r="F119" s="59" t="s">
        <v>629</v>
      </c>
      <c r="G119" s="45" t="s">
        <v>630</v>
      </c>
      <c r="H119" s="45" t="s">
        <v>631</v>
      </c>
      <c r="I119" s="44" t="s">
        <v>632</v>
      </c>
      <c r="J119" s="46" t="str">
        <f aca="false">IF(I119&lt;&gt;"?", HYPERLINK(CONCATENATE("https://doi.org/",I119)), "")</f>
        <v>https://doi.org/10.1109/ISSCC.2005.1494084</v>
      </c>
      <c r="K119" s="45" t="s">
        <v>117</v>
      </c>
      <c r="L119" s="41" t="n">
        <v>1.5</v>
      </c>
      <c r="M119" s="41"/>
      <c r="N119" s="41"/>
      <c r="O119" s="34" t="s">
        <v>117</v>
      </c>
      <c r="P119" s="45" t="n">
        <v>0.3</v>
      </c>
      <c r="Q119" s="54"/>
      <c r="R119" s="48" t="n">
        <v>2000000</v>
      </c>
      <c r="S119" s="41" t="n">
        <v>71</v>
      </c>
      <c r="T119" s="41" t="n">
        <v>72</v>
      </c>
      <c r="U119" s="41" t="n">
        <v>80</v>
      </c>
      <c r="V119" s="41"/>
      <c r="W119" s="41"/>
      <c r="X119" s="49" t="n">
        <f aca="false">+IF(ISNUMBER($S119),$S119,MIN($V119,$T119,$U119,$W119))</f>
        <v>71</v>
      </c>
      <c r="Y119" s="48" t="n">
        <v>0.003</v>
      </c>
      <c r="Z119" s="48" t="n">
        <v>104000000</v>
      </c>
      <c r="AA119" s="50" t="n">
        <v>26</v>
      </c>
      <c r="AB119" s="48" t="n">
        <f aca="false">Z119/AA119</f>
        <v>4000000</v>
      </c>
      <c r="AC119" s="48"/>
      <c r="AD119" s="51" t="n">
        <f aca="false">Y119/AB119*1000000000000</f>
        <v>750</v>
      </c>
      <c r="AE119" s="49" t="str">
        <f aca="false">IF(ISNUMBER($Q119), $AD119*1000/2^(($Q119-1.76)/6.02), "")</f>
        <v/>
      </c>
      <c r="AF119" s="49" t="n">
        <f aca="false">$AD119*1000/2^(($X119-1.76)/6.02)</f>
        <v>258.652251647782</v>
      </c>
      <c r="AG119" s="31" t="str">
        <f aca="false">IF(ISNUMBER($Q119), $Q119+10*LOG10($AB119/2/$Y119), "")</f>
        <v/>
      </c>
      <c r="AH119" s="31" t="n">
        <f aca="false">$X119+10*LOG10($AB119/2/$Y119)</f>
        <v>159.239087409443</v>
      </c>
      <c r="AI119" s="52" t="n">
        <f aca="false">AF119/AB119</f>
        <v>6.46630629119454E-005</v>
      </c>
      <c r="AJ119" s="53" t="n">
        <f aca="false">AH119+10*LOG10(AB119)</f>
        <v>225.259687322723</v>
      </c>
    </row>
    <row r="120" customFormat="false" ht="12.75" hidden="false" customHeight="false" outlineLevel="0" collapsed="false">
      <c r="A120" s="50" t="n">
        <v>2005</v>
      </c>
      <c r="B120" s="41" t="n">
        <v>27.2</v>
      </c>
      <c r="C120" s="42" t="s">
        <v>139</v>
      </c>
      <c r="D120" s="42" t="s">
        <v>173</v>
      </c>
      <c r="E120" s="42" t="n">
        <v>0.11</v>
      </c>
      <c r="F120" s="59" t="s">
        <v>633</v>
      </c>
      <c r="G120" s="45" t="s">
        <v>634</v>
      </c>
      <c r="H120" s="45" t="s">
        <v>635</v>
      </c>
      <c r="I120" s="44" t="s">
        <v>636</v>
      </c>
      <c r="J120" s="46" t="str">
        <f aca="false">IF(I120&lt;&gt;"?", HYPERLINK(CONCATENATE("https://doi.org/",I120)), "")</f>
        <v>https://doi.org/10.1109/ISSCC.2005.1494085</v>
      </c>
      <c r="K120" s="45" t="s">
        <v>117</v>
      </c>
      <c r="L120" s="41"/>
      <c r="M120" s="41"/>
      <c r="N120" s="41"/>
      <c r="O120" s="34" t="s">
        <v>117</v>
      </c>
      <c r="P120" s="45" t="n">
        <v>0.62</v>
      </c>
      <c r="Q120" s="54"/>
      <c r="R120" s="48" t="n">
        <v>428000</v>
      </c>
      <c r="S120" s="41"/>
      <c r="T120" s="41" t="n">
        <v>63</v>
      </c>
      <c r="U120" s="41" t="n">
        <v>75</v>
      </c>
      <c r="V120" s="41"/>
      <c r="W120" s="41"/>
      <c r="X120" s="49" t="n">
        <f aca="false">+IF(ISNUMBER($S120),$S120,MIN($V120,$T120,$U120,$W120))</f>
        <v>63</v>
      </c>
      <c r="Y120" s="48" t="n">
        <v>0.0035</v>
      </c>
      <c r="Z120" s="48" t="n">
        <v>132000000</v>
      </c>
      <c r="AA120" s="50" t="n">
        <v>154.205607476636</v>
      </c>
      <c r="AB120" s="48" t="n">
        <f aca="false">Z120/AA120</f>
        <v>856000</v>
      </c>
      <c r="AC120" s="48"/>
      <c r="AD120" s="51" t="n">
        <f aca="false">Y120/AB120*1000000000000</f>
        <v>4088.78504672897</v>
      </c>
      <c r="AE120" s="49" t="str">
        <f aca="false">IF(ISNUMBER($Q120), $AD120*1000/2^(($Q120-1.76)/6.02), "")</f>
        <v/>
      </c>
      <c r="AF120" s="49" t="n">
        <f aca="false">$AD120*1000/2^(($X120-1.76)/6.02)</f>
        <v>3542.33101034813</v>
      </c>
      <c r="AG120" s="31" t="str">
        <f aca="false">IF(ISNUMBER($Q120), $Q120+10*LOG10($AB120/2/$Y120), "")</f>
        <v/>
      </c>
      <c r="AH120" s="31" t="n">
        <f aca="false">$X120+10*LOG10($AB120/2/$Y120)</f>
        <v>143.873757246629</v>
      </c>
      <c r="AI120" s="52" t="n">
        <f aca="false">AF120/AB120</f>
        <v>0.00413823716162165</v>
      </c>
      <c r="AJ120" s="53" t="n">
        <f aca="false">AH120+10*LOG10(AB120)</f>
        <v>203.1984948934</v>
      </c>
    </row>
    <row r="121" customFormat="false" ht="12.75" hidden="false" customHeight="false" outlineLevel="0" collapsed="false">
      <c r="A121" s="50" t="n">
        <v>2005</v>
      </c>
      <c r="B121" s="41" t="n">
        <v>27.3</v>
      </c>
      <c r="C121" s="42" t="s">
        <v>139</v>
      </c>
      <c r="D121" s="42" t="s">
        <v>173</v>
      </c>
      <c r="E121" s="42" t="n">
        <v>0.09</v>
      </c>
      <c r="F121" s="59" t="s">
        <v>637</v>
      </c>
      <c r="G121" s="45" t="s">
        <v>638</v>
      </c>
      <c r="H121" s="45" t="s">
        <v>639</v>
      </c>
      <c r="I121" s="44" t="s">
        <v>640</v>
      </c>
      <c r="J121" s="46" t="str">
        <f aca="false">IF(I121&lt;&gt;"?", HYPERLINK(CONCATENATE("https://doi.org/",I121)), "")</f>
        <v>https://doi.org/10.1109/ISSCC.2005.1494086</v>
      </c>
      <c r="K121" s="45" t="s">
        <v>117</v>
      </c>
      <c r="L121" s="41"/>
      <c r="M121" s="41"/>
      <c r="N121" s="41"/>
      <c r="O121" s="34" t="s">
        <v>117</v>
      </c>
      <c r="P121" s="45" t="n">
        <v>0.25</v>
      </c>
      <c r="Q121" s="54"/>
      <c r="R121" s="48" t="n">
        <v>600000</v>
      </c>
      <c r="S121" s="41"/>
      <c r="T121" s="41" t="n">
        <v>86</v>
      </c>
      <c r="U121" s="41" t="n">
        <v>86</v>
      </c>
      <c r="V121" s="41"/>
      <c r="W121" s="41"/>
      <c r="X121" s="49" t="n">
        <f aca="false">+IF(ISNUMBER($S121),$S121,MIN($V121,$T121,$U121,$W121))</f>
        <v>86</v>
      </c>
      <c r="Y121" s="48" t="n">
        <v>0.0054</v>
      </c>
      <c r="Z121" s="48" t="n">
        <v>267000000</v>
      </c>
      <c r="AA121" s="50" t="n">
        <v>222.5</v>
      </c>
      <c r="AB121" s="48" t="n">
        <f aca="false">Z121/AA121</f>
        <v>1200000</v>
      </c>
      <c r="AC121" s="48"/>
      <c r="AD121" s="51" t="n">
        <f aca="false">Y121/AB121*1000000000000</f>
        <v>4500</v>
      </c>
      <c r="AE121" s="49" t="str">
        <f aca="false">IF(ISNUMBER($Q121), $AD121*1000/2^(($Q121-1.76)/6.02), "")</f>
        <v/>
      </c>
      <c r="AF121" s="49" t="n">
        <f aca="false">$AD121*1000/2^(($X121-1.76)/6.02)</f>
        <v>275.926094417039</v>
      </c>
      <c r="AG121" s="31" t="str">
        <f aca="false">IF(ISNUMBER($Q121), $Q121+10*LOG10($AB121/2/$Y121), "")</f>
        <v/>
      </c>
      <c r="AH121" s="31" t="n">
        <f aca="false">$X121+10*LOG10($AB121/2/$Y121)</f>
        <v>166.457574905607</v>
      </c>
      <c r="AI121" s="52" t="n">
        <f aca="false">AF121/AB121</f>
        <v>0.0002299384120142</v>
      </c>
      <c r="AJ121" s="53" t="n">
        <f aca="false">AH121+10*LOG10(AB121)</f>
        <v>227.249387366083</v>
      </c>
    </row>
    <row r="122" customFormat="false" ht="12.75" hidden="false" customHeight="false" outlineLevel="0" collapsed="false">
      <c r="A122" s="50" t="n">
        <v>2005</v>
      </c>
      <c r="B122" s="41" t="n">
        <v>27.4</v>
      </c>
      <c r="C122" s="42" t="s">
        <v>139</v>
      </c>
      <c r="D122" s="42" t="s">
        <v>173</v>
      </c>
      <c r="E122" s="42" t="n">
        <v>0.09</v>
      </c>
      <c r="F122" s="59" t="s">
        <v>641</v>
      </c>
      <c r="G122" s="45" t="s">
        <v>642</v>
      </c>
      <c r="H122" s="45" t="s">
        <v>643</v>
      </c>
      <c r="I122" s="44" t="s">
        <v>644</v>
      </c>
      <c r="J122" s="46" t="str">
        <f aca="false">IF(I122&lt;&gt;"?", HYPERLINK(CONCATENATE("https://doi.org/",I122)), "")</f>
        <v>https://doi.org/10.1109/ISSCC.2005.1494087</v>
      </c>
      <c r="K122" s="45" t="s">
        <v>117</v>
      </c>
      <c r="L122" s="41" t="n">
        <v>1.5</v>
      </c>
      <c r="M122" s="41"/>
      <c r="N122" s="41"/>
      <c r="O122" s="34" t="s">
        <v>117</v>
      </c>
      <c r="P122" s="45" t="n">
        <v>0.25</v>
      </c>
      <c r="Q122" s="54"/>
      <c r="R122" s="48" t="n">
        <v>600000</v>
      </c>
      <c r="S122" s="41" t="n">
        <v>74</v>
      </c>
      <c r="T122" s="41" t="n">
        <v>77</v>
      </c>
      <c r="U122" s="41" t="n">
        <v>77</v>
      </c>
      <c r="V122" s="41"/>
      <c r="W122" s="41"/>
      <c r="X122" s="49" t="n">
        <f aca="false">+IF(ISNUMBER($S122),$S122,MIN($V122,$T122,$U122,$W122))</f>
        <v>74</v>
      </c>
      <c r="Y122" s="48" t="n">
        <v>0.006</v>
      </c>
      <c r="Z122" s="48" t="n">
        <v>50400000</v>
      </c>
      <c r="AA122" s="50" t="n">
        <v>42</v>
      </c>
      <c r="AB122" s="48" t="n">
        <f aca="false">Z122/AA122</f>
        <v>1200000</v>
      </c>
      <c r="AC122" s="48"/>
      <c r="AD122" s="51" t="n">
        <f aca="false">Y122/AB122*1000000000000</f>
        <v>5000</v>
      </c>
      <c r="AE122" s="49" t="str">
        <f aca="false">IF(ISNUMBER($Q122), $AD122*1000/2^(($Q122-1.76)/6.02), "")</f>
        <v/>
      </c>
      <c r="AF122" s="49" t="n">
        <f aca="false">$AD122*1000/2^(($X122-1.76)/6.02)</f>
        <v>1220.703125</v>
      </c>
      <c r="AG122" s="31" t="str">
        <f aca="false">IF(ISNUMBER($Q122), $Q122+10*LOG10($AB122/2/$Y122), "")</f>
        <v/>
      </c>
      <c r="AH122" s="31" t="n">
        <f aca="false">$X122+10*LOG10($AB122/2/$Y122)</f>
        <v>154</v>
      </c>
      <c r="AI122" s="52" t="n">
        <f aca="false">AF122/AB122</f>
        <v>0.00101725260416667</v>
      </c>
      <c r="AJ122" s="53" t="n">
        <f aca="false">AH122+10*LOG10(AB122)</f>
        <v>214.791812460476</v>
      </c>
    </row>
    <row r="123" customFormat="false" ht="12.75" hidden="false" customHeight="false" outlineLevel="0" collapsed="false">
      <c r="A123" s="50" t="n">
        <v>2005</v>
      </c>
      <c r="B123" s="41" t="n">
        <v>27.5</v>
      </c>
      <c r="C123" s="42" t="s">
        <v>139</v>
      </c>
      <c r="D123" s="42" t="s">
        <v>645</v>
      </c>
      <c r="E123" s="42" t="n">
        <v>0.18</v>
      </c>
      <c r="F123" s="59" t="s">
        <v>646</v>
      </c>
      <c r="G123" s="45" t="s">
        <v>647</v>
      </c>
      <c r="H123" s="45" t="s">
        <v>648</v>
      </c>
      <c r="I123" s="44" t="s">
        <v>649</v>
      </c>
      <c r="J123" s="46" t="str">
        <f aca="false">IF(I123&lt;&gt;"?", HYPERLINK(CONCATENATE("https://doi.org/",I123)), "")</f>
        <v>https://doi.org/10.1109/ISSCC.2005.1494088</v>
      </c>
      <c r="K123" s="45" t="s">
        <v>650</v>
      </c>
      <c r="L123" s="41" t="n">
        <v>1.8</v>
      </c>
      <c r="M123" s="41"/>
      <c r="N123" s="41"/>
      <c r="O123" s="34" t="s">
        <v>117</v>
      </c>
      <c r="P123" s="45" t="n">
        <v>0.1976</v>
      </c>
      <c r="Q123" s="54"/>
      <c r="R123" s="48" t="n">
        <v>1000000</v>
      </c>
      <c r="S123" s="41" t="n">
        <v>70</v>
      </c>
      <c r="T123" s="41"/>
      <c r="U123" s="41" t="n">
        <v>70</v>
      </c>
      <c r="V123" s="41"/>
      <c r="W123" s="41"/>
      <c r="X123" s="49" t="n">
        <f aca="false">+IF(ISNUMBER($S123),$S123,MIN($V123,$T123,$U123,$W123))</f>
        <v>70</v>
      </c>
      <c r="Y123" s="48" t="n">
        <v>0.0047</v>
      </c>
      <c r="Z123" s="48" t="n">
        <v>64000000</v>
      </c>
      <c r="AA123" s="50" t="n">
        <v>32</v>
      </c>
      <c r="AB123" s="48" t="n">
        <f aca="false">Z123/AA123</f>
        <v>2000000</v>
      </c>
      <c r="AC123" s="48" t="n">
        <v>31300000</v>
      </c>
      <c r="AD123" s="51" t="n">
        <f aca="false">Y123/AB123*1000000000000</f>
        <v>2350</v>
      </c>
      <c r="AE123" s="49" t="str">
        <f aca="false">IF(ISNUMBER($Q123), $AD123*1000/2^(($Q123-1.76)/6.02), "")</f>
        <v/>
      </c>
      <c r="AF123" s="49" t="n">
        <f aca="false">$AD123*1000/2^(($X123-1.76)/6.02)</f>
        <v>909.343244917734</v>
      </c>
      <c r="AG123" s="31" t="str">
        <f aca="false">IF(ISNUMBER($Q123), $Q123+10*LOG10($AB123/2/$Y123), "")</f>
        <v/>
      </c>
      <c r="AH123" s="31" t="n">
        <f aca="false">$X123+10*LOG10($AB123/2/$Y123)</f>
        <v>153.279021420643</v>
      </c>
      <c r="AI123" s="52" t="n">
        <f aca="false">AF123/AB123</f>
        <v>0.000454671622458867</v>
      </c>
      <c r="AJ123" s="53" t="n">
        <f aca="false">AH123+10*LOG10(AB123)</f>
        <v>216.289321377283</v>
      </c>
    </row>
    <row r="124" customFormat="false" ht="12.75" hidden="false" customHeight="false" outlineLevel="0" collapsed="false">
      <c r="A124" s="50" t="n">
        <v>2005</v>
      </c>
      <c r="B124" s="41" t="n">
        <v>27.6</v>
      </c>
      <c r="C124" s="42" t="s">
        <v>139</v>
      </c>
      <c r="D124" s="42" t="s">
        <v>163</v>
      </c>
      <c r="E124" s="42" t="n">
        <v>0.18</v>
      </c>
      <c r="F124" s="59" t="s">
        <v>651</v>
      </c>
      <c r="G124" s="45" t="s">
        <v>652</v>
      </c>
      <c r="H124" s="45" t="s">
        <v>653</v>
      </c>
      <c r="I124" s="44" t="s">
        <v>654</v>
      </c>
      <c r="J124" s="46" t="str">
        <f aca="false">IF(I124&lt;&gt;"?", HYPERLINK(CONCATENATE("https://doi.org/",I124)), "")</f>
        <v>https://doi.org/10.1109/ISSCC.2005.1494089</v>
      </c>
      <c r="K124" s="45" t="s">
        <v>117</v>
      </c>
      <c r="L124" s="41" t="n">
        <v>1.8</v>
      </c>
      <c r="M124" s="41"/>
      <c r="N124" s="41"/>
      <c r="O124" s="34" t="s">
        <v>117</v>
      </c>
      <c r="P124" s="45" t="n">
        <v>0.95</v>
      </c>
      <c r="Q124" s="54"/>
      <c r="R124" s="48" t="n">
        <v>23000000</v>
      </c>
      <c r="S124" s="41" t="n">
        <v>68.8</v>
      </c>
      <c r="T124" s="41"/>
      <c r="U124" s="41" t="n">
        <v>72.5</v>
      </c>
      <c r="V124" s="41"/>
      <c r="W124" s="41"/>
      <c r="X124" s="49" t="n">
        <f aca="false">+IF(ISNUMBER($S124),$S124,MIN($V124,$T124,$U124,$W124))</f>
        <v>68.8</v>
      </c>
      <c r="Y124" s="48" t="n">
        <v>0.043</v>
      </c>
      <c r="Z124" s="48" t="n">
        <v>276000000</v>
      </c>
      <c r="AA124" s="50" t="n">
        <f aca="false">2*Z124/AB124</f>
        <v>12</v>
      </c>
      <c r="AB124" s="48" t="n">
        <f aca="false">46000000</f>
        <v>46000000</v>
      </c>
      <c r="AC124" s="48" t="n">
        <v>11500000</v>
      </c>
      <c r="AD124" s="51" t="n">
        <f aca="false">Y124/AB124*1000000000000</f>
        <v>934.782608695652</v>
      </c>
      <c r="AE124" s="49" t="str">
        <f aca="false">IF(ISNUMBER($Q124), $AD124*1000/2^(($Q124-1.76)/6.02), "")</f>
        <v/>
      </c>
      <c r="AF124" s="49" t="n">
        <f aca="false">$AD124*1000/2^(($X124-1.76)/6.02)</f>
        <v>415.314013988849</v>
      </c>
      <c r="AG124" s="31" t="str">
        <f aca="false">IF(ISNUMBER($Q124), $Q124+10*LOG10($AB124/2/$Y124), "")</f>
        <v/>
      </c>
      <c r="AH124" s="31" t="n">
        <f aca="false">$X124+10*LOG10($AB124/2/$Y124)</f>
        <v>156.08259380438</v>
      </c>
      <c r="AI124" s="52" t="n">
        <f aca="false">AF124/AB124</f>
        <v>9.02856552149673E-006</v>
      </c>
      <c r="AJ124" s="53" t="n">
        <f aca="false">AH124+10*LOG10(AB124)</f>
        <v>232.710172121196</v>
      </c>
    </row>
    <row r="125" customFormat="false" ht="12.75" hidden="false" customHeight="false" outlineLevel="0" collapsed="false">
      <c r="A125" s="40" t="n">
        <v>2006</v>
      </c>
      <c r="B125" s="41" t="n">
        <v>3.1</v>
      </c>
      <c r="C125" s="42" t="s">
        <v>139</v>
      </c>
      <c r="D125" s="42" t="s">
        <v>173</v>
      </c>
      <c r="E125" s="42" t="n">
        <v>0.13</v>
      </c>
      <c r="F125" s="59" t="s">
        <v>655</v>
      </c>
      <c r="G125" s="45" t="s">
        <v>656</v>
      </c>
      <c r="H125" s="45" t="s">
        <v>657</v>
      </c>
      <c r="I125" s="44" t="s">
        <v>658</v>
      </c>
      <c r="J125" s="46" t="str">
        <f aca="false">IF(I125&lt;&gt;"?", HYPERLINK(CONCATENATE("https://doi.org/",I125)), "")</f>
        <v>https://doi.org/10.1109/ISSCC.2006.1696042</v>
      </c>
      <c r="K125" s="45" t="s">
        <v>117</v>
      </c>
      <c r="L125" s="41" t="n">
        <v>1.2</v>
      </c>
      <c r="M125" s="41"/>
      <c r="N125" s="41"/>
      <c r="O125" s="34" t="s">
        <v>117</v>
      </c>
      <c r="P125" s="45" t="n">
        <v>1.2</v>
      </c>
      <c r="Q125" s="54"/>
      <c r="R125" s="48" t="n">
        <v>20000000</v>
      </c>
      <c r="S125" s="41" t="n">
        <v>74</v>
      </c>
      <c r="T125" s="41" t="n">
        <v>76</v>
      </c>
      <c r="U125" s="41"/>
      <c r="V125" s="41" t="n">
        <v>78</v>
      </c>
      <c r="W125" s="41"/>
      <c r="X125" s="49" t="n">
        <f aca="false">+IF(ISNUMBER($S125),$S125,MIN($V125,$T125,$U125,$W125))</f>
        <v>74</v>
      </c>
      <c r="Y125" s="48" t="n">
        <v>0.02</v>
      </c>
      <c r="Z125" s="48" t="n">
        <v>640000000</v>
      </c>
      <c r="AA125" s="50" t="n">
        <v>16</v>
      </c>
      <c r="AB125" s="48" t="n">
        <f aca="false">Z125/AA125</f>
        <v>40000000</v>
      </c>
      <c r="AC125" s="48"/>
      <c r="AD125" s="51" t="n">
        <f aca="false">Y125/AB125*1000000000000</f>
        <v>500</v>
      </c>
      <c r="AE125" s="49" t="str">
        <f aca="false">IF(ISNUMBER($Q125), $AD125*1000/2^(($Q125-1.76)/6.02), "")</f>
        <v/>
      </c>
      <c r="AF125" s="49" t="n">
        <f aca="false">$AD125*1000/2^(($X125-1.76)/6.02)</f>
        <v>122.0703125</v>
      </c>
      <c r="AG125" s="31" t="str">
        <f aca="false">IF(ISNUMBER($Q125), $Q125+10*LOG10($AB125/2/$Y125), "")</f>
        <v/>
      </c>
      <c r="AH125" s="31" t="n">
        <f aca="false">$X125+10*LOG10($AB125/2/$Y125)</f>
        <v>164</v>
      </c>
      <c r="AI125" s="52" t="n">
        <f aca="false">AF125/AB125</f>
        <v>3.0517578125E-006</v>
      </c>
      <c r="AJ125" s="53" t="n">
        <f aca="false">AH125+10*LOG10(AB125)</f>
        <v>240.02059991328</v>
      </c>
    </row>
    <row r="126" customFormat="false" ht="12.75" hidden="false" customHeight="false" outlineLevel="0" collapsed="false">
      <c r="A126" s="50" t="n">
        <v>2006</v>
      </c>
      <c r="B126" s="41" t="n">
        <v>3.2</v>
      </c>
      <c r="C126" s="42" t="s">
        <v>139</v>
      </c>
      <c r="D126" s="42" t="s">
        <v>659</v>
      </c>
      <c r="E126" s="42" t="n">
        <v>0.18</v>
      </c>
      <c r="F126" s="59" t="s">
        <v>660</v>
      </c>
      <c r="G126" s="45" t="s">
        <v>661</v>
      </c>
      <c r="H126" s="45" t="s">
        <v>662</v>
      </c>
      <c r="I126" s="44" t="s">
        <v>663</v>
      </c>
      <c r="J126" s="46" t="str">
        <f aca="false">IF(I126&lt;&gt;"?", HYPERLINK(CONCATENATE("https://doi.org/",I126)), "")</f>
        <v>https://doi.org/10.1109/ISSCC.2006.1696043</v>
      </c>
      <c r="K126" s="45" t="s">
        <v>664</v>
      </c>
      <c r="L126" s="41" t="n">
        <v>1.8</v>
      </c>
      <c r="M126" s="41"/>
      <c r="N126" s="41"/>
      <c r="O126" s="34" t="s">
        <v>117</v>
      </c>
      <c r="P126" s="45" t="n">
        <v>2.5</v>
      </c>
      <c r="Q126" s="54"/>
      <c r="R126" s="48" t="n">
        <f aca="false">AB126/2</f>
        <v>8500000</v>
      </c>
      <c r="S126" s="41"/>
      <c r="T126" s="41" t="n">
        <v>76</v>
      </c>
      <c r="U126" s="41" t="n">
        <v>85</v>
      </c>
      <c r="V126" s="41"/>
      <c r="W126" s="41"/>
      <c r="X126" s="49" t="n">
        <f aca="false">+IF(ISNUMBER($S126),$S126,MIN($V126,$T126,$U126,$W126))</f>
        <v>76</v>
      </c>
      <c r="Y126" s="48" t="n">
        <v>0.375</v>
      </c>
      <c r="Z126" s="48" t="n">
        <v>264000000</v>
      </c>
      <c r="AA126" s="50" t="n">
        <f aca="false">2*Z126/AB126</f>
        <v>31.0588235294118</v>
      </c>
      <c r="AB126" s="48" t="n">
        <f aca="false">8500000*2</f>
        <v>17000000</v>
      </c>
      <c r="AC126" s="48" t="n">
        <v>44000000</v>
      </c>
      <c r="AD126" s="51" t="n">
        <f aca="false">Y126/AB126*1000000000000</f>
        <v>22058.8235294118</v>
      </c>
      <c r="AE126" s="49" t="str">
        <f aca="false">IF(ISNUMBER($Q126), $AD126*1000/2^(($Q126-1.76)/6.02), "")</f>
        <v/>
      </c>
      <c r="AF126" s="49" t="n">
        <f aca="false">$AD126*1000/2^(($X126-1.76)/6.02)</f>
        <v>4277.72077627218</v>
      </c>
      <c r="AG126" s="31" t="str">
        <f aca="false">IF(ISNUMBER($Q126), $Q126+10*LOG10($AB126/2/$Y126), "")</f>
        <v/>
      </c>
      <c r="AH126" s="31" t="n">
        <f aca="false">$X126+10*LOG10($AB126/2/$Y126)</f>
        <v>149.553876579866</v>
      </c>
      <c r="AI126" s="52" t="n">
        <f aca="false">AF126/AB126</f>
        <v>0.000251630633898363</v>
      </c>
      <c r="AJ126" s="53" t="n">
        <f aca="false">AH126+10*LOG10(AB126)</f>
        <v>221.858365793648</v>
      </c>
    </row>
    <row r="127" customFormat="false" ht="12.75" hidden="false" customHeight="false" outlineLevel="0" collapsed="false">
      <c r="A127" s="50" t="n">
        <v>2006</v>
      </c>
      <c r="B127" s="41" t="n">
        <v>3.3</v>
      </c>
      <c r="C127" s="42" t="s">
        <v>139</v>
      </c>
      <c r="D127" s="42" t="s">
        <v>659</v>
      </c>
      <c r="E127" s="42" t="n">
        <v>0.18</v>
      </c>
      <c r="F127" s="44" t="s">
        <v>665</v>
      </c>
      <c r="G127" s="45" t="s">
        <v>666</v>
      </c>
      <c r="H127" s="45" t="s">
        <v>667</v>
      </c>
      <c r="I127" s="44" t="s">
        <v>668</v>
      </c>
      <c r="J127" s="46" t="str">
        <f aca="false">IF(I127&lt;&gt;"?", HYPERLINK(CONCATENATE("https://doi.org/",I127)), "")</f>
        <v>https://doi.org/10.1109/ISSCC.2006.1696044</v>
      </c>
      <c r="K127" s="45" t="s">
        <v>669</v>
      </c>
      <c r="L127" s="41" t="n">
        <v>1.8</v>
      </c>
      <c r="M127" s="41"/>
      <c r="N127" s="41"/>
      <c r="O127" s="34" t="s">
        <v>117</v>
      </c>
      <c r="P127" s="45" t="n">
        <v>6</v>
      </c>
      <c r="Q127" s="54"/>
      <c r="R127" s="48" t="n">
        <v>200000</v>
      </c>
      <c r="S127" s="41" t="n">
        <v>90</v>
      </c>
      <c r="T127" s="41"/>
      <c r="U127" s="41" t="n">
        <v>98</v>
      </c>
      <c r="V127" s="41"/>
      <c r="W127" s="41"/>
      <c r="X127" s="49" t="n">
        <f aca="false">+IF(ISNUMBER($S127),$S127,MIN($V127,$T127,$U127,$W127))</f>
        <v>90</v>
      </c>
      <c r="Y127" s="48" t="n">
        <v>0.21</v>
      </c>
      <c r="Z127" s="48" t="n">
        <v>41700000</v>
      </c>
      <c r="AA127" s="50" t="n">
        <v>104.25</v>
      </c>
      <c r="AB127" s="48" t="n">
        <f aca="false">Z127/AA127</f>
        <v>400000</v>
      </c>
      <c r="AC127" s="48" t="n">
        <v>10700000</v>
      </c>
      <c r="AD127" s="51" t="n">
        <f aca="false">Y127/AB127*1000000000000</f>
        <v>525000</v>
      </c>
      <c r="AE127" s="49" t="str">
        <f aca="false">IF(ISNUMBER($Q127), $AD127*1000/2^(($Q127-1.76)/6.02), "")</f>
        <v/>
      </c>
      <c r="AF127" s="49" t="n">
        <f aca="false">$AD127*1000/2^(($X127-1.76)/6.02)</f>
        <v>20310.4540671725</v>
      </c>
      <c r="AG127" s="31" t="str">
        <f aca="false">IF(ISNUMBER($Q127), $Q127+10*LOG10($AB127/2/$Y127), "")</f>
        <v/>
      </c>
      <c r="AH127" s="31" t="n">
        <f aca="false">$X127+10*LOG10($AB127/2/$Y127)</f>
        <v>149.788107009301</v>
      </c>
      <c r="AI127" s="52" t="n">
        <f aca="false">AF127/AB127</f>
        <v>0.0507761351679312</v>
      </c>
      <c r="AJ127" s="53" t="n">
        <f aca="false">AH127+10*LOG10(AB127)</f>
        <v>205.80870692258</v>
      </c>
    </row>
    <row r="128" customFormat="false" ht="12.75" hidden="false" customHeight="false" outlineLevel="0" collapsed="false">
      <c r="A128" s="50" t="n">
        <v>2006</v>
      </c>
      <c r="B128" s="41" t="n">
        <v>3.4</v>
      </c>
      <c r="C128" s="42" t="s">
        <v>139</v>
      </c>
      <c r="D128" s="42" t="s">
        <v>145</v>
      </c>
      <c r="E128" s="42" t="n">
        <v>0.18</v>
      </c>
      <c r="F128" s="44" t="s">
        <v>670</v>
      </c>
      <c r="G128" s="45" t="s">
        <v>671</v>
      </c>
      <c r="H128" s="45" t="s">
        <v>672</v>
      </c>
      <c r="I128" s="44" t="s">
        <v>673</v>
      </c>
      <c r="J128" s="46" t="str">
        <f aca="false">IF(I128&lt;&gt;"?", HYPERLINK(CONCATENATE("https://doi.org/",I128)), "")</f>
        <v>https://doi.org/10.1109/ISSCC.2006.1696045</v>
      </c>
      <c r="K128" s="45" t="s">
        <v>117</v>
      </c>
      <c r="L128" s="41"/>
      <c r="M128" s="41"/>
      <c r="N128" s="41"/>
      <c r="O128" s="34" t="s">
        <v>117</v>
      </c>
      <c r="P128" s="45" t="n">
        <v>2.32</v>
      </c>
      <c r="Q128" s="54"/>
      <c r="R128" s="48" t="n">
        <v>2200000</v>
      </c>
      <c r="S128" s="41" t="n">
        <v>78</v>
      </c>
      <c r="T128" s="41" t="n">
        <v>82</v>
      </c>
      <c r="U128" s="41" t="n">
        <v>86</v>
      </c>
      <c r="V128" s="41"/>
      <c r="W128" s="41"/>
      <c r="X128" s="49" t="n">
        <f aca="false">+IF(ISNUMBER($S128),$S128,MIN($V128,$T128,$U128,$W128))</f>
        <v>78</v>
      </c>
      <c r="Y128" s="48" t="n">
        <v>0.0051</v>
      </c>
      <c r="Z128" s="48" t="n">
        <v>144000000</v>
      </c>
      <c r="AA128" s="50" t="n">
        <v>32.7272727272727</v>
      </c>
      <c r="AB128" s="48" t="n">
        <f aca="false">Z128/AA128</f>
        <v>4400000</v>
      </c>
      <c r="AC128" s="48"/>
      <c r="AD128" s="51" t="n">
        <f aca="false">Y128/AB128*1000000000000</f>
        <v>1159.09090909091</v>
      </c>
      <c r="AE128" s="49" t="str">
        <f aca="false">IF(ISNUMBER($Q128), $AD128*1000/2^(($Q128-1.76)/6.02), "")</f>
        <v/>
      </c>
      <c r="AF128" s="49" t="n">
        <f aca="false">$AD128*1000/2^(($X128-1.76)/6.02)</f>
        <v>178.54085942734</v>
      </c>
      <c r="AG128" s="31" t="str">
        <f aca="false">IF(ISNUMBER($Q128), $Q128+10*LOG10($AB128/2/$Y128), "")</f>
        <v/>
      </c>
      <c r="AH128" s="31" t="n">
        <f aca="false">$X128+10*LOG10($AB128/2/$Y128)</f>
        <v>164.348525047243</v>
      </c>
      <c r="AI128" s="52" t="n">
        <f aca="false">AF128/AB128</f>
        <v>4.05774680516682E-005</v>
      </c>
      <c r="AJ128" s="53" t="n">
        <f aca="false">AH128+10*LOG10(AB128)</f>
        <v>230.783051812105</v>
      </c>
    </row>
    <row r="129" customFormat="false" ht="12.75" hidden="false" customHeight="false" outlineLevel="0" collapsed="false">
      <c r="A129" s="50" t="n">
        <v>2006</v>
      </c>
      <c r="B129" s="41" t="n">
        <v>3.5</v>
      </c>
      <c r="C129" s="42" t="s">
        <v>139</v>
      </c>
      <c r="D129" s="42" t="s">
        <v>674</v>
      </c>
      <c r="E129" s="42" t="n">
        <v>0.18</v>
      </c>
      <c r="F129" s="44" t="s">
        <v>675</v>
      </c>
      <c r="G129" s="45" t="s">
        <v>676</v>
      </c>
      <c r="H129" s="45" t="s">
        <v>677</v>
      </c>
      <c r="I129" s="44" t="s">
        <v>678</v>
      </c>
      <c r="J129" s="46" t="str">
        <f aca="false">IF(I129&lt;&gt;"?", HYPERLINK(CONCATENATE("https://doi.org/",I129)), "")</f>
        <v>https://doi.org/10.1109/ISSCC.2006.1696046</v>
      </c>
      <c r="K129" s="45" t="s">
        <v>117</v>
      </c>
      <c r="L129" s="41"/>
      <c r="M129" s="41"/>
      <c r="N129" s="41"/>
      <c r="O129" s="34" t="s">
        <v>117</v>
      </c>
      <c r="P129" s="45" t="n">
        <v>1.1</v>
      </c>
      <c r="Q129" s="54"/>
      <c r="R129" s="48" t="n">
        <v>1100000</v>
      </c>
      <c r="S129" s="41" t="n">
        <v>76</v>
      </c>
      <c r="T129" s="41" t="n">
        <v>80</v>
      </c>
      <c r="U129" s="41" t="n">
        <v>85</v>
      </c>
      <c r="V129" s="41"/>
      <c r="W129" s="41"/>
      <c r="X129" s="49" t="n">
        <f aca="false">+IF(ISNUMBER($S129),$S129,MIN($V129,$T129,$U129,$W129))</f>
        <v>76</v>
      </c>
      <c r="Y129" s="48" t="n">
        <v>0.0054</v>
      </c>
      <c r="Z129" s="48" t="n">
        <f aca="false">60*2*R129</f>
        <v>132000000</v>
      </c>
      <c r="AA129" s="50" t="n">
        <v>60</v>
      </c>
      <c r="AB129" s="48" t="n">
        <f aca="false">Z129/AA129</f>
        <v>2200000</v>
      </c>
      <c r="AC129" s="48"/>
      <c r="AD129" s="51" t="n">
        <f aca="false">Y129/AB129*1000000000000</f>
        <v>2454.54545454545</v>
      </c>
      <c r="AE129" s="49" t="str">
        <f aca="false">IF(ISNUMBER($Q129), $AD129*1000/2^(($Q129-1.76)/6.02), "")</f>
        <v/>
      </c>
      <c r="AF129" s="49" t="n">
        <f aca="false">$AD129*1000/2^(($X129-1.76)/6.02)</f>
        <v>475.993657287014</v>
      </c>
      <c r="AG129" s="31" t="str">
        <f aca="false">IF(ISNUMBER($Q129), $Q129+10*LOG10($AB129/2/$Y129), "")</f>
        <v/>
      </c>
      <c r="AH129" s="31" t="n">
        <f aca="false">$X129+10*LOG10($AB129/2/$Y129)</f>
        <v>159.089989253353</v>
      </c>
      <c r="AI129" s="52" t="n">
        <f aca="false">AF129/AB129</f>
        <v>0.000216360753312279</v>
      </c>
      <c r="AJ129" s="53" t="n">
        <f aca="false">AH129+10*LOG10(AB129)</f>
        <v>222.514216061575</v>
      </c>
    </row>
    <row r="130" customFormat="false" ht="12.75" hidden="false" customHeight="false" outlineLevel="0" collapsed="false">
      <c r="A130" s="50" t="n">
        <v>2006</v>
      </c>
      <c r="B130" s="41" t="n">
        <v>3.6</v>
      </c>
      <c r="C130" s="42" t="s">
        <v>139</v>
      </c>
      <c r="D130" s="42" t="s">
        <v>173</v>
      </c>
      <c r="E130" s="43" t="n">
        <v>0.18</v>
      </c>
      <c r="F130" s="44" t="s">
        <v>679</v>
      </c>
      <c r="G130" s="45" t="s">
        <v>680</v>
      </c>
      <c r="H130" s="45" t="s">
        <v>681</v>
      </c>
      <c r="I130" s="44" t="s">
        <v>682</v>
      </c>
      <c r="J130" s="46" t="str">
        <f aca="false">IF(I130&lt;&gt;"?", HYPERLINK(CONCATENATE("https://doi.org/",I130)), "")</f>
        <v>https://doi.org/10.1109/ISSCC.2006.1696047</v>
      </c>
      <c r="K130" s="45" t="s">
        <v>117</v>
      </c>
      <c r="L130" s="41"/>
      <c r="M130" s="41"/>
      <c r="N130" s="41"/>
      <c r="O130" s="34"/>
      <c r="P130" s="45" t="n">
        <v>0.6</v>
      </c>
      <c r="Q130" s="54"/>
      <c r="R130" s="48" t="n">
        <v>25000</v>
      </c>
      <c r="S130" s="41" t="n">
        <v>74</v>
      </c>
      <c r="T130" s="41"/>
      <c r="U130" s="41"/>
      <c r="V130" s="41"/>
      <c r="W130" s="41"/>
      <c r="X130" s="49" t="n">
        <f aca="false">+IF(ISNUMBER($S130),$S130,MIN($V130,$T130,$U130,$W130))</f>
        <v>74</v>
      </c>
      <c r="Y130" s="48" t="n">
        <v>0.0003</v>
      </c>
      <c r="Z130" s="48" t="n">
        <f aca="false">AB130*AA130</f>
        <v>3200000</v>
      </c>
      <c r="AA130" s="50" t="n">
        <v>64</v>
      </c>
      <c r="AB130" s="48" t="n">
        <v>50000</v>
      </c>
      <c r="AC130" s="48"/>
      <c r="AD130" s="51" t="n">
        <f aca="false">Y130/AB130*1000000000000</f>
        <v>6000</v>
      </c>
      <c r="AE130" s="49"/>
      <c r="AF130" s="49" t="n">
        <f aca="false">$AD130*1000/2^(($X130-1.76)/6.02)</f>
        <v>1464.84375</v>
      </c>
      <c r="AG130" s="31"/>
      <c r="AH130" s="31" t="n">
        <f aca="false">$X130+10*LOG10($AB130/2/$Y130)</f>
        <v>153.208187539524</v>
      </c>
      <c r="AI130" s="52" t="n">
        <f aca="false">AF130/AB130</f>
        <v>0.029296875</v>
      </c>
      <c r="AJ130" s="53" t="n">
        <f aca="false">AH130+10*LOG10(AB130)</f>
        <v>200.197887582884</v>
      </c>
    </row>
    <row r="131" customFormat="false" ht="12.75" hidden="false" customHeight="false" outlineLevel="0" collapsed="false">
      <c r="A131" s="50" t="n">
        <v>2006</v>
      </c>
      <c r="B131" s="41" t="n">
        <v>3.7</v>
      </c>
      <c r="C131" s="42" t="s">
        <v>139</v>
      </c>
      <c r="D131" s="42" t="s">
        <v>145</v>
      </c>
      <c r="E131" s="42" t="n">
        <v>0.18</v>
      </c>
      <c r="F131" s="44" t="s">
        <v>683</v>
      </c>
      <c r="G131" s="45" t="s">
        <v>684</v>
      </c>
      <c r="H131" s="45" t="s">
        <v>685</v>
      </c>
      <c r="I131" s="44" t="s">
        <v>686</v>
      </c>
      <c r="J131" s="46" t="str">
        <f aca="false">IF(I131&lt;&gt;"?", HYPERLINK(CONCATENATE("https://doi.org/",I131)), "")</f>
        <v>https://doi.org/10.1109/ISSCC.2006.1696048</v>
      </c>
      <c r="K131" s="45" t="s">
        <v>117</v>
      </c>
      <c r="L131" s="41" t="n">
        <v>0.9</v>
      </c>
      <c r="M131" s="41"/>
      <c r="N131" s="41"/>
      <c r="O131" s="34" t="s">
        <v>117</v>
      </c>
      <c r="P131" s="45" t="n">
        <v>0.06</v>
      </c>
      <c r="Q131" s="54"/>
      <c r="R131" s="48" t="n">
        <v>10000</v>
      </c>
      <c r="S131" s="41" t="n">
        <v>80</v>
      </c>
      <c r="T131" s="41" t="n">
        <v>82</v>
      </c>
      <c r="U131" s="41" t="n">
        <v>83</v>
      </c>
      <c r="V131" s="41"/>
      <c r="W131" s="41"/>
      <c r="X131" s="49" t="n">
        <f aca="false">+IF(ISNUMBER($S131),$S131,MIN($V131,$T131,$U131,$W131))</f>
        <v>80</v>
      </c>
      <c r="Y131" s="48" t="n">
        <v>0.0002</v>
      </c>
      <c r="Z131" s="48" t="n">
        <v>5000000</v>
      </c>
      <c r="AA131" s="50" t="n">
        <v>250</v>
      </c>
      <c r="AB131" s="48" t="n">
        <f aca="false">Z131/AA131</f>
        <v>20000</v>
      </c>
      <c r="AC131" s="48"/>
      <c r="AD131" s="51" t="n">
        <f aca="false">Y131/AB131*1000000000000</f>
        <v>10000</v>
      </c>
      <c r="AE131" s="49" t="str">
        <f aca="false">IF(ISNUMBER($Q131), $AD131*1000/2^(($Q131-1.76)/6.02), "")</f>
        <v/>
      </c>
      <c r="AF131" s="49" t="n">
        <f aca="false">$AD131*1000/2^(($X131-1.76)/6.02)</f>
        <v>1223.51741707428</v>
      </c>
      <c r="AG131" s="31" t="str">
        <f aca="false">IF(ISNUMBER($Q131), $Q131+10*LOG10($AB131/2/$Y131), "")</f>
        <v/>
      </c>
      <c r="AH131" s="31" t="n">
        <f aca="false">$X131+10*LOG10($AB131/2/$Y131)</f>
        <v>156.98970004336</v>
      </c>
      <c r="AI131" s="52" t="n">
        <f aca="false">AF131/AB131</f>
        <v>0.0611758708537138</v>
      </c>
      <c r="AJ131" s="53" t="n">
        <f aca="false">AH131+10*LOG10(AB131)</f>
        <v>200</v>
      </c>
    </row>
    <row r="132" customFormat="false" ht="12.75" hidden="false" customHeight="false" outlineLevel="0" collapsed="false">
      <c r="A132" s="50" t="n">
        <v>2006</v>
      </c>
      <c r="B132" s="41" t="n">
        <v>3.8</v>
      </c>
      <c r="C132" s="42" t="s">
        <v>139</v>
      </c>
      <c r="D132" s="42" t="s">
        <v>145</v>
      </c>
      <c r="E132" s="42" t="n">
        <v>0.18</v>
      </c>
      <c r="F132" s="44" t="s">
        <v>687</v>
      </c>
      <c r="G132" s="45" t="s">
        <v>688</v>
      </c>
      <c r="H132" s="45" t="s">
        <v>689</v>
      </c>
      <c r="I132" s="44" t="s">
        <v>690</v>
      </c>
      <c r="J132" s="46" t="str">
        <f aca="false">IF(I132&lt;&gt;"?", HYPERLINK(CONCATENATE("https://doi.org/",I132)), "")</f>
        <v>https://doi.org/10.1109/ISSCC.2006.1696049</v>
      </c>
      <c r="K132" s="45" t="s">
        <v>117</v>
      </c>
      <c r="L132" s="41" t="n">
        <v>1.8</v>
      </c>
      <c r="M132" s="41"/>
      <c r="N132" s="41"/>
      <c r="O132" s="34" t="s">
        <v>117</v>
      </c>
      <c r="P132" s="45" t="n">
        <v>1.7</v>
      </c>
      <c r="Q132" s="54"/>
      <c r="R132" s="48" t="n">
        <v>3200000</v>
      </c>
      <c r="S132" s="41" t="n">
        <v>76.3</v>
      </c>
      <c r="T132" s="41" t="n">
        <v>76.3</v>
      </c>
      <c r="U132" s="41" t="n">
        <v>78.5</v>
      </c>
      <c r="V132" s="41"/>
      <c r="W132" s="41"/>
      <c r="X132" s="49" t="n">
        <f aca="false">+IF(ISNUMBER($S132),$S132,MIN($V132,$T132,$U132,$W132))</f>
        <v>76.3</v>
      </c>
      <c r="Y132" s="48" t="n">
        <f aca="false">0.0132*1.8</f>
        <v>0.02376</v>
      </c>
      <c r="Z132" s="48" t="n">
        <v>100000000</v>
      </c>
      <c r="AA132" s="50" t="n">
        <v>15.625</v>
      </c>
      <c r="AB132" s="48" t="n">
        <f aca="false">Z132/AA132</f>
        <v>6400000</v>
      </c>
      <c r="AC132" s="48"/>
      <c r="AD132" s="51" t="n">
        <f aca="false">Y132/AB132*1000000000000</f>
        <v>3712.5</v>
      </c>
      <c r="AE132" s="49" t="str">
        <f aca="false">IF(ISNUMBER($Q132), $AD132*1000/2^(($Q132-1.76)/6.02), "")</f>
        <v/>
      </c>
      <c r="AF132" s="49" t="n">
        <f aca="false">$AD132*1000/2^(($X132-1.76)/6.02)</f>
        <v>695.496668823367</v>
      </c>
      <c r="AG132" s="31" t="str">
        <f aca="false">IF(ISNUMBER($Q132), $Q132+10*LOG10($AB132/2/$Y132), "")</f>
        <v/>
      </c>
      <c r="AH132" s="31" t="n">
        <f aca="false">$X132+10*LOG10($AB132/2/$Y132)</f>
        <v>157.593035420107</v>
      </c>
      <c r="AI132" s="52" t="n">
        <f aca="false">AF132/AB132</f>
        <v>0.000108671354503651</v>
      </c>
      <c r="AJ132" s="53" t="n">
        <f aca="false">AH132+10*LOG10(AB132)</f>
        <v>225.654835159946</v>
      </c>
    </row>
    <row r="133" customFormat="false" ht="12.75" hidden="false" customHeight="false" outlineLevel="0" collapsed="false">
      <c r="A133" s="50" t="n">
        <v>2006</v>
      </c>
      <c r="B133" s="41" t="n">
        <v>12.1</v>
      </c>
      <c r="C133" s="42" t="s">
        <v>111</v>
      </c>
      <c r="D133" s="42" t="s">
        <v>133</v>
      </c>
      <c r="E133" s="42" t="n">
        <v>0.09</v>
      </c>
      <c r="F133" s="44" t="s">
        <v>691</v>
      </c>
      <c r="G133" s="45" t="s">
        <v>692</v>
      </c>
      <c r="H133" s="45" t="s">
        <v>693</v>
      </c>
      <c r="I133" s="44" t="s">
        <v>694</v>
      </c>
      <c r="J133" s="46" t="str">
        <f aca="false">IF(I133&lt;&gt;"?", HYPERLINK(CONCATENATE("https://doi.org/",I133)), "")</f>
        <v>https://doi.org/10.1109/ISSCC.2006.1696118</v>
      </c>
      <c r="K133" s="45" t="s">
        <v>117</v>
      </c>
      <c r="L133" s="41" t="n">
        <v>1.2</v>
      </c>
      <c r="M133" s="41"/>
      <c r="N133" s="41"/>
      <c r="O133" s="34" t="s">
        <v>117</v>
      </c>
      <c r="P133" s="45" t="n">
        <v>0.3</v>
      </c>
      <c r="Q133" s="54"/>
      <c r="R133" s="48" t="n">
        <v>32000000</v>
      </c>
      <c r="S133" s="41" t="n">
        <f aca="false">9.3*6.02+1.76</f>
        <v>57.746</v>
      </c>
      <c r="T133" s="41"/>
      <c r="U133" s="41"/>
      <c r="V133" s="41"/>
      <c r="W133" s="41"/>
      <c r="X133" s="49" t="n">
        <f aca="false">+IF(ISNUMBER($S133),$S133,MIN($V133,$T133,$U133,$W133))</f>
        <v>57.746</v>
      </c>
      <c r="Y133" s="48" t="n">
        <v>0.022</v>
      </c>
      <c r="Z133" s="48" t="n">
        <v>64000000</v>
      </c>
      <c r="AA133" s="50" t="n">
        <v>1</v>
      </c>
      <c r="AB133" s="48" t="n">
        <f aca="false">Z133/AA133</f>
        <v>64000000</v>
      </c>
      <c r="AC133" s="48"/>
      <c r="AD133" s="51" t="n">
        <f aca="false">Y133/AB133*1000000000000</f>
        <v>343.75</v>
      </c>
      <c r="AE133" s="49" t="str">
        <f aca="false">IF(ISNUMBER($Q133), $AD133*1000/2^(($Q133-1.76)/6.02), "")</f>
        <v/>
      </c>
      <c r="AF133" s="49" t="n">
        <f aca="false">$AD133*1000/2^(($X133-1.76)/6.02)</f>
        <v>545.335471186437</v>
      </c>
      <c r="AG133" s="31" t="str">
        <f aca="false">IF(ISNUMBER($Q133), $Q133+10*LOG10($AB133/2/$Y133), "")</f>
        <v/>
      </c>
      <c r="AH133" s="31" t="n">
        <f aca="false">$X133+10*LOG10($AB133/2/$Y133)</f>
        <v>149.373272974977</v>
      </c>
      <c r="AI133" s="52" t="n">
        <f aca="false">AF133/AB133</f>
        <v>8.52086673728808E-006</v>
      </c>
      <c r="AJ133" s="53" t="n">
        <f aca="false">AH133+10*LOG10(AB133)</f>
        <v>227.435072714816</v>
      </c>
    </row>
    <row r="134" customFormat="false" ht="12.75" hidden="false" customHeight="false" outlineLevel="0" collapsed="false">
      <c r="A134" s="50" t="n">
        <v>2006</v>
      </c>
      <c r="B134" s="41" t="n">
        <v>12.2</v>
      </c>
      <c r="C134" s="42" t="s">
        <v>111</v>
      </c>
      <c r="D134" s="42" t="s">
        <v>133</v>
      </c>
      <c r="E134" s="42" t="n">
        <v>0.18</v>
      </c>
      <c r="F134" s="44" t="s">
        <v>695</v>
      </c>
      <c r="G134" s="45" t="s">
        <v>696</v>
      </c>
      <c r="H134" s="45" t="s">
        <v>697</v>
      </c>
      <c r="I134" s="44" t="s">
        <v>698</v>
      </c>
      <c r="J134" s="46" t="str">
        <f aca="false">IF(I134&lt;&gt;"?", HYPERLINK(CONCATENATE("https://doi.org/",I134)), "")</f>
        <v>https://doi.org/10.1109/ISSCC.2006.1696119</v>
      </c>
      <c r="K134" s="45" t="s">
        <v>117</v>
      </c>
      <c r="L134" s="41"/>
      <c r="M134" s="41"/>
      <c r="N134" s="41"/>
      <c r="O134" s="34" t="s">
        <v>117</v>
      </c>
      <c r="P134" s="45" t="n">
        <v>1.43</v>
      </c>
      <c r="Q134" s="54"/>
      <c r="R134" s="48" t="n">
        <v>25000000</v>
      </c>
      <c r="S134" s="41" t="n">
        <v>54.6</v>
      </c>
      <c r="T134" s="41"/>
      <c r="U134" s="41"/>
      <c r="V134" s="41"/>
      <c r="W134" s="41" t="n">
        <v>70</v>
      </c>
      <c r="X134" s="49" t="n">
        <f aca="false">+IF(ISNUMBER($S134),$S134,MIN($V134,$T134,$U134,$W134))</f>
        <v>54.6</v>
      </c>
      <c r="Y134" s="48" t="n">
        <v>0.018</v>
      </c>
      <c r="Z134" s="48" t="n">
        <v>50000000</v>
      </c>
      <c r="AA134" s="50" t="n">
        <v>1</v>
      </c>
      <c r="AB134" s="48" t="n">
        <f aca="false">Z134/AA134</f>
        <v>50000000</v>
      </c>
      <c r="AC134" s="48"/>
      <c r="AD134" s="51" t="n">
        <f aca="false">Y134/AB134*1000000000000</f>
        <v>360</v>
      </c>
      <c r="AE134" s="49" t="str">
        <f aca="false">IF(ISNUMBER($Q134), $AD134*1000/2^(($Q134-1.76)/6.02), "")</f>
        <v/>
      </c>
      <c r="AF134" s="49" t="n">
        <f aca="false">$AD134*1000/2^(($X134-1.76)/6.02)</f>
        <v>820.425624994773</v>
      </c>
      <c r="AG134" s="31" t="str">
        <f aca="false">IF(ISNUMBER($Q134), $Q134+10*LOG10($AB134/2/$Y134), "")</f>
        <v/>
      </c>
      <c r="AH134" s="31" t="n">
        <f aca="false">$X134+10*LOG10($AB134/2/$Y134)</f>
        <v>146.026675035687</v>
      </c>
      <c r="AI134" s="52" t="n">
        <f aca="false">AF134/AB134</f>
        <v>1.64085124998955E-005</v>
      </c>
      <c r="AJ134" s="53" t="n">
        <f aca="false">AH134+10*LOG10(AB134)</f>
        <v>223.016375079047</v>
      </c>
    </row>
    <row r="135" customFormat="false" ht="12.75" hidden="false" customHeight="false" outlineLevel="0" collapsed="false">
      <c r="A135" s="50" t="n">
        <v>2006</v>
      </c>
      <c r="B135" s="41" t="n">
        <v>12.3</v>
      </c>
      <c r="C135" s="42" t="s">
        <v>111</v>
      </c>
      <c r="D135" s="42" t="s">
        <v>699</v>
      </c>
      <c r="E135" s="42" t="n">
        <v>0.09</v>
      </c>
      <c r="F135" s="44" t="s">
        <v>700</v>
      </c>
      <c r="G135" s="45" t="s">
        <v>701</v>
      </c>
      <c r="H135" s="45" t="s">
        <v>702</v>
      </c>
      <c r="I135" s="44" t="s">
        <v>703</v>
      </c>
      <c r="J135" s="46" t="str">
        <f aca="false">IF(I135&lt;&gt;"?", HYPERLINK(CONCATENATE("https://doi.org/",I135)), "")</f>
        <v>https://doi.org/10.1109/ISSCC.2006.1696120</v>
      </c>
      <c r="K135" s="45" t="s">
        <v>117</v>
      </c>
      <c r="L135" s="41" t="n">
        <v>2</v>
      </c>
      <c r="M135" s="41" t="n">
        <v>0.7</v>
      </c>
      <c r="N135" s="41"/>
      <c r="O135" s="34" t="s">
        <v>117</v>
      </c>
      <c r="P135" s="45" t="n">
        <v>4.6728</v>
      </c>
      <c r="Q135" s="54"/>
      <c r="R135" s="48" t="n">
        <v>20000000</v>
      </c>
      <c r="S135" s="41" t="n">
        <f aca="false">10.1*6.02+1.76</f>
        <v>62.562</v>
      </c>
      <c r="T135" s="41" t="n">
        <v>63.5</v>
      </c>
      <c r="U135" s="41"/>
      <c r="V135" s="41"/>
      <c r="W135" s="41" t="n">
        <v>72.7</v>
      </c>
      <c r="X135" s="49" t="n">
        <f aca="false">+IF(ISNUMBER($S135),$S135,MIN($V135,$T135,$U135,$W135))</f>
        <v>62.562</v>
      </c>
      <c r="Y135" s="48" t="n">
        <v>0.03</v>
      </c>
      <c r="Z135" s="48" t="n">
        <v>40000000</v>
      </c>
      <c r="AA135" s="50" t="n">
        <v>1</v>
      </c>
      <c r="AB135" s="48" t="n">
        <f aca="false">Z135/AA135</f>
        <v>40000000</v>
      </c>
      <c r="AC135" s="48"/>
      <c r="AD135" s="51" t="n">
        <f aca="false">Y135/AB135*1000000000000</f>
        <v>750</v>
      </c>
      <c r="AE135" s="49" t="str">
        <f aca="false">IF(ISNUMBER($Q135), $AD135*1000/2^(($Q135-1.76)/6.02), "")</f>
        <v/>
      </c>
      <c r="AF135" s="49" t="n">
        <f aca="false">$AD135*1000/2^(($X135-1.76)/6.02)</f>
        <v>683.373773098248</v>
      </c>
      <c r="AG135" s="31" t="str">
        <f aca="false">IF(ISNUMBER($Q135), $Q135+10*LOG10($AB135/2/$Y135), "")</f>
        <v/>
      </c>
      <c r="AH135" s="31" t="n">
        <f aca="false">$X135+10*LOG10($AB135/2/$Y135)</f>
        <v>150.801087409443</v>
      </c>
      <c r="AI135" s="52" t="n">
        <f aca="false">AF135/AB135</f>
        <v>1.70843443274562E-005</v>
      </c>
      <c r="AJ135" s="53" t="n">
        <f aca="false">AH135+10*LOG10(AB135)</f>
        <v>226.821687322723</v>
      </c>
    </row>
    <row r="136" customFormat="false" ht="12.75" hidden="false" customHeight="false" outlineLevel="0" collapsed="false">
      <c r="A136" s="50" t="n">
        <v>2006</v>
      </c>
      <c r="B136" s="41" t="n">
        <v>12.4</v>
      </c>
      <c r="C136" s="42" t="s">
        <v>111</v>
      </c>
      <c r="D136" s="42" t="s">
        <v>704</v>
      </c>
      <c r="E136" s="42" t="n">
        <v>0.18</v>
      </c>
      <c r="F136" s="44" t="s">
        <v>705</v>
      </c>
      <c r="G136" s="45" t="s">
        <v>706</v>
      </c>
      <c r="H136" s="45" t="s">
        <v>707</v>
      </c>
      <c r="I136" s="44" t="s">
        <v>708</v>
      </c>
      <c r="J136" s="46" t="str">
        <f aca="false">IF(I136&lt;&gt;"?", HYPERLINK(CONCATENATE("https://doi.org/",I136)), "")</f>
        <v>https://doi.org/10.1109/ISSCC.2006.1696121</v>
      </c>
      <c r="K136" s="45" t="s">
        <v>117</v>
      </c>
      <c r="L136" s="41"/>
      <c r="M136" s="41"/>
      <c r="N136" s="41"/>
      <c r="O136" s="34" t="s">
        <v>117</v>
      </c>
      <c r="P136" s="45" t="n">
        <v>1.2</v>
      </c>
      <c r="Q136" s="54"/>
      <c r="R136" s="48" t="n">
        <v>4000000</v>
      </c>
      <c r="S136" s="41" t="n">
        <v>54</v>
      </c>
      <c r="T136" s="41"/>
      <c r="U136" s="41"/>
      <c r="V136" s="41"/>
      <c r="W136" s="41"/>
      <c r="X136" s="49" t="n">
        <f aca="false">+IF(ISNUMBER($S136),$S136,MIN($V136,$T136,$U136,$W136))</f>
        <v>54</v>
      </c>
      <c r="Y136" s="48" t="n">
        <v>0.0025</v>
      </c>
      <c r="Z136" s="48" t="n">
        <v>8000000</v>
      </c>
      <c r="AA136" s="50" t="n">
        <v>1</v>
      </c>
      <c r="AB136" s="48" t="n">
        <f aca="false">Z136/AA136</f>
        <v>8000000</v>
      </c>
      <c r="AC136" s="48"/>
      <c r="AD136" s="51" t="n">
        <f aca="false">Y136/AB136*1000000000000</f>
        <v>312.5</v>
      </c>
      <c r="AE136" s="49" t="str">
        <f aca="false">IF(ISNUMBER($Q136), $AD136*1000/2^(($Q136-1.76)/6.02), "")</f>
        <v/>
      </c>
      <c r="AF136" s="49" t="n">
        <f aca="false">$AD136*1000/2^(($X136-1.76)/6.02)</f>
        <v>763.114537574231</v>
      </c>
      <c r="AG136" s="31" t="str">
        <f aca="false">IF(ISNUMBER($Q136), $Q136+10*LOG10($AB136/2/$Y136), "")</f>
        <v/>
      </c>
      <c r="AH136" s="31" t="n">
        <f aca="false">$X136+10*LOG10($AB136/2/$Y136)</f>
        <v>146.041199826559</v>
      </c>
      <c r="AI136" s="52" t="n">
        <f aca="false">AF136/AB136</f>
        <v>9.53893171967789E-005</v>
      </c>
      <c r="AJ136" s="53" t="n">
        <f aca="false">AH136+10*LOG10(AB136)</f>
        <v>215.072099696479</v>
      </c>
    </row>
    <row r="137" customFormat="false" ht="12.75" hidden="false" customHeight="false" outlineLevel="0" collapsed="false">
      <c r="A137" s="50" t="n">
        <v>2006</v>
      </c>
      <c r="B137" s="41" t="n">
        <v>12.5</v>
      </c>
      <c r="C137" s="42" t="s">
        <v>111</v>
      </c>
      <c r="D137" s="42" t="s">
        <v>112</v>
      </c>
      <c r="E137" s="42" t="n">
        <v>0.18</v>
      </c>
      <c r="F137" s="44" t="s">
        <v>709</v>
      </c>
      <c r="G137" s="45" t="s">
        <v>710</v>
      </c>
      <c r="H137" s="45" t="s">
        <v>711</v>
      </c>
      <c r="I137" s="44" t="s">
        <v>712</v>
      </c>
      <c r="J137" s="46" t="str">
        <f aca="false">IF(I137&lt;&gt;"?", HYPERLINK(CONCATENATE("https://doi.org/",I137)), "")</f>
        <v>https://doi.org/10.1109/ISSCC.2006.1696122</v>
      </c>
      <c r="K137" s="45" t="s">
        <v>117</v>
      </c>
      <c r="L137" s="41" t="n">
        <v>1</v>
      </c>
      <c r="M137" s="41"/>
      <c r="N137" s="41"/>
      <c r="O137" s="34" t="s">
        <v>117</v>
      </c>
      <c r="P137" s="45" t="n">
        <v>0.63</v>
      </c>
      <c r="Q137" s="54"/>
      <c r="R137" s="48" t="n">
        <v>50000</v>
      </c>
      <c r="S137" s="41" t="n">
        <v>65</v>
      </c>
      <c r="T137" s="41"/>
      <c r="U137" s="41"/>
      <c r="V137" s="41"/>
      <c r="W137" s="41" t="n">
        <v>71</v>
      </c>
      <c r="X137" s="49" t="n">
        <f aca="false">+IF(ISNUMBER($S137),$S137,MIN($V137,$T137,$U137,$W137))</f>
        <v>65</v>
      </c>
      <c r="Y137" s="48" t="n">
        <v>2.5E-005</v>
      </c>
      <c r="Z137" s="48" t="n">
        <v>100000</v>
      </c>
      <c r="AA137" s="50" t="n">
        <v>1</v>
      </c>
      <c r="AB137" s="48" t="n">
        <f aca="false">Z137/AA137</f>
        <v>100000</v>
      </c>
      <c r="AC137" s="48"/>
      <c r="AD137" s="51" t="n">
        <f aca="false">Y137/AB137*1000000000000</f>
        <v>250</v>
      </c>
      <c r="AE137" s="49" t="str">
        <f aca="false">IF(ISNUMBER($Q137), $AD137*1000/2^(($Q137-1.76)/6.02), "")</f>
        <v/>
      </c>
      <c r="AF137" s="49" t="n">
        <f aca="false">$AD137*1000/2^(($X137-1.76)/6.02)</f>
        <v>172.038205841939</v>
      </c>
      <c r="AG137" s="31" t="str">
        <f aca="false">IF(ISNUMBER($Q137), $Q137+10*LOG10($AB137/2/$Y137), "")</f>
        <v/>
      </c>
      <c r="AH137" s="31" t="n">
        <f aca="false">$X137+10*LOG10($AB137/2/$Y137)</f>
        <v>158.01029995664</v>
      </c>
      <c r="AI137" s="52" t="n">
        <f aca="false">AF137/AB137</f>
        <v>0.00172038205841939</v>
      </c>
      <c r="AJ137" s="53" t="n">
        <f aca="false">AH137+10*LOG10(AB137)</f>
        <v>208.01029995664</v>
      </c>
    </row>
    <row r="138" customFormat="false" ht="12.75" hidden="false" customHeight="false" outlineLevel="0" collapsed="false">
      <c r="A138" s="50" t="n">
        <v>2006</v>
      </c>
      <c r="B138" s="41" t="n">
        <v>12.6</v>
      </c>
      <c r="C138" s="42" t="s">
        <v>111</v>
      </c>
      <c r="D138" s="42" t="s">
        <v>133</v>
      </c>
      <c r="E138" s="42" t="n">
        <v>0.13</v>
      </c>
      <c r="F138" s="44" t="s">
        <v>713</v>
      </c>
      <c r="G138" s="45" t="s">
        <v>714</v>
      </c>
      <c r="H138" s="45" t="s">
        <v>715</v>
      </c>
      <c r="I138" s="44" t="s">
        <v>716</v>
      </c>
      <c r="J138" s="46" t="str">
        <f aca="false">IF(I138&lt;&gt;"?", HYPERLINK(CONCATENATE("https://doi.org/",I138)), "")</f>
        <v>https://doi.org/10.1109/ISSCC.2006.1696123</v>
      </c>
      <c r="K138" s="45" t="s">
        <v>117</v>
      </c>
      <c r="L138" s="41"/>
      <c r="M138" s="41"/>
      <c r="N138" s="41"/>
      <c r="O138" s="34" t="s">
        <v>117</v>
      </c>
      <c r="P138" s="45" t="n">
        <v>1.02</v>
      </c>
      <c r="Q138" s="54"/>
      <c r="R138" s="48" t="n">
        <v>50000000</v>
      </c>
      <c r="S138" s="41" t="n">
        <v>66</v>
      </c>
      <c r="T138" s="41"/>
      <c r="U138" s="41" t="n">
        <v>75</v>
      </c>
      <c r="V138" s="41" t="n">
        <v>70</v>
      </c>
      <c r="W138" s="41"/>
      <c r="X138" s="49" t="n">
        <f aca="false">+IF(ISNUMBER($S138),$S138,MIN($V138,$T138,$U138,$W138))</f>
        <v>66</v>
      </c>
      <c r="Y138" s="48" t="n">
        <v>0.224</v>
      </c>
      <c r="Z138" s="48" t="n">
        <v>100000000</v>
      </c>
      <c r="AA138" s="50" t="n">
        <v>1</v>
      </c>
      <c r="AB138" s="48" t="n">
        <f aca="false">Z138/AA138</f>
        <v>100000000</v>
      </c>
      <c r="AC138" s="48"/>
      <c r="AD138" s="51" t="n">
        <f aca="false">Y138/AB138*1000000000000</f>
        <v>2240</v>
      </c>
      <c r="AE138" s="49" t="str">
        <f aca="false">IF(ISNUMBER($Q138), $AD138*1000/2^(($Q138-1.76)/6.02), "")</f>
        <v/>
      </c>
      <c r="AF138" s="49" t="n">
        <f aca="false">$AD138*1000/2^(($X138-1.76)/6.02)</f>
        <v>1373.81398078618</v>
      </c>
      <c r="AG138" s="31" t="str">
        <f aca="false">IF(ISNUMBER($Q138), $Q138+10*LOG10($AB138/2/$Y138), "")</f>
        <v/>
      </c>
      <c r="AH138" s="31" t="n">
        <f aca="false">$X138+10*LOG10($AB138/2/$Y138)</f>
        <v>149.487219860019</v>
      </c>
      <c r="AI138" s="52" t="n">
        <f aca="false">AF138/AB138</f>
        <v>1.37381398078618E-005</v>
      </c>
      <c r="AJ138" s="53" t="n">
        <f aca="false">AH138+10*LOG10(AB138)</f>
        <v>229.487219860019</v>
      </c>
    </row>
    <row r="139" customFormat="false" ht="12.75" hidden="false" customHeight="false" outlineLevel="0" collapsed="false">
      <c r="A139" s="50" t="n">
        <v>2006</v>
      </c>
      <c r="B139" s="41" t="n">
        <v>12.7</v>
      </c>
      <c r="C139" s="42" t="s">
        <v>111</v>
      </c>
      <c r="D139" s="42" t="s">
        <v>133</v>
      </c>
      <c r="E139" s="42" t="n">
        <v>0.13</v>
      </c>
      <c r="F139" s="44" t="s">
        <v>717</v>
      </c>
      <c r="G139" s="45" t="s">
        <v>718</v>
      </c>
      <c r="H139" s="45" t="s">
        <v>719</v>
      </c>
      <c r="I139" s="44" t="s">
        <v>720</v>
      </c>
      <c r="J139" s="46" t="str">
        <f aca="false">IF(I139&lt;&gt;"?", HYPERLINK(CONCATENATE("https://doi.org/",I139)), "")</f>
        <v>https://doi.org/10.1109/ISSCC.2006.1696124</v>
      </c>
      <c r="K139" s="45" t="s">
        <v>117</v>
      </c>
      <c r="L139" s="41"/>
      <c r="M139" s="41"/>
      <c r="N139" s="41"/>
      <c r="O139" s="34" t="s">
        <v>117</v>
      </c>
      <c r="P139" s="45" t="n">
        <v>0.2</v>
      </c>
      <c r="Q139" s="54"/>
      <c r="R139" s="48" t="n">
        <v>25000000</v>
      </c>
      <c r="S139" s="41" t="n">
        <v>57.2</v>
      </c>
      <c r="T139" s="41"/>
      <c r="U139" s="41"/>
      <c r="V139" s="41"/>
      <c r="W139" s="41" t="n">
        <v>72.9</v>
      </c>
      <c r="X139" s="49" t="n">
        <f aca="false">+IF(ISNUMBER($S139),$S139,MIN($V139,$T139,$U139,$W139))</f>
        <v>57.2</v>
      </c>
      <c r="Y139" s="48" t="n">
        <v>0.015</v>
      </c>
      <c r="Z139" s="48" t="n">
        <v>50000000</v>
      </c>
      <c r="AA139" s="50" t="n">
        <v>1</v>
      </c>
      <c r="AB139" s="48" t="n">
        <f aca="false">Z139/AA139</f>
        <v>50000000</v>
      </c>
      <c r="AC139" s="48"/>
      <c r="AD139" s="51" t="n">
        <f aca="false">Y139/AB139*1000000000000</f>
        <v>300</v>
      </c>
      <c r="AE139" s="49" t="str">
        <f aca="false">IF(ISNUMBER($Q139), $AD139*1000/2^(($Q139-1.76)/6.02), "")</f>
        <v/>
      </c>
      <c r="AF139" s="49" t="n">
        <f aca="false">$AD139*1000/2^(($X139-1.76)/6.02)</f>
        <v>506.809813410615</v>
      </c>
      <c r="AG139" s="31" t="str">
        <f aca="false">IF(ISNUMBER($Q139), $Q139+10*LOG10($AB139/2/$Y139), "")</f>
        <v/>
      </c>
      <c r="AH139" s="31" t="n">
        <f aca="false">$X139+10*LOG10($AB139/2/$Y139)</f>
        <v>149.418487496164</v>
      </c>
      <c r="AI139" s="52" t="n">
        <f aca="false">AF139/AB139</f>
        <v>1.01361962682123E-005</v>
      </c>
      <c r="AJ139" s="53" t="n">
        <f aca="false">AH139+10*LOG10(AB139)</f>
        <v>226.408187539524</v>
      </c>
    </row>
    <row r="140" customFormat="false" ht="12.75" hidden="false" customHeight="false" outlineLevel="0" collapsed="false">
      <c r="A140" s="50" t="n">
        <v>2006</v>
      </c>
      <c r="B140" s="41" t="n">
        <v>12.8</v>
      </c>
      <c r="C140" s="42" t="s">
        <v>111</v>
      </c>
      <c r="D140" s="42" t="s">
        <v>133</v>
      </c>
      <c r="E140" s="42" t="n">
        <v>0.18</v>
      </c>
      <c r="F140" s="44" t="s">
        <v>721</v>
      </c>
      <c r="G140" s="45" t="s">
        <v>722</v>
      </c>
      <c r="H140" s="45" t="s">
        <v>723</v>
      </c>
      <c r="I140" s="44" t="s">
        <v>724</v>
      </c>
      <c r="J140" s="46" t="str">
        <f aca="false">IF(I140&lt;&gt;"?", HYPERLINK(CONCATENATE("https://doi.org/",I140)), "")</f>
        <v>https://doi.org/10.1109/ISSCC.2006.1696125</v>
      </c>
      <c r="K140" s="45" t="s">
        <v>117</v>
      </c>
      <c r="L140" s="41" t="n">
        <v>1.8</v>
      </c>
      <c r="M140" s="41"/>
      <c r="N140" s="41"/>
      <c r="O140" s="34" t="s">
        <v>117</v>
      </c>
      <c r="P140" s="45" t="n">
        <v>3.6</v>
      </c>
      <c r="Q140" s="54"/>
      <c r="R140" s="48" t="n">
        <v>20000000</v>
      </c>
      <c r="S140" s="41" t="n">
        <v>67</v>
      </c>
      <c r="T140" s="41"/>
      <c r="U140" s="41"/>
      <c r="V140" s="41" t="n">
        <v>73</v>
      </c>
      <c r="W140" s="41"/>
      <c r="X140" s="49" t="n">
        <f aca="false">+IF(ISNUMBER($S140),$S140,MIN($V140,$T140,$U140,$W140))</f>
        <v>67</v>
      </c>
      <c r="Y140" s="48" t="n">
        <v>0.268</v>
      </c>
      <c r="Z140" s="48" t="n">
        <v>40000000</v>
      </c>
      <c r="AA140" s="50" t="n">
        <v>1</v>
      </c>
      <c r="AB140" s="48" t="n">
        <f aca="false">Z140/AA140</f>
        <v>40000000</v>
      </c>
      <c r="AC140" s="48"/>
      <c r="AD140" s="51" t="n">
        <f aca="false">Y140/AB140*1000000000000</f>
        <v>6700</v>
      </c>
      <c r="AE140" s="49" t="str">
        <f aca="false">IF(ISNUMBER($Q140), $AD140*1000/2^(($Q140-1.76)/6.02), "")</f>
        <v/>
      </c>
      <c r="AF140" s="49" t="n">
        <f aca="false">$AD140*1000/2^(($X140-1.76)/6.02)</f>
        <v>3662.26472119908</v>
      </c>
      <c r="AG140" s="31" t="str">
        <f aca="false">IF(ISNUMBER($Q140), $Q140+10*LOG10($AB140/2/$Y140), "")</f>
        <v/>
      </c>
      <c r="AH140" s="31" t="n">
        <f aca="false">$X140+10*LOG10($AB140/2/$Y140)</f>
        <v>145.728952016352</v>
      </c>
      <c r="AI140" s="52" t="n">
        <f aca="false">AF140/AB140</f>
        <v>9.15566180299771E-005</v>
      </c>
      <c r="AJ140" s="53" t="n">
        <f aca="false">AH140+10*LOG10(AB140)</f>
        <v>221.749551929632</v>
      </c>
    </row>
    <row r="141" customFormat="false" ht="12.75" hidden="false" customHeight="false" outlineLevel="0" collapsed="false">
      <c r="A141" s="50" t="n">
        <v>2006</v>
      </c>
      <c r="B141" s="41" t="n">
        <v>31.1</v>
      </c>
      <c r="C141" s="42" t="s">
        <v>111</v>
      </c>
      <c r="D141" s="42" t="s">
        <v>208</v>
      </c>
      <c r="E141" s="42" t="n">
        <v>0.09</v>
      </c>
      <c r="F141" s="44" t="s">
        <v>725</v>
      </c>
      <c r="G141" s="45" t="s">
        <v>726</v>
      </c>
      <c r="H141" s="45" t="s">
        <v>727</v>
      </c>
      <c r="I141" s="44" t="s">
        <v>728</v>
      </c>
      <c r="J141" s="46" t="str">
        <f aca="false">IF(I141&lt;&gt;"?", HYPERLINK(CONCATENATE("https://doi.org/",I141)), "")</f>
        <v>https://doi.org/10.1109/ISSCC.2006.1696294</v>
      </c>
      <c r="K141" s="45" t="s">
        <v>117</v>
      </c>
      <c r="L141" s="41"/>
      <c r="M141" s="41"/>
      <c r="N141" s="41"/>
      <c r="O141" s="34" t="s">
        <v>117</v>
      </c>
      <c r="P141" s="45" t="n">
        <v>0.033</v>
      </c>
      <c r="Q141" s="54"/>
      <c r="R141" s="48" t="n">
        <f aca="false">Z141/2</f>
        <v>625000000</v>
      </c>
      <c r="S141" s="41" t="n">
        <v>23.8</v>
      </c>
      <c r="T141" s="41"/>
      <c r="U141" s="41"/>
      <c r="V141" s="41"/>
      <c r="W141" s="41"/>
      <c r="X141" s="49" t="n">
        <f aca="false">+IF(ISNUMBER($S141),$S141,MIN($V141,$T141,$U141,$W141))</f>
        <v>23.8</v>
      </c>
      <c r="Y141" s="48" t="n">
        <f aca="false">0.0021*1.2</f>
        <v>0.00252</v>
      </c>
      <c r="Z141" s="48" t="n">
        <v>1250000000</v>
      </c>
      <c r="AA141" s="50" t="n">
        <v>1</v>
      </c>
      <c r="AB141" s="48" t="n">
        <f aca="false">Z141/AA141</f>
        <v>1250000000</v>
      </c>
      <c r="AC141" s="48"/>
      <c r="AD141" s="51" t="n">
        <f aca="false">Y141/AB141*1000000000000</f>
        <v>2.016</v>
      </c>
      <c r="AE141" s="49" t="str">
        <f aca="false">IF(ISNUMBER($Q141), $AD141*1000/2^(($Q141-1.76)/6.02), "")</f>
        <v/>
      </c>
      <c r="AF141" s="49" t="n">
        <f aca="false">$AD141*1000/2^(($X141-1.76)/6.02)</f>
        <v>159.360509563567</v>
      </c>
      <c r="AG141" s="31" t="str">
        <f aca="false">IF(ISNUMBER($Q141), $Q141+10*LOG10($AB141/2/$Y141), "")</f>
        <v/>
      </c>
      <c r="AH141" s="31" t="n">
        <f aca="false">$X141+10*LOG10($AB141/2/$Y141)</f>
        <v>137.744794765625</v>
      </c>
      <c r="AI141" s="52" t="n">
        <f aca="false">AF141/AB141</f>
        <v>1.27488407650853E-007</v>
      </c>
      <c r="AJ141" s="53" t="n">
        <f aca="false">AH141+10*LOG10(AB141)</f>
        <v>228.713894895706</v>
      </c>
    </row>
    <row r="142" customFormat="false" ht="12.75" hidden="false" customHeight="false" outlineLevel="0" collapsed="false">
      <c r="A142" s="50" t="n">
        <v>2006</v>
      </c>
      <c r="B142" s="41" t="n">
        <v>31.2</v>
      </c>
      <c r="C142" s="42" t="s">
        <v>111</v>
      </c>
      <c r="D142" s="42" t="s">
        <v>246</v>
      </c>
      <c r="E142" s="42" t="n">
        <v>0.09</v>
      </c>
      <c r="F142" s="44" t="s">
        <v>729</v>
      </c>
      <c r="G142" s="45" t="s">
        <v>730</v>
      </c>
      <c r="H142" s="45" t="s">
        <v>731</v>
      </c>
      <c r="I142" s="44" t="s">
        <v>732</v>
      </c>
      <c r="J142" s="46" t="str">
        <f aca="false">IF(I142&lt;&gt;"?", HYPERLINK(CONCATENATE("https://doi.org/",I142)), "")</f>
        <v>https://doi.org/10.1109/ISSCC.2006.1696295</v>
      </c>
      <c r="K142" s="45" t="s">
        <v>117</v>
      </c>
      <c r="L142" s="41"/>
      <c r="M142" s="41"/>
      <c r="N142" s="41"/>
      <c r="O142" s="34" t="s">
        <v>117</v>
      </c>
      <c r="P142" s="45" t="n">
        <v>0.13</v>
      </c>
      <c r="Q142" s="54"/>
      <c r="R142" s="48" t="n">
        <v>500000000</v>
      </c>
      <c r="S142" s="41" t="n">
        <v>33.8</v>
      </c>
      <c r="T142" s="41"/>
      <c r="U142" s="41"/>
      <c r="V142" s="41"/>
      <c r="W142" s="41"/>
      <c r="X142" s="49" t="n">
        <f aca="false">+IF(ISNUMBER($S142),$S142,MIN($V142,$T142,$U142,$W142))</f>
        <v>33.8</v>
      </c>
      <c r="Y142" s="48" t="n">
        <v>0.055</v>
      </c>
      <c r="Z142" s="48" t="n">
        <v>1000000000</v>
      </c>
      <c r="AA142" s="50" t="n">
        <v>1</v>
      </c>
      <c r="AB142" s="48" t="n">
        <f aca="false">Z142/AA142</f>
        <v>1000000000</v>
      </c>
      <c r="AC142" s="48"/>
      <c r="AD142" s="51" t="n">
        <f aca="false">Y142/AB142*1000000000000</f>
        <v>55</v>
      </c>
      <c r="AE142" s="49" t="str">
        <f aca="false">IF(ISNUMBER($Q142), $AD142*1000/2^(($Q142-1.76)/6.02), "")</f>
        <v/>
      </c>
      <c r="AF142" s="49" t="n">
        <f aca="false">$AD142*1000/2^(($X142-1.76)/6.02)</f>
        <v>1374.6845281988</v>
      </c>
      <c r="AG142" s="31" t="str">
        <f aca="false">IF(ISNUMBER($Q142), $Q142+10*LOG10($AB142/2/$Y142), "")</f>
        <v/>
      </c>
      <c r="AH142" s="31" t="n">
        <f aca="false">$X142+10*LOG10($AB142/2/$Y142)</f>
        <v>133.386073148418</v>
      </c>
      <c r="AI142" s="52" t="n">
        <f aca="false">AF142/AB142</f>
        <v>1.3746845281988E-006</v>
      </c>
      <c r="AJ142" s="53" t="n">
        <f aca="false">AH142+10*LOG10(AB142)</f>
        <v>223.386073148418</v>
      </c>
    </row>
    <row r="143" customFormat="false" ht="12.75" hidden="false" customHeight="false" outlineLevel="0" collapsed="false">
      <c r="A143" s="50" t="n">
        <v>2006</v>
      </c>
      <c r="B143" s="41" t="n">
        <v>31.3</v>
      </c>
      <c r="C143" s="42" t="s">
        <v>111</v>
      </c>
      <c r="D143" s="42" t="s">
        <v>208</v>
      </c>
      <c r="E143" s="42" t="n">
        <v>0.18</v>
      </c>
      <c r="F143" s="44" t="s">
        <v>733</v>
      </c>
      <c r="G143" s="45" t="s">
        <v>734</v>
      </c>
      <c r="H143" s="45" t="s">
        <v>735</v>
      </c>
      <c r="I143" s="44" t="s">
        <v>736</v>
      </c>
      <c r="J143" s="46" t="str">
        <f aca="false">IF(I143&lt;&gt;"?", HYPERLINK(CONCATENATE("https://doi.org/",I143)), "")</f>
        <v>https://doi.org/10.1109/ISSCC.2006.1696296</v>
      </c>
      <c r="K143" s="45" t="s">
        <v>117</v>
      </c>
      <c r="L143" s="41"/>
      <c r="M143" s="41"/>
      <c r="N143" s="41"/>
      <c r="O143" s="34" t="s">
        <v>117</v>
      </c>
      <c r="P143" s="45" t="n">
        <v>0.88</v>
      </c>
      <c r="Q143" s="54"/>
      <c r="R143" s="48" t="n">
        <v>2000000000</v>
      </c>
      <c r="S143" s="41" t="n">
        <v>22</v>
      </c>
      <c r="T143" s="41"/>
      <c r="U143" s="41"/>
      <c r="V143" s="41"/>
      <c r="W143" s="41"/>
      <c r="X143" s="49" t="n">
        <f aca="false">+IF(ISNUMBER($S143),$S143,MIN($V143,$T143,$U143,$W143))</f>
        <v>22</v>
      </c>
      <c r="Y143" s="48" t="n">
        <v>0.089</v>
      </c>
      <c r="Z143" s="48" t="n">
        <v>4000000000</v>
      </c>
      <c r="AA143" s="50" t="n">
        <v>1</v>
      </c>
      <c r="AB143" s="48" t="n">
        <f aca="false">Z143/AA143</f>
        <v>4000000000</v>
      </c>
      <c r="AC143" s="48"/>
      <c r="AD143" s="51" t="n">
        <f aca="false">Y143/AB143*1000000000000</f>
        <v>22.25</v>
      </c>
      <c r="AE143" s="49" t="str">
        <f aca="false">IF(ISNUMBER($Q143), $AD143*1000/2^(($Q143-1.76)/6.02), "")</f>
        <v/>
      </c>
      <c r="AF143" s="49" t="n">
        <f aca="false">$AD143*1000/2^(($X143-1.76)/6.02)</f>
        <v>2163.86003621113</v>
      </c>
      <c r="AG143" s="31" t="str">
        <f aca="false">IF(ISNUMBER($Q143), $Q143+10*LOG10($AB143/2/$Y143), "")</f>
        <v/>
      </c>
      <c r="AH143" s="31" t="n">
        <f aca="false">$X143+10*LOG10($AB143/2/$Y143)</f>
        <v>125.516399890191</v>
      </c>
      <c r="AI143" s="52" t="n">
        <f aca="false">AF143/AB143</f>
        <v>5.40965009052782E-007</v>
      </c>
      <c r="AJ143" s="53" t="n">
        <f aca="false">AH143+10*LOG10(AB143)</f>
        <v>221.53699980347</v>
      </c>
    </row>
    <row r="144" customFormat="false" ht="12.75" hidden="false" customHeight="false" outlineLevel="0" collapsed="false">
      <c r="A144" s="50" t="n">
        <v>2006</v>
      </c>
      <c r="B144" s="41" t="n">
        <v>31.4</v>
      </c>
      <c r="C144" s="42" t="s">
        <v>111</v>
      </c>
      <c r="D144" s="42" t="s">
        <v>208</v>
      </c>
      <c r="E144" s="42" t="s">
        <v>737</v>
      </c>
      <c r="F144" s="44" t="s">
        <v>738</v>
      </c>
      <c r="G144" s="45" t="s">
        <v>739</v>
      </c>
      <c r="H144" s="45" t="s">
        <v>740</v>
      </c>
      <c r="I144" s="44" t="s">
        <v>741</v>
      </c>
      <c r="J144" s="46" t="str">
        <f aca="false">IF(I144&lt;&gt;"?", HYPERLINK(CONCATENATE("https://doi.org/",I144)), "")</f>
        <v>https://doi.org/10.1109/ISSCC.2006.1696297</v>
      </c>
      <c r="K144" s="45" t="s">
        <v>117</v>
      </c>
      <c r="L144" s="41" t="n">
        <v>3.3</v>
      </c>
      <c r="M144" s="41"/>
      <c r="N144" s="41"/>
      <c r="O144" s="34" t="s">
        <v>117</v>
      </c>
      <c r="P144" s="45" t="n">
        <v>2.4</v>
      </c>
      <c r="Q144" s="54"/>
      <c r="R144" s="48" t="n">
        <v>11000000000</v>
      </c>
      <c r="S144" s="41" t="n">
        <v>20</v>
      </c>
      <c r="T144" s="41"/>
      <c r="U144" s="41"/>
      <c r="V144" s="41"/>
      <c r="W144" s="41"/>
      <c r="X144" s="49" t="n">
        <f aca="false">+IF(ISNUMBER($S144),$S144,MIN($V144,$T144,$U144,$W144))</f>
        <v>20</v>
      </c>
      <c r="Y144" s="48" t="n">
        <v>3</v>
      </c>
      <c r="Z144" s="48" t="n">
        <v>22000000000</v>
      </c>
      <c r="AA144" s="50" t="n">
        <v>1</v>
      </c>
      <c r="AB144" s="48" t="n">
        <f aca="false">Z144/AA144</f>
        <v>22000000000</v>
      </c>
      <c r="AC144" s="48"/>
      <c r="AD144" s="51" t="n">
        <f aca="false">Y144/AB144*1000000000000</f>
        <v>136.363636363636</v>
      </c>
      <c r="AE144" s="49" t="str">
        <f aca="false">IF(ISNUMBER($Q144), $AD144*1000/2^(($Q144-1.76)/6.02), "")</f>
        <v/>
      </c>
      <c r="AF144" s="49" t="n">
        <f aca="false">$AD144*1000/2^(($X144-1.76)/6.02)</f>
        <v>16695.8175447214</v>
      </c>
      <c r="AG144" s="31" t="str">
        <f aca="false">IF(ISNUMBER($Q144), $Q144+10*LOG10($AB144/2/$Y144), "")</f>
        <v/>
      </c>
      <c r="AH144" s="31" t="n">
        <f aca="false">$X144+10*LOG10($AB144/2/$Y144)</f>
        <v>115.642714304386</v>
      </c>
      <c r="AI144" s="52" t="n">
        <f aca="false">AF144/AB144</f>
        <v>7.58900797487336E-007</v>
      </c>
      <c r="AJ144" s="53" t="n">
        <f aca="false">AH144+10*LOG10(AB144)</f>
        <v>219.066941112608</v>
      </c>
    </row>
    <row r="145" customFormat="false" ht="12.75" hidden="false" customHeight="false" outlineLevel="0" collapsed="false">
      <c r="A145" s="50" t="n">
        <v>2006</v>
      </c>
      <c r="B145" s="41" t="n">
        <v>31.5</v>
      </c>
      <c r="C145" s="42" t="s">
        <v>111</v>
      </c>
      <c r="D145" s="42" t="s">
        <v>548</v>
      </c>
      <c r="E145" s="42" t="n">
        <v>0.13</v>
      </c>
      <c r="F145" s="44" t="s">
        <v>742</v>
      </c>
      <c r="G145" s="45" t="s">
        <v>743</v>
      </c>
      <c r="H145" s="45" t="s">
        <v>744</v>
      </c>
      <c r="I145" s="44" t="s">
        <v>745</v>
      </c>
      <c r="J145" s="46" t="str">
        <f aca="false">IF(I145&lt;&gt;"?", HYPERLINK(CONCATENATE("https://doi.org/",I145)), "")</f>
        <v>https://doi.org/10.1109/ISSCC.2006.1696298</v>
      </c>
      <c r="K145" s="45" t="s">
        <v>117</v>
      </c>
      <c r="L145" s="41"/>
      <c r="M145" s="41"/>
      <c r="N145" s="41"/>
      <c r="O145" s="34" t="s">
        <v>117</v>
      </c>
      <c r="P145" s="45" t="n">
        <v>0.12</v>
      </c>
      <c r="Q145" s="54"/>
      <c r="R145" s="48" t="n">
        <v>300000000</v>
      </c>
      <c r="S145" s="41" t="n">
        <v>33</v>
      </c>
      <c r="T145" s="41"/>
      <c r="U145" s="41"/>
      <c r="V145" s="41"/>
      <c r="W145" s="41"/>
      <c r="X145" s="49" t="n">
        <f aca="false">+IF(ISNUMBER($S145),$S145,MIN($V145,$T145,$U145,$W145))</f>
        <v>33</v>
      </c>
      <c r="Y145" s="48" t="n">
        <v>0.0053</v>
      </c>
      <c r="Z145" s="48" t="n">
        <v>600000000</v>
      </c>
      <c r="AA145" s="50" t="n">
        <v>1</v>
      </c>
      <c r="AB145" s="48" t="n">
        <f aca="false">Z145/AA145</f>
        <v>600000000</v>
      </c>
      <c r="AC145" s="48"/>
      <c r="AD145" s="51" t="n">
        <f aca="false">Y145/AB145*1000000000000</f>
        <v>8.83333333333333</v>
      </c>
      <c r="AE145" s="49" t="str">
        <f aca="false">IF(ISNUMBER($Q145), $AD145*1000/2^(($Q145-1.76)/6.02), "")</f>
        <v/>
      </c>
      <c r="AF145" s="49" t="n">
        <f aca="false">$AD145*1000/2^(($X145-1.76)/6.02)</f>
        <v>242.085602019985</v>
      </c>
      <c r="AG145" s="31" t="str">
        <f aca="false">IF(ISNUMBER($Q145), $Q145+10*LOG10($AB145/2/$Y145), "")</f>
        <v/>
      </c>
      <c r="AH145" s="31" t="n">
        <f aca="false">$X145+10*LOG10($AB145/2/$Y145)</f>
        <v>140.528453851189</v>
      </c>
      <c r="AI145" s="52" t="n">
        <f aca="false">AF145/AB145</f>
        <v>4.03476003366642E-007</v>
      </c>
      <c r="AJ145" s="53" t="n">
        <f aca="false">AH145+10*LOG10(AB145)</f>
        <v>228.309966355025</v>
      </c>
    </row>
    <row r="146" customFormat="false" ht="12.75" hidden="false" customHeight="false" outlineLevel="0" collapsed="false">
      <c r="A146" s="50" t="n">
        <v>2006</v>
      </c>
      <c r="B146" s="41" t="n">
        <v>31.6</v>
      </c>
      <c r="C146" s="42" t="s">
        <v>111</v>
      </c>
      <c r="D146" s="42" t="s">
        <v>191</v>
      </c>
      <c r="E146" s="42" t="n">
        <v>0.13</v>
      </c>
      <c r="F146" s="44" t="s">
        <v>746</v>
      </c>
      <c r="G146" s="45" t="s">
        <v>747</v>
      </c>
      <c r="H146" s="45" t="s">
        <v>748</v>
      </c>
      <c r="I146" s="44" t="s">
        <v>749</v>
      </c>
      <c r="J146" s="46" t="str">
        <f aca="false">IF(I146&lt;&gt;"?", HYPERLINK(CONCATENATE("https://doi.org/",I146)), "")</f>
        <v>https://doi.org/10.1109/ISSCC.2006.1696299</v>
      </c>
      <c r="K146" s="45" t="s">
        <v>117</v>
      </c>
      <c r="L146" s="41"/>
      <c r="M146" s="41"/>
      <c r="N146" s="41"/>
      <c r="O146" s="34" t="s">
        <v>117</v>
      </c>
      <c r="P146" s="45" t="n">
        <v>3.5</v>
      </c>
      <c r="Q146" s="54"/>
      <c r="R146" s="48" t="n">
        <v>500000000</v>
      </c>
      <c r="S146" s="41" t="n">
        <v>52</v>
      </c>
      <c r="T146" s="41"/>
      <c r="U146" s="41"/>
      <c r="V146" s="41"/>
      <c r="W146" s="41"/>
      <c r="X146" s="49" t="n">
        <f aca="false">+IF(ISNUMBER($S146),$S146,MIN($V146,$T146,$U146,$W146))</f>
        <v>52</v>
      </c>
      <c r="Y146" s="48" t="n">
        <v>0.25</v>
      </c>
      <c r="Z146" s="48" t="n">
        <v>1000000000</v>
      </c>
      <c r="AA146" s="50" t="n">
        <v>1</v>
      </c>
      <c r="AB146" s="48" t="n">
        <f aca="false">Z146/AA146</f>
        <v>1000000000</v>
      </c>
      <c r="AC146" s="48"/>
      <c r="AD146" s="51" t="n">
        <f aca="false">Y146/AB146*1000000000000</f>
        <v>250</v>
      </c>
      <c r="AE146" s="49" t="str">
        <f aca="false">IF(ISNUMBER($Q146), $AD146*1000/2^(($Q146-1.76)/6.02), "")</f>
        <v/>
      </c>
      <c r="AF146" s="49" t="n">
        <f aca="false">$AD146*1000/2^(($X146-1.76)/6.02)</f>
        <v>768.581062455892</v>
      </c>
      <c r="AG146" s="31" t="str">
        <f aca="false">IF(ISNUMBER($Q146), $Q146+10*LOG10($AB146/2/$Y146), "")</f>
        <v/>
      </c>
      <c r="AH146" s="31" t="n">
        <f aca="false">$X146+10*LOG10($AB146/2/$Y146)</f>
        <v>145.01029995664</v>
      </c>
      <c r="AI146" s="52" t="n">
        <f aca="false">AF146/AB146</f>
        <v>7.68581062455892E-007</v>
      </c>
      <c r="AJ146" s="53" t="n">
        <f aca="false">AH146+10*LOG10(AB146)</f>
        <v>235.01029995664</v>
      </c>
    </row>
    <row r="147" customFormat="false" ht="12.75" hidden="false" customHeight="false" outlineLevel="0" collapsed="false">
      <c r="A147" s="60" t="n">
        <v>2007</v>
      </c>
      <c r="B147" s="61" t="n">
        <v>13.1</v>
      </c>
      <c r="C147" s="62" t="s">
        <v>139</v>
      </c>
      <c r="D147" s="62" t="s">
        <v>163</v>
      </c>
      <c r="E147" s="42" t="n">
        <v>0.09</v>
      </c>
      <c r="F147" s="63" t="s">
        <v>750</v>
      </c>
      <c r="G147" s="45" t="s">
        <v>751</v>
      </c>
      <c r="H147" s="45" t="s">
        <v>752</v>
      </c>
      <c r="I147" s="44" t="s">
        <v>753</v>
      </c>
      <c r="J147" s="46" t="str">
        <f aca="false">IF(I147&lt;&gt;"?", HYPERLINK(CONCATENATE("https://doi.org/",I147)), "")</f>
        <v>https://doi.org/10.1109/ISSCC.2007.373382</v>
      </c>
      <c r="K147" s="45" t="s">
        <v>754</v>
      </c>
      <c r="L147" s="41" t="n">
        <v>1.2</v>
      </c>
      <c r="M147" s="41"/>
      <c r="N147" s="41"/>
      <c r="O147" s="34" t="s">
        <v>117</v>
      </c>
      <c r="P147" s="45" t="n">
        <v>0.5</v>
      </c>
      <c r="Q147" s="54"/>
      <c r="R147" s="48" t="n">
        <v>20000000</v>
      </c>
      <c r="S147" s="41" t="n">
        <v>69</v>
      </c>
      <c r="T147" s="41" t="n">
        <v>71</v>
      </c>
      <c r="U147" s="41" t="n">
        <v>77</v>
      </c>
      <c r="V147" s="41"/>
      <c r="W147" s="41"/>
      <c r="X147" s="49" t="n">
        <f aca="false">+IF(ISNUMBER($S147),$S147,MIN($V147,$T147,$U147,$W147))</f>
        <v>69</v>
      </c>
      <c r="Y147" s="48" t="n">
        <v>0.056</v>
      </c>
      <c r="Z147" s="48" t="n">
        <v>340000000</v>
      </c>
      <c r="AA147" s="50" t="n">
        <f aca="false">2*Z147/AB147</f>
        <v>17</v>
      </c>
      <c r="AB147" s="48" t="n">
        <f aca="false">40000000</f>
        <v>40000000</v>
      </c>
      <c r="AC147" s="48" t="n">
        <v>10500000</v>
      </c>
      <c r="AD147" s="51" t="n">
        <f aca="false">Y147/AB147*1000000000000</f>
        <v>1400</v>
      </c>
      <c r="AE147" s="49" t="str">
        <f aca="false">IF(ISNUMBER($Q147), $AD147*1000/2^(($Q147-1.76)/6.02), "")</f>
        <v/>
      </c>
      <c r="AF147" s="49" t="n">
        <f aca="false">$AD147*1000/2^(($X147-1.76)/6.02)</f>
        <v>607.845213323591</v>
      </c>
      <c r="AG147" s="31" t="str">
        <f aca="false">IF(ISNUMBER($Q147), $Q147+10*LOG10($AB147/2/$Y147), "")</f>
        <v/>
      </c>
      <c r="AH147" s="31" t="n">
        <f aca="false">$X147+10*LOG10($AB147/2/$Y147)</f>
        <v>154.528419686578</v>
      </c>
      <c r="AI147" s="52" t="n">
        <f aca="false">AF147/AB147</f>
        <v>1.51961303330898E-005</v>
      </c>
      <c r="AJ147" s="53" t="n">
        <f aca="false">AH147+10*LOG10(AB147)</f>
        <v>230.549019599857</v>
      </c>
    </row>
    <row r="148" customFormat="false" ht="12.75" hidden="false" customHeight="false" outlineLevel="0" collapsed="false">
      <c r="A148" s="64" t="n">
        <v>2007</v>
      </c>
      <c r="B148" s="61" t="n">
        <v>13.2</v>
      </c>
      <c r="C148" s="62" t="s">
        <v>139</v>
      </c>
      <c r="D148" s="62" t="s">
        <v>145</v>
      </c>
      <c r="E148" s="42" t="n">
        <v>0.13</v>
      </c>
      <c r="F148" s="63" t="s">
        <v>755</v>
      </c>
      <c r="G148" s="45" t="s">
        <v>756</v>
      </c>
      <c r="H148" s="45" t="s">
        <v>757</v>
      </c>
      <c r="I148" s="44" t="s">
        <v>758</v>
      </c>
      <c r="J148" s="46" t="str">
        <f aca="false">IF(I148&lt;&gt;"?", HYPERLINK(CONCATENATE("https://doi.org/",I148)), "")</f>
        <v>https://doi.org/10.1109/ISSCC.2007.373383</v>
      </c>
      <c r="K148" s="45" t="s">
        <v>759</v>
      </c>
      <c r="L148" s="41" t="n">
        <v>1.2</v>
      </c>
      <c r="M148" s="41"/>
      <c r="N148" s="41"/>
      <c r="O148" s="34" t="s">
        <v>117</v>
      </c>
      <c r="P148" s="45" t="n">
        <v>0.4</v>
      </c>
      <c r="Q148" s="54"/>
      <c r="R148" s="48" t="n">
        <v>10000000</v>
      </c>
      <c r="S148" s="41" t="n">
        <v>63</v>
      </c>
      <c r="T148" s="41"/>
      <c r="U148" s="41" t="n">
        <v>67</v>
      </c>
      <c r="V148" s="41"/>
      <c r="W148" s="41"/>
      <c r="X148" s="49" t="n">
        <f aca="false">+IF(ISNUMBER($S148),$S148,MIN($V148,$T148,$U148,$W148))</f>
        <v>63</v>
      </c>
      <c r="Y148" s="48" t="n">
        <v>0.0205</v>
      </c>
      <c r="Z148" s="48" t="n">
        <v>240000000</v>
      </c>
      <c r="AA148" s="50" t="n">
        <v>12</v>
      </c>
      <c r="AB148" s="48" t="n">
        <f aca="false">Z148/AA148</f>
        <v>20000000</v>
      </c>
      <c r="AC148" s="48"/>
      <c r="AD148" s="51" t="n">
        <f aca="false">Y148/AB148*1000000000000</f>
        <v>1025</v>
      </c>
      <c r="AE148" s="49" t="str">
        <f aca="false">IF(ISNUMBER($Q148), $AD148*1000/2^(($Q148-1.76)/6.02), "")</f>
        <v/>
      </c>
      <c r="AF148" s="49" t="n">
        <f aca="false">$AD148*1000/2^(($X148-1.76)/6.02)</f>
        <v>888.011779565558</v>
      </c>
      <c r="AG148" s="31" t="str">
        <f aca="false">IF(ISNUMBER($Q148), $Q148+10*LOG10($AB148/2/$Y148), "")</f>
        <v/>
      </c>
      <c r="AH148" s="31" t="n">
        <f aca="false">$X148+10*LOG10($AB148/2/$Y148)</f>
        <v>149.882461389442</v>
      </c>
      <c r="AI148" s="52" t="n">
        <f aca="false">AF148/AB148</f>
        <v>4.44005889782779E-005</v>
      </c>
      <c r="AJ148" s="53" t="n">
        <f aca="false">AH148+10*LOG10(AB148)</f>
        <v>222.892761346082</v>
      </c>
    </row>
    <row r="149" customFormat="false" ht="12.75" hidden="false" customHeight="false" outlineLevel="0" collapsed="false">
      <c r="A149" s="64" t="n">
        <v>2007</v>
      </c>
      <c r="B149" s="61" t="n">
        <v>13.3</v>
      </c>
      <c r="C149" s="62" t="s">
        <v>139</v>
      </c>
      <c r="D149" s="62" t="s">
        <v>173</v>
      </c>
      <c r="E149" s="42" t="n">
        <v>0.09</v>
      </c>
      <c r="F149" s="63" t="s">
        <v>760</v>
      </c>
      <c r="G149" s="45" t="s">
        <v>761</v>
      </c>
      <c r="H149" s="45" t="s">
        <v>762</v>
      </c>
      <c r="I149" s="44" t="s">
        <v>763</v>
      </c>
      <c r="J149" s="46" t="str">
        <f aca="false">IF(I149&lt;&gt;"?", HYPERLINK(CONCATENATE("https://doi.org/",I149)), "")</f>
        <v>https://doi.org/10.1109/ISSCC.2007.373384</v>
      </c>
      <c r="K149" s="45" t="s">
        <v>764</v>
      </c>
      <c r="L149" s="41" t="n">
        <v>1.2</v>
      </c>
      <c r="M149" s="41"/>
      <c r="N149" s="41"/>
      <c r="O149" s="34" t="s">
        <v>117</v>
      </c>
      <c r="P149" s="45" t="n">
        <v>0.36</v>
      </c>
      <c r="Q149" s="54"/>
      <c r="R149" s="48" t="n">
        <v>200000</v>
      </c>
      <c r="S149" s="41"/>
      <c r="T149" s="41" t="n">
        <v>82</v>
      </c>
      <c r="U149" s="41" t="n">
        <v>82</v>
      </c>
      <c r="V149" s="41"/>
      <c r="W149" s="41"/>
      <c r="X149" s="49" t="n">
        <f aca="false">+IF(ISNUMBER($S149),$S149,MIN($V149,$T149,$U149,$W149))</f>
        <v>82</v>
      </c>
      <c r="Y149" s="48" t="n">
        <v>0.00144</v>
      </c>
      <c r="Z149" s="48" t="n">
        <v>26000000</v>
      </c>
      <c r="AA149" s="50" t="n">
        <v>65</v>
      </c>
      <c r="AB149" s="48" t="n">
        <f aca="false">Z149/AA149</f>
        <v>400000</v>
      </c>
      <c r="AC149" s="48"/>
      <c r="AD149" s="51" t="n">
        <f aca="false">Y149/AB149*1000000000000</f>
        <v>3600</v>
      </c>
      <c r="AE149" s="49" t="str">
        <f aca="false">IF(ISNUMBER($Q149), $AD149*1000/2^(($Q149-1.76)/6.02), "")</f>
        <v/>
      </c>
      <c r="AF149" s="49" t="n">
        <f aca="false">$AD149*1000/2^(($X149-1.76)/6.02)</f>
        <v>349.866766673675</v>
      </c>
      <c r="AG149" s="31" t="str">
        <f aca="false">IF(ISNUMBER($Q149), $Q149+10*LOG10($AB149/2/$Y149), "")</f>
        <v/>
      </c>
      <c r="AH149" s="31" t="n">
        <f aca="false">$X149+10*LOG10($AB149/2/$Y149)</f>
        <v>163.426675035687</v>
      </c>
      <c r="AI149" s="52" t="n">
        <f aca="false">AF149/AB149</f>
        <v>0.000874666916684186</v>
      </c>
      <c r="AJ149" s="53" t="n">
        <f aca="false">AH149+10*LOG10(AB149)</f>
        <v>219.447274948967</v>
      </c>
    </row>
    <row r="150" customFormat="false" ht="12.75" hidden="false" customHeight="false" outlineLevel="0" collapsed="false">
      <c r="A150" s="64" t="n">
        <v>2007</v>
      </c>
      <c r="B150" s="61" t="n">
        <v>13.4</v>
      </c>
      <c r="C150" s="62" t="s">
        <v>139</v>
      </c>
      <c r="D150" s="42" t="s">
        <v>603</v>
      </c>
      <c r="E150" s="65" t="n">
        <v>0.065</v>
      </c>
      <c r="F150" s="63" t="s">
        <v>765</v>
      </c>
      <c r="G150" s="45" t="s">
        <v>766</v>
      </c>
      <c r="H150" s="45" t="s">
        <v>767</v>
      </c>
      <c r="I150" s="44" t="s">
        <v>768</v>
      </c>
      <c r="J150" s="46" t="str">
        <f aca="false">IF(I150&lt;&gt;"?", HYPERLINK(CONCATENATE("https://doi.org/",I150)), "")</f>
        <v>https://doi.org/10.1109/ISSCC.2007.373385</v>
      </c>
      <c r="K150" s="45" t="s">
        <v>769</v>
      </c>
      <c r="L150" s="41" t="n">
        <v>2.5</v>
      </c>
      <c r="M150" s="41"/>
      <c r="N150" s="41"/>
      <c r="O150" s="34" t="s">
        <v>117</v>
      </c>
      <c r="P150" s="45" t="n">
        <v>0.125</v>
      </c>
      <c r="Q150" s="54"/>
      <c r="R150" s="48" t="n">
        <v>614000</v>
      </c>
      <c r="S150" s="41"/>
      <c r="T150" s="41"/>
      <c r="U150" s="41" t="n">
        <v>82</v>
      </c>
      <c r="V150" s="41"/>
      <c r="W150" s="41"/>
      <c r="X150" s="49" t="n">
        <f aca="false">+IF(ISNUMBER($S150),$S150,MIN($V150,$T150,$U150,$W150))</f>
        <v>82</v>
      </c>
      <c r="Y150" s="48" t="n">
        <v>0.0031</v>
      </c>
      <c r="Z150" s="48" t="n">
        <v>76800000</v>
      </c>
      <c r="AA150" s="50" t="n">
        <v>62.5407166123779</v>
      </c>
      <c r="AB150" s="48" t="n">
        <f aca="false">Z150/AA150</f>
        <v>1228000</v>
      </c>
      <c r="AC150" s="48"/>
      <c r="AD150" s="51" t="n">
        <f aca="false">Y150/AB150*1000000000000</f>
        <v>2524.42996742671</v>
      </c>
      <c r="AE150" s="49" t="str">
        <f aca="false">IF(ISNUMBER($Q150), $AD150*1000/2^(($Q150-1.76)/6.02), "")</f>
        <v/>
      </c>
      <c r="AF150" s="49" t="n">
        <f aca="false">$AD150*1000/2^(($X150-1.76)/6.02)</f>
        <v>245.337263999365</v>
      </c>
      <c r="AG150" s="31" t="str">
        <f aca="false">IF(ISNUMBER($Q150), $Q150+10*LOG10($AB150/2/$Y150), "")</f>
        <v/>
      </c>
      <c r="AH150" s="31" t="n">
        <f aca="false">$X150+10*LOG10($AB150/2/$Y150)</f>
        <v>164.968066773069</v>
      </c>
      <c r="AI150" s="52" t="n">
        <f aca="false">AF150/AB150</f>
        <v>0.000199786045602088</v>
      </c>
      <c r="AJ150" s="53" t="n">
        <f aca="false">AH150+10*LOG10(AB150)</f>
        <v>225.86005044112</v>
      </c>
    </row>
    <row r="151" s="2" customFormat="true" ht="12.75" hidden="false" customHeight="false" outlineLevel="0" collapsed="false">
      <c r="A151" s="64" t="n">
        <v>2007</v>
      </c>
      <c r="B151" s="61" t="n">
        <v>13.5</v>
      </c>
      <c r="C151" s="62" t="s">
        <v>111</v>
      </c>
      <c r="D151" s="62" t="s">
        <v>112</v>
      </c>
      <c r="E151" s="42" t="n">
        <v>0.09</v>
      </c>
      <c r="F151" s="63" t="s">
        <v>770</v>
      </c>
      <c r="G151" s="45" t="s">
        <v>771</v>
      </c>
      <c r="H151" s="45" t="s">
        <v>772</v>
      </c>
      <c r="I151" s="44" t="s">
        <v>773</v>
      </c>
      <c r="J151" s="46" t="str">
        <f aca="false">IF(I151&lt;&gt;"?", HYPERLINK(CONCATENATE("https://doi.org/",I151)), "")</f>
        <v>https://doi.org/10.1109/ISSCC.2007.373386</v>
      </c>
      <c r="K151" s="45" t="s">
        <v>774</v>
      </c>
      <c r="L151" s="41"/>
      <c r="M151" s="41"/>
      <c r="N151" s="41"/>
      <c r="O151" s="34" t="s">
        <v>117</v>
      </c>
      <c r="P151" s="45" t="n">
        <v>0.08</v>
      </c>
      <c r="R151" s="48" t="n">
        <f aca="false">Z151/2</f>
        <v>10000000</v>
      </c>
      <c r="S151" s="41" t="n">
        <f aca="false">6.02*7.4+1.76</f>
        <v>46.308</v>
      </c>
      <c r="T151" s="66"/>
      <c r="U151" s="66"/>
      <c r="V151" s="41"/>
      <c r="W151" s="41"/>
      <c r="X151" s="49" t="n">
        <f aca="false">+IF(ISNUMBER($S151),$S151,MIN($V151,$T151,$U151,$W151))</f>
        <v>46.308</v>
      </c>
      <c r="Y151" s="48" t="n">
        <v>0.00029</v>
      </c>
      <c r="Z151" s="48" t="n">
        <v>20000000</v>
      </c>
      <c r="AA151" s="50" t="n">
        <v>1</v>
      </c>
      <c r="AB151" s="48" t="n">
        <f aca="false">Z151/AA151</f>
        <v>20000000</v>
      </c>
      <c r="AC151" s="48"/>
      <c r="AD151" s="51" t="n">
        <f aca="false">Y151/AB151*1000000000000</f>
        <v>14.5</v>
      </c>
      <c r="AE151" s="49" t="str">
        <f aca="false">IF(ISNUMBER($Q151), $AD151*1000/2^(($Q151-1.76)/6.02), "")</f>
        <v/>
      </c>
      <c r="AF151" s="49" t="n">
        <f aca="false">$AD151*1000/2^(($X151-1.76)/6.02)</f>
        <v>85.8511336500029</v>
      </c>
      <c r="AG151" s="31" t="str">
        <f aca="false">IF(ISNUMBER($Q151), $Q151+10*LOG10($AB151/2/$Y151), "")</f>
        <v/>
      </c>
      <c r="AH151" s="31" t="n">
        <f aca="false">$X151+10*LOG10($AB151/2/$Y151)</f>
        <v>151.68402002101</v>
      </c>
      <c r="AI151" s="52" t="n">
        <f aca="false">AF151/AB151</f>
        <v>4.29255668250015E-006</v>
      </c>
      <c r="AJ151" s="53" t="n">
        <f aca="false">AH151+10*LOG10(AB151)</f>
        <v>224.69431997765</v>
      </c>
    </row>
    <row r="152" s="2" customFormat="true" ht="12.75" hidden="false" customHeight="false" outlineLevel="0" collapsed="false">
      <c r="A152" s="64" t="n">
        <v>2007</v>
      </c>
      <c r="B152" s="61" t="n">
        <v>13.6</v>
      </c>
      <c r="C152" s="43" t="s">
        <v>139</v>
      </c>
      <c r="D152" s="62" t="s">
        <v>548</v>
      </c>
      <c r="E152" s="42" t="n">
        <v>0.13</v>
      </c>
      <c r="F152" s="63" t="s">
        <v>775</v>
      </c>
      <c r="G152" s="45" t="s">
        <v>776</v>
      </c>
      <c r="H152" s="45" t="s">
        <v>777</v>
      </c>
      <c r="I152" s="44" t="s">
        <v>778</v>
      </c>
      <c r="J152" s="46" t="str">
        <f aca="false">IF(I152&lt;&gt;"?", HYPERLINK(CONCATENATE("https://doi.org/",I152)), "")</f>
        <v>https://doi.org/10.1109/ISSCC.2007.373387</v>
      </c>
      <c r="K152" s="45" t="s">
        <v>117</v>
      </c>
      <c r="L152" s="41" t="n">
        <v>1.5</v>
      </c>
      <c r="M152" s="41"/>
      <c r="N152" s="41"/>
      <c r="O152" s="34" t="s">
        <v>117</v>
      </c>
      <c r="P152" s="45" t="n">
        <v>0.55</v>
      </c>
      <c r="R152" s="48" t="n">
        <v>960000</v>
      </c>
      <c r="S152" s="41" t="n">
        <v>83</v>
      </c>
      <c r="T152" s="41"/>
      <c r="U152" s="41"/>
      <c r="V152" s="41" t="n">
        <v>87</v>
      </c>
      <c r="W152" s="41"/>
      <c r="X152" s="49" t="n">
        <f aca="false">+IF(ISNUMBER($S152),$S152,MIN($V152,$T152,$U152,$W152))</f>
        <v>83</v>
      </c>
      <c r="Y152" s="48" t="n">
        <v>0.066</v>
      </c>
      <c r="Z152" s="48" t="n">
        <v>40000000</v>
      </c>
      <c r="AA152" s="50" t="n">
        <v>8</v>
      </c>
      <c r="AB152" s="48" t="n">
        <f aca="false">Z152/AA152</f>
        <v>5000000</v>
      </c>
      <c r="AC152" s="48"/>
      <c r="AD152" s="51" t="n">
        <f aca="false">Y152/AB152*1000000000000</f>
        <v>13200</v>
      </c>
      <c r="AE152" s="49" t="str">
        <f aca="false">IF(ISNUMBER($Q152), $AD152*1000/2^(($Q152-1.76)/6.02), "")</f>
        <v/>
      </c>
      <c r="AF152" s="49" t="n">
        <f aca="false">$AD152*1000/2^(($X152-1.76)/6.02)</f>
        <v>1143.323523959</v>
      </c>
      <c r="AG152" s="31" t="str">
        <f aca="false">IF(ISNUMBER($Q152), $Q152+10*LOG10($AB152/2/$Y152), "")</f>
        <v/>
      </c>
      <c r="AH152" s="31" t="n">
        <f aca="false">$X152+10*LOG10($AB152/2/$Y152)</f>
        <v>158.783960731302</v>
      </c>
      <c r="AI152" s="52" t="n">
        <f aca="false">AF152/AB152</f>
        <v>0.000228664704791799</v>
      </c>
      <c r="AJ152" s="53" t="n">
        <f aca="false">AH152+10*LOG10(AB152)</f>
        <v>225.773660774662</v>
      </c>
    </row>
    <row r="153" s="2" customFormat="true" ht="12.75" hidden="false" customHeight="false" outlineLevel="0" collapsed="false">
      <c r="A153" s="64" t="n">
        <v>2007</v>
      </c>
      <c r="B153" s="61" t="n">
        <v>25.1</v>
      </c>
      <c r="C153" s="62" t="s">
        <v>111</v>
      </c>
      <c r="D153" s="62" t="s">
        <v>133</v>
      </c>
      <c r="E153" s="42" t="n">
        <v>0.09</v>
      </c>
      <c r="F153" s="63" t="s">
        <v>779</v>
      </c>
      <c r="G153" s="45" t="s">
        <v>780</v>
      </c>
      <c r="H153" s="45" t="s">
        <v>781</v>
      </c>
      <c r="I153" s="44" t="s">
        <v>782</v>
      </c>
      <c r="J153" s="46" t="str">
        <f aca="false">IF(I153&lt;&gt;"?", HYPERLINK(CONCATENATE("https://doi.org/",I153)), "")</f>
        <v>https://doi.org/10.1109/ISSCC.2007.373489</v>
      </c>
      <c r="K153" s="45" t="s">
        <v>783</v>
      </c>
      <c r="L153" s="41" t="n">
        <v>0.8</v>
      </c>
      <c r="M153" s="41"/>
      <c r="N153" s="41"/>
      <c r="O153" s="34" t="s">
        <v>117</v>
      </c>
      <c r="P153" s="45" t="n">
        <v>0.6372</v>
      </c>
      <c r="R153" s="48" t="n">
        <v>40000000</v>
      </c>
      <c r="S153" s="41" t="n">
        <v>51.4</v>
      </c>
      <c r="T153" s="41"/>
      <c r="U153" s="41"/>
      <c r="V153" s="41"/>
      <c r="W153" s="41"/>
      <c r="X153" s="49" t="n">
        <f aca="false">+IF(ISNUMBER($S153),$S153,MIN($V153,$T153,$U153,$W153))</f>
        <v>51.4</v>
      </c>
      <c r="Y153" s="48" t="n">
        <v>0.0065</v>
      </c>
      <c r="Z153" s="48" t="n">
        <v>80000000</v>
      </c>
      <c r="AA153" s="50" t="n">
        <v>1</v>
      </c>
      <c r="AB153" s="48" t="n">
        <f aca="false">Z153/AA153</f>
        <v>80000000</v>
      </c>
      <c r="AC153" s="48"/>
      <c r="AD153" s="51" t="n">
        <f aca="false">Y153/AB153*1000000000000</f>
        <v>81.25</v>
      </c>
      <c r="AE153" s="49" t="str">
        <f aca="false">IF(ISNUMBER($Q153), $AD153*1000/2^(($Q153-1.76)/6.02), "")</f>
        <v/>
      </c>
      <c r="AF153" s="49" t="n">
        <f aca="false">$AD153*1000/2^(($X153-1.76)/6.02)</f>
        <v>267.655412452881</v>
      </c>
      <c r="AG153" s="31" t="str">
        <f aca="false">IF(ISNUMBER($Q153), $Q153+10*LOG10($AB153/2/$Y153), "")</f>
        <v/>
      </c>
      <c r="AH153" s="31" t="n">
        <f aca="false">$X153+10*LOG10($AB153/2/$Y153)</f>
        <v>149.291466346851</v>
      </c>
      <c r="AI153" s="52" t="n">
        <f aca="false">AF153/AB153</f>
        <v>3.34569265566101E-006</v>
      </c>
      <c r="AJ153" s="53" t="n">
        <f aca="false">AH153+10*LOG10(AB153)</f>
        <v>228.32236621677</v>
      </c>
    </row>
    <row r="154" s="2" customFormat="true" ht="12.75" hidden="false" customHeight="false" outlineLevel="0" collapsed="false">
      <c r="A154" s="64" t="n">
        <v>2007</v>
      </c>
      <c r="B154" s="61" t="n">
        <v>25.2</v>
      </c>
      <c r="C154" s="62" t="s">
        <v>111</v>
      </c>
      <c r="D154" s="62" t="s">
        <v>246</v>
      </c>
      <c r="E154" s="42" t="n">
        <v>0.09</v>
      </c>
      <c r="F154" s="63" t="s">
        <v>784</v>
      </c>
      <c r="G154" s="45" t="s">
        <v>785</v>
      </c>
      <c r="H154" s="45" t="s">
        <v>786</v>
      </c>
      <c r="I154" s="44" t="s">
        <v>787</v>
      </c>
      <c r="J154" s="46" t="str">
        <f aca="false">IF(I154&lt;&gt;"?", HYPERLINK(CONCATENATE("https://doi.org/",I154)), "")</f>
        <v>https://doi.org/10.1109/ISSCC.2007.373490</v>
      </c>
      <c r="K154" s="45" t="s">
        <v>788</v>
      </c>
      <c r="L154" s="41" t="n">
        <v>1</v>
      </c>
      <c r="M154" s="41"/>
      <c r="N154" s="41"/>
      <c r="O154" s="34" t="s">
        <v>117</v>
      </c>
      <c r="P154" s="45" t="n">
        <v>0.42</v>
      </c>
      <c r="R154" s="48" t="n">
        <v>80000000</v>
      </c>
      <c r="S154" s="41" t="n">
        <v>56.542</v>
      </c>
      <c r="T154" s="41"/>
      <c r="U154" s="41"/>
      <c r="V154" s="41"/>
      <c r="W154" s="41"/>
      <c r="X154" s="49" t="n">
        <f aca="false">+IF(ISNUMBER($S154),$S154,MIN($V154,$T154,$U154,$W154))</f>
        <v>56.542</v>
      </c>
      <c r="Y154" s="48" t="n">
        <v>0.084</v>
      </c>
      <c r="Z154" s="48" t="n">
        <v>160000000</v>
      </c>
      <c r="AA154" s="50" t="n">
        <v>1</v>
      </c>
      <c r="AB154" s="48" t="n">
        <f aca="false">Z154/AA154</f>
        <v>160000000</v>
      </c>
      <c r="AC154" s="48"/>
      <c r="AD154" s="51" t="n">
        <f aca="false">Y154/AB154*1000000000000</f>
        <v>525</v>
      </c>
      <c r="AE154" s="49" t="str">
        <f aca="false">IF(ISNUMBER($Q154), $AD154*1000/2^(($Q154-1.76)/6.02), "")</f>
        <v/>
      </c>
      <c r="AF154" s="49" t="n">
        <f aca="false">$AD154*1000/2^(($X154-1.76)/6.02)</f>
        <v>956.723282337547</v>
      </c>
      <c r="AG154" s="31" t="str">
        <f aca="false">IF(ISNUMBER($Q154), $Q154+10*LOG10($AB154/2/$Y154), "")</f>
        <v/>
      </c>
      <c r="AH154" s="31" t="n">
        <f aca="false">$X154+10*LOG10($AB154/2/$Y154)</f>
        <v>146.330107009301</v>
      </c>
      <c r="AI154" s="52" t="n">
        <f aca="false">AF154/AB154</f>
        <v>5.97952051460967E-006</v>
      </c>
      <c r="AJ154" s="53" t="n">
        <f aca="false">AH154+10*LOG10(AB154)</f>
        <v>228.37130683586</v>
      </c>
    </row>
    <row r="155" s="2" customFormat="true" ht="12.75" hidden="false" customHeight="false" outlineLevel="0" collapsed="false">
      <c r="A155" s="64" t="n">
        <v>2007</v>
      </c>
      <c r="B155" s="61" t="n">
        <v>25.3</v>
      </c>
      <c r="C155" s="62" t="s">
        <v>111</v>
      </c>
      <c r="D155" s="62" t="s">
        <v>133</v>
      </c>
      <c r="E155" s="42" t="n">
        <v>0.09</v>
      </c>
      <c r="F155" s="63" t="s">
        <v>789</v>
      </c>
      <c r="G155" s="45" t="s">
        <v>790</v>
      </c>
      <c r="H155" s="45" t="s">
        <v>791</v>
      </c>
      <c r="I155" s="44" t="s">
        <v>792</v>
      </c>
      <c r="J155" s="46" t="str">
        <f aca="false">IF(I155&lt;&gt;"?", HYPERLINK(CONCATENATE("https://doi.org/",I155)), "")</f>
        <v>https://doi.org/10.1109/ISSCC.2007.373491</v>
      </c>
      <c r="K155" s="45" t="s">
        <v>117</v>
      </c>
      <c r="L155" s="41" t="n">
        <v>1</v>
      </c>
      <c r="M155" s="41"/>
      <c r="N155" s="41"/>
      <c r="O155" s="34" t="s">
        <v>117</v>
      </c>
      <c r="P155" s="45" t="n">
        <v>0.32</v>
      </c>
      <c r="R155" s="48" t="n">
        <v>15000000</v>
      </c>
      <c r="S155" s="41" t="n">
        <v>57</v>
      </c>
      <c r="T155" s="41"/>
      <c r="U155" s="41"/>
      <c r="V155" s="41"/>
      <c r="W155" s="41"/>
      <c r="X155" s="49" t="n">
        <f aca="false">+IF(ISNUMBER($S155),$S155,MIN($V155,$T155,$U155,$W155))</f>
        <v>57</v>
      </c>
      <c r="Y155" s="48" t="n">
        <v>0.0047</v>
      </c>
      <c r="Z155" s="48" t="n">
        <v>30000000</v>
      </c>
      <c r="AA155" s="50" t="n">
        <v>1</v>
      </c>
      <c r="AB155" s="48" t="n">
        <f aca="false">Z155/AA155</f>
        <v>30000000</v>
      </c>
      <c r="AC155" s="48"/>
      <c r="AD155" s="51" t="n">
        <f aca="false">Y155/AB155*1000000000000</f>
        <v>156.666666666667</v>
      </c>
      <c r="AE155" s="49" t="str">
        <f aca="false">IF(ISNUMBER($Q155), $AD155*1000/2^(($Q155-1.76)/6.02), "")</f>
        <v/>
      </c>
      <c r="AF155" s="49" t="n">
        <f aca="false">$AD155*1000/2^(($X155-1.76)/6.02)</f>
        <v>270.83286292739</v>
      </c>
      <c r="AG155" s="31" t="str">
        <f aca="false">IF(ISNUMBER($Q155), $Q155+10*LOG10($AB155/2/$Y155), "")</f>
        <v/>
      </c>
      <c r="AH155" s="31" t="n">
        <f aca="false">$X155+10*LOG10($AB155/2/$Y155)</f>
        <v>152.0399340112</v>
      </c>
      <c r="AI155" s="52" t="n">
        <f aca="false">AF155/AB155</f>
        <v>9.02776209757968E-006</v>
      </c>
      <c r="AJ155" s="53" t="n">
        <f aca="false">AH155+10*LOG10(AB155)</f>
        <v>226.811146558396</v>
      </c>
    </row>
    <row r="156" s="2" customFormat="true" ht="12.75" hidden="false" customHeight="false" outlineLevel="0" collapsed="false">
      <c r="A156" s="64" t="n">
        <v>2007</v>
      </c>
      <c r="B156" s="61" t="n">
        <v>25.4</v>
      </c>
      <c r="C156" s="62" t="s">
        <v>111</v>
      </c>
      <c r="D156" s="62" t="s">
        <v>133</v>
      </c>
      <c r="E156" s="42" t="n">
        <v>0.09</v>
      </c>
      <c r="F156" s="63" t="s">
        <v>793</v>
      </c>
      <c r="G156" s="45" t="s">
        <v>794</v>
      </c>
      <c r="H156" s="45" t="s">
        <v>795</v>
      </c>
      <c r="I156" s="44" t="s">
        <v>796</v>
      </c>
      <c r="J156" s="46" t="str">
        <f aca="false">IF(I156&lt;&gt;"?", HYPERLINK(CONCATENATE("https://doi.org/",I156)), "")</f>
        <v>https://doi.org/10.1109/ISSCC.2007.373492</v>
      </c>
      <c r="K156" s="45" t="s">
        <v>797</v>
      </c>
      <c r="L156" s="41" t="n">
        <v>1</v>
      </c>
      <c r="M156" s="41"/>
      <c r="N156" s="41"/>
      <c r="O156" s="34" t="s">
        <v>117</v>
      </c>
      <c r="P156" s="45" t="n">
        <v>1</v>
      </c>
      <c r="R156" s="48" t="n">
        <v>102500000</v>
      </c>
      <c r="S156" s="41" t="n">
        <v>55</v>
      </c>
      <c r="T156" s="41"/>
      <c r="U156" s="41"/>
      <c r="V156" s="41"/>
      <c r="W156" s="41" t="n">
        <v>72</v>
      </c>
      <c r="X156" s="49" t="n">
        <f aca="false">+IF(ISNUMBER($S156),$S156,MIN($V156,$T156,$U156,$W156))</f>
        <v>55</v>
      </c>
      <c r="Y156" s="48" t="n">
        <v>0.061</v>
      </c>
      <c r="Z156" s="48" t="n">
        <v>205000000</v>
      </c>
      <c r="AA156" s="50" t="n">
        <v>1</v>
      </c>
      <c r="AB156" s="48" t="n">
        <f aca="false">Z156/AA156</f>
        <v>205000000</v>
      </c>
      <c r="AC156" s="48"/>
      <c r="AD156" s="51" t="n">
        <f aca="false">Y156/AB156*1000000000000</f>
        <v>297.560975609756</v>
      </c>
      <c r="AE156" s="49" t="str">
        <f aca="false">IF(ISNUMBER($Q156), $AD156*1000/2^(($Q156-1.76)/6.02), "")</f>
        <v/>
      </c>
      <c r="AF156" s="49" t="n">
        <f aca="false">$AD156*1000/2^(($X156-1.76)/6.02)</f>
        <v>647.605750819667</v>
      </c>
      <c r="AG156" s="31" t="str">
        <f aca="false">IF(ISNUMBER($Q156), $Q156+10*LOG10($AB156/2/$Y156), "")</f>
        <v/>
      </c>
      <c r="AH156" s="31" t="n">
        <f aca="false">$X156+10*LOG10($AB156/2/$Y156)</f>
        <v>147.25394030381</v>
      </c>
      <c r="AI156" s="52" t="n">
        <f aca="false">AF156/AB156</f>
        <v>3.15905244302277E-006</v>
      </c>
      <c r="AJ156" s="53" t="n">
        <f aca="false">AH156+10*LOG10(AB156)</f>
        <v>230.371478914368</v>
      </c>
    </row>
    <row r="157" s="2" customFormat="true" ht="12.75" hidden="false" customHeight="false" outlineLevel="0" collapsed="false">
      <c r="A157" s="64" t="n">
        <v>2007</v>
      </c>
      <c r="B157" s="61" t="n">
        <v>25.5</v>
      </c>
      <c r="C157" s="62" t="s">
        <v>111</v>
      </c>
      <c r="D157" s="62" t="s">
        <v>798</v>
      </c>
      <c r="E157" s="42" t="n">
        <v>0.18</v>
      </c>
      <c r="F157" s="63" t="s">
        <v>799</v>
      </c>
      <c r="G157" s="45" t="s">
        <v>800</v>
      </c>
      <c r="H157" s="45" t="s">
        <v>801</v>
      </c>
      <c r="I157" s="44" t="s">
        <v>802</v>
      </c>
      <c r="J157" s="46" t="str">
        <f aca="false">IF(I157&lt;&gt;"?", HYPERLINK(CONCATENATE("https://doi.org/",I157)), "")</f>
        <v>https://doi.org/10.1109/ISSCC.2007.373493</v>
      </c>
      <c r="K157" s="45" t="s">
        <v>803</v>
      </c>
      <c r="L157" s="41"/>
      <c r="M157" s="41"/>
      <c r="N157" s="41"/>
      <c r="O157" s="34" t="s">
        <v>117</v>
      </c>
      <c r="P157" s="45" t="n">
        <v>0.05</v>
      </c>
      <c r="R157" s="48" t="n">
        <v>100000000</v>
      </c>
      <c r="S157" s="41" t="n">
        <v>40.288</v>
      </c>
      <c r="T157" s="41"/>
      <c r="U157" s="41"/>
      <c r="V157" s="41"/>
      <c r="W157" s="41"/>
      <c r="X157" s="49" t="n">
        <f aca="false">+IF(ISNUMBER($S157),$S157,MIN($V157,$T157,$U157,$W157))</f>
        <v>40.288</v>
      </c>
      <c r="Y157" s="48" t="n">
        <v>0.0085</v>
      </c>
      <c r="Z157" s="48" t="n">
        <v>200000000</v>
      </c>
      <c r="AA157" s="50" t="n">
        <v>1</v>
      </c>
      <c r="AB157" s="48" t="n">
        <f aca="false">Z157/AA157</f>
        <v>200000000</v>
      </c>
      <c r="AC157" s="48"/>
      <c r="AD157" s="51" t="n">
        <f aca="false">Y157/AB157*1000000000000</f>
        <v>42.5</v>
      </c>
      <c r="AE157" s="49" t="str">
        <f aca="false">IF(ISNUMBER($Q157), $AD157*1000/2^(($Q157-1.76)/6.02), "")</f>
        <v/>
      </c>
      <c r="AF157" s="49" t="n">
        <f aca="false">$AD157*1000/2^(($X157-1.76)/6.02)</f>
        <v>503.265266224155</v>
      </c>
      <c r="AG157" s="31" t="str">
        <f aca="false">IF(ISNUMBER($Q157), $Q157+10*LOG10($AB157/2/$Y157), "")</f>
        <v/>
      </c>
      <c r="AH157" s="31" t="n">
        <f aca="false">$X157+10*LOG10($AB157/2/$Y157)</f>
        <v>140.993810742857</v>
      </c>
      <c r="AI157" s="52" t="n">
        <f aca="false">AF157/AB157</f>
        <v>2.51632633112078E-006</v>
      </c>
      <c r="AJ157" s="53" t="n">
        <f aca="false">AH157+10*LOG10(AB157)</f>
        <v>224.004110699497</v>
      </c>
    </row>
    <row r="158" s="2" customFormat="true" ht="12.75" hidden="false" customHeight="false" outlineLevel="0" collapsed="false">
      <c r="A158" s="64" t="n">
        <v>2007</v>
      </c>
      <c r="B158" s="61" t="n">
        <v>25.6</v>
      </c>
      <c r="C158" s="62" t="s">
        <v>111</v>
      </c>
      <c r="D158" s="62" t="s">
        <v>133</v>
      </c>
      <c r="E158" s="42" t="n">
        <v>0.13</v>
      </c>
      <c r="F158" s="63" t="s">
        <v>804</v>
      </c>
      <c r="G158" s="45" t="s">
        <v>805</v>
      </c>
      <c r="H158" s="45" t="s">
        <v>806</v>
      </c>
      <c r="I158" s="44" t="s">
        <v>807</v>
      </c>
      <c r="J158" s="46" t="str">
        <f aca="false">IF(I158&lt;&gt;"?", HYPERLINK(CONCATENATE("https://doi.org/",I158)), "")</f>
        <v>https://doi.org/10.1109/ISSCC.2007.373494</v>
      </c>
      <c r="K158" s="45" t="s">
        <v>808</v>
      </c>
      <c r="L158" s="41"/>
      <c r="M158" s="41"/>
      <c r="N158" s="41"/>
      <c r="O158" s="34" t="s">
        <v>117</v>
      </c>
      <c r="P158" s="45" t="n">
        <v>0.52</v>
      </c>
      <c r="R158" s="48" t="n">
        <v>102500000</v>
      </c>
      <c r="S158" s="41" t="n">
        <v>54</v>
      </c>
      <c r="T158" s="41"/>
      <c r="U158" s="41"/>
      <c r="V158" s="41"/>
      <c r="W158" s="41" t="n">
        <v>62</v>
      </c>
      <c r="X158" s="49" t="n">
        <f aca="false">+IF(ISNUMBER($S158),$S158,MIN($V158,$T158,$U158,$W158))</f>
        <v>54</v>
      </c>
      <c r="Y158" s="48" t="n">
        <v>0.0925</v>
      </c>
      <c r="Z158" s="48" t="n">
        <v>205000000</v>
      </c>
      <c r="AA158" s="50" t="n">
        <v>1</v>
      </c>
      <c r="AB158" s="48" t="n">
        <f aca="false">Z158/AA158</f>
        <v>205000000</v>
      </c>
      <c r="AC158" s="48"/>
      <c r="AD158" s="51" t="n">
        <f aca="false">Y158/AB158*1000000000000</f>
        <v>451.219512195122</v>
      </c>
      <c r="AE158" s="49" t="str">
        <f aca="false">IF(ISNUMBER($Q158), $AD158*1000/2^(($Q158-1.76)/6.02), "")</f>
        <v/>
      </c>
      <c r="AF158" s="49" t="n">
        <f aca="false">$AD158*1000/2^(($X158-1.76)/6.02)</f>
        <v>1101.8629420584</v>
      </c>
      <c r="AG158" s="31" t="str">
        <f aca="false">IF(ISNUMBER($Q158), $Q158+10*LOG10($AB158/2/$Y158), "")</f>
        <v/>
      </c>
      <c r="AH158" s="31" t="n">
        <f aca="false">$X158+10*LOG10($AB158/2/$Y158)</f>
        <v>144.445821326527</v>
      </c>
      <c r="AI158" s="52" t="n">
        <f aca="false">AF158/AB158</f>
        <v>5.37494118077269E-006</v>
      </c>
      <c r="AJ158" s="53" t="n">
        <f aca="false">AH158+10*LOG10(AB158)</f>
        <v>227.563359937085</v>
      </c>
    </row>
    <row r="159" s="2" customFormat="true" ht="12.75" hidden="false" customHeight="false" outlineLevel="0" collapsed="false">
      <c r="A159" s="64" t="n">
        <v>2007</v>
      </c>
      <c r="B159" s="61" t="n">
        <v>25.7</v>
      </c>
      <c r="C159" s="62" t="s">
        <v>111</v>
      </c>
      <c r="D159" s="62" t="s">
        <v>191</v>
      </c>
      <c r="E159" s="42" t="n">
        <v>0.09</v>
      </c>
      <c r="F159" s="63" t="s">
        <v>809</v>
      </c>
      <c r="G159" s="45" t="s">
        <v>810</v>
      </c>
      <c r="H159" s="45" t="s">
        <v>811</v>
      </c>
      <c r="I159" s="44" t="s">
        <v>812</v>
      </c>
      <c r="J159" s="46" t="str">
        <f aca="false">IF(I159&lt;&gt;"?", HYPERLINK(CONCATENATE("https://doi.org/",I159)), "")</f>
        <v>https://doi.org/10.1109/ISSCC.2007.373495</v>
      </c>
      <c r="K159" s="45" t="s">
        <v>117</v>
      </c>
      <c r="L159" s="41" t="n">
        <v>1.5</v>
      </c>
      <c r="M159" s="41" t="n">
        <v>1.3</v>
      </c>
      <c r="N159" s="41"/>
      <c r="O159" s="34" t="s">
        <v>117</v>
      </c>
      <c r="P159" s="45" t="n">
        <v>1.4</v>
      </c>
      <c r="R159" s="48" t="n">
        <v>400000000</v>
      </c>
      <c r="S159" s="41" t="n">
        <v>54</v>
      </c>
      <c r="T159" s="41"/>
      <c r="U159" s="41"/>
      <c r="V159" s="41"/>
      <c r="W159" s="41"/>
      <c r="X159" s="49" t="n">
        <f aca="false">+IF(ISNUMBER($S159),$S159,MIN($V159,$T159,$U159,$W159))</f>
        <v>54</v>
      </c>
      <c r="Y159" s="48" t="n">
        <v>0.35</v>
      </c>
      <c r="Z159" s="48" t="n">
        <v>800000000</v>
      </c>
      <c r="AA159" s="50" t="n">
        <v>1</v>
      </c>
      <c r="AB159" s="48" t="n">
        <f aca="false">Z159/AA159</f>
        <v>800000000</v>
      </c>
      <c r="AC159" s="48"/>
      <c r="AD159" s="51" t="n">
        <f aca="false">Y159/AB159*1000000000000</f>
        <v>437.5</v>
      </c>
      <c r="AE159" s="49" t="str">
        <f aca="false">IF(ISNUMBER($Q159), $AD159*1000/2^(($Q159-1.76)/6.02), "")</f>
        <v/>
      </c>
      <c r="AF159" s="49" t="n">
        <f aca="false">$AD159*1000/2^(($X159-1.76)/6.02)</f>
        <v>1068.36035260392</v>
      </c>
      <c r="AG159" s="31" t="str">
        <f aca="false">IF(ISNUMBER($Q159), $Q159+10*LOG10($AB159/2/$Y159), "")</f>
        <v/>
      </c>
      <c r="AH159" s="31" t="n">
        <f aca="false">$X159+10*LOG10($AB159/2/$Y159)</f>
        <v>144.579919469777</v>
      </c>
      <c r="AI159" s="52" t="n">
        <f aca="false">AF159/AB159</f>
        <v>1.3354504407549E-006</v>
      </c>
      <c r="AJ159" s="53" t="n">
        <f aca="false">AH159+10*LOG10(AB159)</f>
        <v>233.610819339696</v>
      </c>
    </row>
    <row r="160" s="2" customFormat="true" ht="12.75" hidden="false" customHeight="false" outlineLevel="0" collapsed="false">
      <c r="A160" s="60" t="n">
        <v>2008</v>
      </c>
      <c r="B160" s="67" t="n">
        <v>12.1</v>
      </c>
      <c r="C160" s="68" t="s">
        <v>111</v>
      </c>
      <c r="D160" s="68" t="s">
        <v>112</v>
      </c>
      <c r="E160" s="69" t="n">
        <v>0.09</v>
      </c>
      <c r="F160" s="67" t="s">
        <v>813</v>
      </c>
      <c r="G160" s="45" t="s">
        <v>814</v>
      </c>
      <c r="H160" s="45" t="s">
        <v>815</v>
      </c>
      <c r="I160" s="44" t="s">
        <v>816</v>
      </c>
      <c r="J160" s="46" t="str">
        <f aca="false">IF(I160&lt;&gt;"?", HYPERLINK(CONCATENATE("https://doi.org/",I160)), "")</f>
        <v>https://doi.org/10.1109/ISSCC.2008.4523145</v>
      </c>
      <c r="K160" s="45" t="s">
        <v>117</v>
      </c>
      <c r="L160" s="41"/>
      <c r="M160" s="41"/>
      <c r="N160" s="41"/>
      <c r="O160" s="34" t="s">
        <v>117</v>
      </c>
      <c r="P160" s="45" t="n">
        <v>0.0902</v>
      </c>
      <c r="R160" s="48" t="n">
        <v>20000000</v>
      </c>
      <c r="S160" s="43" t="n">
        <v>53.3</v>
      </c>
      <c r="T160" s="43"/>
      <c r="U160" s="43"/>
      <c r="V160" s="41"/>
      <c r="W160" s="43"/>
      <c r="X160" s="49" t="n">
        <f aca="false">+IF(ISNUMBER($S160),$S160,MIN($V160,$T160,$U160,$W160))</f>
        <v>53.3</v>
      </c>
      <c r="Y160" s="48" t="n">
        <v>0.00082</v>
      </c>
      <c r="Z160" s="48" t="n">
        <v>40000000</v>
      </c>
      <c r="AA160" s="50" t="n">
        <v>1</v>
      </c>
      <c r="AB160" s="48" t="n">
        <f aca="false">Z160/AA160</f>
        <v>40000000</v>
      </c>
      <c r="AC160" s="48"/>
      <c r="AD160" s="51" t="n">
        <f aca="false">Y160/AB160*1000000000000</f>
        <v>20.5</v>
      </c>
      <c r="AE160" s="49" t="str">
        <f aca="false">IF(ISNUMBER($Q160), $AD160*1000/2^(($Q160-1.76)/6.02), "")</f>
        <v/>
      </c>
      <c r="AF160" s="49" t="n">
        <f aca="false">$AD160*1000/2^(($X160-1.76)/6.02)</f>
        <v>54.2621570894415</v>
      </c>
      <c r="AG160" s="31" t="str">
        <f aca="false">IF(ISNUMBER($Q160), $Q160+10*LOG10($AB160/2/$Y160), "")</f>
        <v/>
      </c>
      <c r="AH160" s="31" t="n">
        <f aca="false">$X160+10*LOG10($AB160/2/$Y160)</f>
        <v>157.172161432803</v>
      </c>
      <c r="AI160" s="52" t="n">
        <f aca="false">AF160/AB160</f>
        <v>1.35655392723604E-006</v>
      </c>
      <c r="AJ160" s="53" t="n">
        <f aca="false">AH160+10*LOG10(AB160)</f>
        <v>233.192761346082</v>
      </c>
    </row>
    <row r="161" s="2" customFormat="true" ht="12.75" hidden="false" customHeight="false" outlineLevel="0" collapsed="false">
      <c r="A161" s="64" t="n">
        <v>2008</v>
      </c>
      <c r="B161" s="67" t="n">
        <v>12.2</v>
      </c>
      <c r="C161" s="68" t="s">
        <v>111</v>
      </c>
      <c r="D161" s="68" t="s">
        <v>548</v>
      </c>
      <c r="E161" s="65" t="n">
        <v>0.065</v>
      </c>
      <c r="F161" s="67" t="s">
        <v>817</v>
      </c>
      <c r="G161" s="45" t="s">
        <v>818</v>
      </c>
      <c r="H161" s="45" t="s">
        <v>819</v>
      </c>
      <c r="I161" s="44" t="s">
        <v>820</v>
      </c>
      <c r="J161" s="46" t="str">
        <f aca="false">IF(I161&lt;&gt;"?", HYPERLINK(CONCATENATE("https://doi.org/",I161)), "")</f>
        <v>https://doi.org/10.1109/ISSCC.2008.4523146</v>
      </c>
      <c r="K161" s="45" t="s">
        <v>117</v>
      </c>
      <c r="L161" s="41"/>
      <c r="M161" s="41"/>
      <c r="N161" s="41"/>
      <c r="O161" s="34" t="s">
        <v>117</v>
      </c>
      <c r="P161" s="45" t="n">
        <v>3</v>
      </c>
      <c r="R161" s="48" t="n">
        <v>125000000</v>
      </c>
      <c r="S161" s="43" t="n">
        <v>28.4</v>
      </c>
      <c r="T161" s="43"/>
      <c r="U161" s="43"/>
      <c r="V161" s="41"/>
      <c r="W161" s="43"/>
      <c r="X161" s="49" t="n">
        <f aca="false">+IF(ISNUMBER($S161),$S161,MIN($V161,$T161,$U161,$W161))</f>
        <v>28.4</v>
      </c>
      <c r="Y161" s="48" t="n">
        <v>0.0012</v>
      </c>
      <c r="Z161" s="48" t="n">
        <v>250000000</v>
      </c>
      <c r="AA161" s="50" t="n">
        <v>1</v>
      </c>
      <c r="AB161" s="48" t="n">
        <f aca="false">Z161/AA161</f>
        <v>250000000</v>
      </c>
      <c r="AC161" s="48"/>
      <c r="AD161" s="51" t="n">
        <f aca="false">Y161/AB161*1000000000000</f>
        <v>4.8</v>
      </c>
      <c r="AE161" s="49" t="str">
        <f aca="false">IF(ISNUMBER($Q161), $AD161*1000/2^(($Q161-1.76)/6.02), "")</f>
        <v/>
      </c>
      <c r="AF161" s="49" t="n">
        <f aca="false">$AD161*1000/2^(($X161-1.76)/6.02)</f>
        <v>223.4130302278</v>
      </c>
      <c r="AG161" s="31" t="str">
        <f aca="false">IF(ISNUMBER($Q161), $Q161+10*LOG10($AB161/2/$Y161), "")</f>
        <v/>
      </c>
      <c r="AH161" s="31" t="n">
        <f aca="false">$X161+10*LOG10($AB161/2/$Y161)</f>
        <v>138.577287669604</v>
      </c>
      <c r="AI161" s="52" t="n">
        <f aca="false">AF161/AB161</f>
        <v>8.936521209112E-007</v>
      </c>
      <c r="AJ161" s="53" t="n">
        <f aca="false">AH161+10*LOG10(AB161)</f>
        <v>222.556687756325</v>
      </c>
    </row>
    <row r="162" s="2" customFormat="true" ht="12.75" hidden="false" customHeight="false" outlineLevel="0" collapsed="false">
      <c r="A162" s="64" t="n">
        <v>2008</v>
      </c>
      <c r="B162" s="67" t="n">
        <v>12.3</v>
      </c>
      <c r="C162" s="68" t="s">
        <v>111</v>
      </c>
      <c r="D162" s="43" t="s">
        <v>246</v>
      </c>
      <c r="E162" s="69" t="n">
        <v>0.09</v>
      </c>
      <c r="F162" s="67" t="s">
        <v>821</v>
      </c>
      <c r="G162" s="45" t="s">
        <v>822</v>
      </c>
      <c r="H162" s="45" t="s">
        <v>823</v>
      </c>
      <c r="I162" s="44" t="s">
        <v>824</v>
      </c>
      <c r="J162" s="46" t="str">
        <f aca="false">IF(I162&lt;&gt;"?", HYPERLINK(CONCATENATE("https://doi.org/",I162)), "")</f>
        <v>https://doi.org/10.1109/ISSCC.2008.4523147</v>
      </c>
      <c r="K162" s="45" t="s">
        <v>117</v>
      </c>
      <c r="L162" s="41"/>
      <c r="M162" s="41"/>
      <c r="N162" s="41"/>
      <c r="O162" s="34" t="n">
        <v>0.25</v>
      </c>
      <c r="P162" s="45" t="n">
        <v>0.0625</v>
      </c>
      <c r="R162" s="48" t="n">
        <v>75000000</v>
      </c>
      <c r="S162" s="43" t="n">
        <v>40</v>
      </c>
      <c r="T162" s="43"/>
      <c r="U162" s="43"/>
      <c r="V162" s="41"/>
      <c r="W162" s="43" t="n">
        <v>53.9</v>
      </c>
      <c r="X162" s="49" t="n">
        <f aca="false">+IF(ISNUMBER($S162),$S162,MIN($V162,$T162,$U162,$W162))</f>
        <v>40</v>
      </c>
      <c r="Y162" s="48" t="n">
        <v>0.0001335</v>
      </c>
      <c r="Z162" s="48" t="n">
        <v>150000000</v>
      </c>
      <c r="AA162" s="50" t="n">
        <v>1</v>
      </c>
      <c r="AB162" s="48" t="n">
        <f aca="false">Z162/AA162</f>
        <v>150000000</v>
      </c>
      <c r="AC162" s="48"/>
      <c r="AD162" s="51" t="n">
        <f aca="false">Y162/AB162*1000000000000</f>
        <v>0.89</v>
      </c>
      <c r="AE162" s="49" t="str">
        <f aca="false">IF(ISNUMBER($Q162), $AD162*1000/2^(($Q162-1.76)/6.02), "")</f>
        <v/>
      </c>
      <c r="AF162" s="49" t="n">
        <f aca="false">$AD162*1000/2^(($X162-1.76)/6.02)</f>
        <v>10.8943034865488</v>
      </c>
      <c r="AG162" s="31" t="str">
        <f aca="false">IF(ISNUMBER($Q162), $Q162+10*LOG10($AB162/2/$Y162), "")</f>
        <v/>
      </c>
      <c r="AH162" s="31" t="n">
        <f aca="false">$X162+10*LOG10($AB162/2/$Y162)</f>
        <v>157.495799976911</v>
      </c>
      <c r="AI162" s="52" t="n">
        <f aca="false">AF162/AB162</f>
        <v>7.26286899103255E-008</v>
      </c>
      <c r="AJ162" s="53" t="n">
        <f aca="false">AH162+10*LOG10(AB162)</f>
        <v>239.256712567468</v>
      </c>
    </row>
    <row r="163" s="2" customFormat="true" ht="12.75" hidden="false" customHeight="false" outlineLevel="0" collapsed="false">
      <c r="A163" s="64" t="n">
        <v>2008</v>
      </c>
      <c r="B163" s="67" t="n">
        <v>12.4</v>
      </c>
      <c r="C163" s="68" t="s">
        <v>111</v>
      </c>
      <c r="D163" s="50" t="s">
        <v>112</v>
      </c>
      <c r="E163" s="65" t="n">
        <v>0.065</v>
      </c>
      <c r="F163" s="59" t="s">
        <v>825</v>
      </c>
      <c r="G163" s="45" t="s">
        <v>826</v>
      </c>
      <c r="H163" s="45" t="s">
        <v>827</v>
      </c>
      <c r="I163" s="44" t="s">
        <v>828</v>
      </c>
      <c r="J163" s="46" t="str">
        <f aca="false">IF(I163&lt;&gt;"?", HYPERLINK(CONCATENATE("https://doi.org/",I163)), "")</f>
        <v>https://doi.org/10.1109/ISSCC.2008.4523148</v>
      </c>
      <c r="K163" s="45" t="s">
        <v>117</v>
      </c>
      <c r="L163" s="41"/>
      <c r="M163" s="41"/>
      <c r="N163" s="41"/>
      <c r="O163" s="34" t="n">
        <v>0.5</v>
      </c>
      <c r="P163" s="45" t="n">
        <v>0.0275</v>
      </c>
      <c r="R163" s="48" t="n">
        <v>500000</v>
      </c>
      <c r="S163" s="41" t="n">
        <v>54.4</v>
      </c>
      <c r="T163" s="41" t="n">
        <v>55.6</v>
      </c>
      <c r="U163" s="41"/>
      <c r="V163" s="41" t="n">
        <v>61.1</v>
      </c>
      <c r="W163" s="41"/>
      <c r="X163" s="49" t="n">
        <f aca="false">+IF(ISNUMBER($S163),$S163,MIN($V163,$T163,$U163,$W163))</f>
        <v>54.4</v>
      </c>
      <c r="Y163" s="48" t="n">
        <v>1.9E-006</v>
      </c>
      <c r="Z163" s="48" t="n">
        <v>1000000</v>
      </c>
      <c r="AA163" s="50" t="n">
        <v>1</v>
      </c>
      <c r="AB163" s="48" t="n">
        <f aca="false">Z163/AA163</f>
        <v>1000000</v>
      </c>
      <c r="AC163" s="48"/>
      <c r="AD163" s="51" t="n">
        <f aca="false">Y163/AB163*1000000000000</f>
        <v>1.9</v>
      </c>
      <c r="AE163" s="49" t="str">
        <f aca="false">IF(ISNUMBER($Q163), $AD163*1000/2^(($Q163-1.76)/6.02), "")</f>
        <v/>
      </c>
      <c r="AF163" s="49" t="n">
        <f aca="false">$AD163*1000/2^(($X163-1.76)/6.02)</f>
        <v>4.43089351772968</v>
      </c>
      <c r="AG163" s="31" t="str">
        <f aca="false">IF(ISNUMBER($Q163), $Q163+10*LOG10($AB163/2/$Y163), "")</f>
        <v/>
      </c>
      <c r="AH163" s="31" t="n">
        <f aca="false">$X163+10*LOG10($AB163/2/$Y163)</f>
        <v>168.602164033832</v>
      </c>
      <c r="AI163" s="52" t="n">
        <f aca="false">AF163/AB163</f>
        <v>4.43089351772968E-006</v>
      </c>
      <c r="AJ163" s="53" t="n">
        <f aca="false">AH163+10*LOG10(AB163)</f>
        <v>228.602164033832</v>
      </c>
    </row>
    <row r="164" customFormat="false" ht="12.75" hidden="false" customHeight="false" outlineLevel="0" collapsed="false">
      <c r="A164" s="64" t="n">
        <v>2008</v>
      </c>
      <c r="B164" s="67" t="n">
        <v>12.5</v>
      </c>
      <c r="C164" s="68" t="s">
        <v>111</v>
      </c>
      <c r="D164" s="50" t="s">
        <v>112</v>
      </c>
      <c r="E164" s="69" t="n">
        <v>0.18</v>
      </c>
      <c r="F164" s="59" t="s">
        <v>829</v>
      </c>
      <c r="G164" s="45" t="s">
        <v>830</v>
      </c>
      <c r="H164" s="45" t="s">
        <v>831</v>
      </c>
      <c r="I164" s="44" t="s">
        <v>832</v>
      </c>
      <c r="J164" s="46" t="str">
        <f aca="false">IF(I164&lt;&gt;"?", HYPERLINK(CONCATENATE("https://doi.org/",I164)), "")</f>
        <v>https://doi.org/10.1109/ISSCC.2008.4523149</v>
      </c>
      <c r="K164" s="45" t="s">
        <v>117</v>
      </c>
      <c r="L164" s="41"/>
      <c r="M164" s="41"/>
      <c r="N164" s="41"/>
      <c r="O164" s="34" t="n">
        <v>15</v>
      </c>
      <c r="P164" s="45" t="n">
        <v>0.24</v>
      </c>
      <c r="Q164" s="54"/>
      <c r="R164" s="48" t="n">
        <v>50000</v>
      </c>
      <c r="S164" s="41" t="n">
        <v>58</v>
      </c>
      <c r="T164" s="41"/>
      <c r="U164" s="41"/>
      <c r="V164" s="41"/>
      <c r="W164" s="41" t="n">
        <v>71.8</v>
      </c>
      <c r="X164" s="49" t="n">
        <f aca="false">+IF(ISNUMBER($S164),$S164,MIN($V164,$T164,$U164,$W164))</f>
        <v>58</v>
      </c>
      <c r="Y164" s="48" t="n">
        <v>3.6E-006</v>
      </c>
      <c r="Z164" s="48" t="n">
        <v>100000</v>
      </c>
      <c r="AA164" s="50" t="n">
        <v>1</v>
      </c>
      <c r="AB164" s="48" t="n">
        <f aca="false">Z164/AA164</f>
        <v>100000</v>
      </c>
      <c r="AC164" s="48"/>
      <c r="AD164" s="51" t="n">
        <f aca="false">Y164/AB164*1000000000000</f>
        <v>36</v>
      </c>
      <c r="AE164" s="49" t="str">
        <f aca="false">IF(ISNUMBER($Q164), $AD164*1000/2^(($Q164-1.76)/6.02), "")</f>
        <v/>
      </c>
      <c r="AF164" s="49" t="n">
        <f aca="false">$AD164*1000/2^(($X164-1.76)/6.02)</f>
        <v>55.4654161117783</v>
      </c>
      <c r="AG164" s="31" t="str">
        <f aca="false">IF(ISNUMBER($Q164), $Q164+10*LOG10($AB164/2/$Y164), "")</f>
        <v/>
      </c>
      <c r="AH164" s="31" t="n">
        <f aca="false">$X164+10*LOG10($AB164/2/$Y164)</f>
        <v>159.426675035687</v>
      </c>
      <c r="AI164" s="52" t="n">
        <f aca="false">AF164/AB164</f>
        <v>0.000554654161117783</v>
      </c>
      <c r="AJ164" s="53" t="n">
        <f aca="false">AH164+10*LOG10(AB164)</f>
        <v>209.426675035687</v>
      </c>
    </row>
    <row r="165" customFormat="false" ht="12.75" hidden="false" customHeight="false" outlineLevel="0" collapsed="false">
      <c r="A165" s="64" t="n">
        <v>2008</v>
      </c>
      <c r="B165" s="67" t="n">
        <v>12.6</v>
      </c>
      <c r="C165" s="68" t="s">
        <v>111</v>
      </c>
      <c r="D165" s="50" t="s">
        <v>133</v>
      </c>
      <c r="E165" s="69" t="n">
        <v>0.18</v>
      </c>
      <c r="F165" s="59" t="s">
        <v>833</v>
      </c>
      <c r="G165" s="45" t="s">
        <v>834</v>
      </c>
      <c r="H165" s="45" t="s">
        <v>835</v>
      </c>
      <c r="I165" s="44" t="s">
        <v>836</v>
      </c>
      <c r="J165" s="46" t="str">
        <f aca="false">IF(I165&lt;&gt;"?", HYPERLINK(CONCATENATE("https://doi.org/",I165)), "")</f>
        <v>https://doi.org/10.1109/ISSCC.2008.4523150</v>
      </c>
      <c r="K165" s="45" t="s">
        <v>117</v>
      </c>
      <c r="L165" s="41" t="n">
        <v>3</v>
      </c>
      <c r="M165" s="41"/>
      <c r="N165" s="41"/>
      <c r="O165" s="34" t="s">
        <v>117</v>
      </c>
      <c r="P165" s="45" t="n">
        <v>7.28</v>
      </c>
      <c r="Q165" s="54"/>
      <c r="R165" s="48" t="n">
        <v>50000000</v>
      </c>
      <c r="S165" s="41"/>
      <c r="T165" s="41" t="n">
        <v>72.2</v>
      </c>
      <c r="U165" s="41"/>
      <c r="V165" s="41"/>
      <c r="W165" s="41"/>
      <c r="X165" s="49" t="n">
        <f aca="false">+IF(ISNUMBER($S165),$S165,MIN($V165,$T165,$U165,$W165))</f>
        <v>72.2</v>
      </c>
      <c r="Y165" s="48" t="n">
        <v>0.23</v>
      </c>
      <c r="Z165" s="48" t="n">
        <v>100000000</v>
      </c>
      <c r="AA165" s="50" t="n">
        <v>1</v>
      </c>
      <c r="AB165" s="48" t="n">
        <f aca="false">Z165/AA165</f>
        <v>100000000</v>
      </c>
      <c r="AC165" s="48"/>
      <c r="AD165" s="51" t="n">
        <f aca="false">Y165/AB165*1000000000000</f>
        <v>2300</v>
      </c>
      <c r="AE165" s="49" t="str">
        <f aca="false">IF(ISNUMBER($Q165), $AD165*1000/2^(($Q165-1.76)/6.02), "")</f>
        <v/>
      </c>
      <c r="AF165" s="49" t="n">
        <f aca="false">$AD165*1000/2^(($X165-1.76)/6.02)</f>
        <v>690.839015903468</v>
      </c>
      <c r="AG165" s="31" t="str">
        <f aca="false">IF(ISNUMBER($Q165), $Q165+10*LOG10($AB165/2/$Y165), "")</f>
        <v/>
      </c>
      <c r="AH165" s="31" t="n">
        <f aca="false">$X165+10*LOG10($AB165/2/$Y165)</f>
        <v>155.572421683184</v>
      </c>
      <c r="AI165" s="52" t="n">
        <f aca="false">AF165/AB165</f>
        <v>6.90839015903468E-006</v>
      </c>
      <c r="AJ165" s="53" t="n">
        <f aca="false">AH165+10*LOG10(AB165)</f>
        <v>235.572421683184</v>
      </c>
    </row>
    <row r="166" customFormat="false" ht="12.75" hidden="false" customHeight="false" outlineLevel="0" collapsed="false">
      <c r="A166" s="64" t="n">
        <v>2008</v>
      </c>
      <c r="B166" s="67" t="n">
        <v>12.7</v>
      </c>
      <c r="C166" s="68" t="s">
        <v>111</v>
      </c>
      <c r="D166" s="50" t="s">
        <v>133</v>
      </c>
      <c r="E166" s="65" t="n">
        <v>0.065</v>
      </c>
      <c r="F166" s="59" t="s">
        <v>837</v>
      </c>
      <c r="G166" s="45" t="s">
        <v>838</v>
      </c>
      <c r="H166" s="45" t="s">
        <v>839</v>
      </c>
      <c r="I166" s="44" t="s">
        <v>840</v>
      </c>
      <c r="J166" s="46" t="str">
        <f aca="false">IF(I166&lt;&gt;"?", HYPERLINK(CONCATENATE("https://doi.org/",I166)), "")</f>
        <v>https://doi.org/10.1109/ISSCC.2008.4523151</v>
      </c>
      <c r="K166" s="45" t="s">
        <v>117</v>
      </c>
      <c r="L166" s="41"/>
      <c r="M166" s="41"/>
      <c r="N166" s="41"/>
      <c r="O166" s="34" t="s">
        <v>117</v>
      </c>
      <c r="P166" s="45" t="n">
        <v>0.07</v>
      </c>
      <c r="Q166" s="54"/>
      <c r="R166" s="48" t="n">
        <v>50000000</v>
      </c>
      <c r="S166" s="41" t="n">
        <v>59</v>
      </c>
      <c r="T166" s="41"/>
      <c r="U166" s="41"/>
      <c r="V166" s="41" t="n">
        <v>74</v>
      </c>
      <c r="W166" s="41"/>
      <c r="X166" s="49" t="n">
        <f aca="false">+IF(ISNUMBER($S166),$S166,MIN($V166,$T166,$U166,$W166))</f>
        <v>59</v>
      </c>
      <c r="Y166" s="48" t="n">
        <v>0.0045</v>
      </c>
      <c r="Z166" s="48" t="n">
        <v>100000000</v>
      </c>
      <c r="AA166" s="50" t="n">
        <v>1</v>
      </c>
      <c r="AB166" s="48" t="n">
        <f aca="false">Z166/AA166</f>
        <v>100000000</v>
      </c>
      <c r="AC166" s="48"/>
      <c r="AD166" s="51" t="n">
        <f aca="false">Y166/AB166*1000000000000</f>
        <v>45</v>
      </c>
      <c r="AE166" s="49" t="str">
        <f aca="false">IF(ISNUMBER($Q166), $AD166*1000/2^(($Q166-1.76)/6.02), "")</f>
        <v/>
      </c>
      <c r="AF166" s="49" t="n">
        <f aca="false">$AD166*1000/2^(($X166-1.76)/6.02)</f>
        <v>61.7912962427764</v>
      </c>
      <c r="AG166" s="31" t="str">
        <f aca="false">IF(ISNUMBER($Q166), $Q166+10*LOG10($AB166/2/$Y166), "")</f>
        <v/>
      </c>
      <c r="AH166" s="31" t="n">
        <f aca="false">$X166+10*LOG10($AB166/2/$Y166)</f>
        <v>159.457574905607</v>
      </c>
      <c r="AI166" s="52" t="n">
        <f aca="false">AF166/AB166</f>
        <v>6.17912962427765E-007</v>
      </c>
      <c r="AJ166" s="53" t="n">
        <f aca="false">AH166+10*LOG10(AB166)</f>
        <v>239.457574905607</v>
      </c>
    </row>
    <row r="167" customFormat="false" ht="12.75" hidden="false" customHeight="false" outlineLevel="0" collapsed="false">
      <c r="A167" s="64" t="n">
        <v>2008</v>
      </c>
      <c r="B167" s="67" t="n">
        <v>12.8</v>
      </c>
      <c r="C167" s="68" t="s">
        <v>111</v>
      </c>
      <c r="D167" s="50" t="s">
        <v>118</v>
      </c>
      <c r="E167" s="69" t="n">
        <v>0.09</v>
      </c>
      <c r="F167" s="59" t="s">
        <v>841</v>
      </c>
      <c r="G167" s="45" t="s">
        <v>842</v>
      </c>
      <c r="H167" s="45" t="s">
        <v>843</v>
      </c>
      <c r="I167" s="44" t="s">
        <v>844</v>
      </c>
      <c r="J167" s="46" t="str">
        <f aca="false">IF(I167&lt;&gt;"?", HYPERLINK(CONCATENATE("https://doi.org/",I167)), "")</f>
        <v>https://doi.org/10.1109/ISSCC.2008.4523152</v>
      </c>
      <c r="K167" s="45" t="s">
        <v>117</v>
      </c>
      <c r="L167" s="41"/>
      <c r="M167" s="41"/>
      <c r="N167" s="41"/>
      <c r="O167" s="34" t="n">
        <v>0.2</v>
      </c>
      <c r="P167" s="45" t="n">
        <v>0.0165</v>
      </c>
      <c r="Q167" s="54" t="n">
        <v>29.9</v>
      </c>
      <c r="R167" s="48" t="n">
        <v>875000000</v>
      </c>
      <c r="S167" s="41" t="n">
        <v>27.55</v>
      </c>
      <c r="T167" s="41"/>
      <c r="U167" s="41"/>
      <c r="V167" s="41"/>
      <c r="W167" s="41" t="n">
        <v>32</v>
      </c>
      <c r="X167" s="49" t="n">
        <f aca="false">+IF(ISNUMBER($S167),$S167,MIN($V167,$T167,$U167,$W167))</f>
        <v>27.55</v>
      </c>
      <c r="Y167" s="48" t="n">
        <v>0.0022</v>
      </c>
      <c r="Z167" s="48" t="n">
        <v>1750000000</v>
      </c>
      <c r="AA167" s="50" t="n">
        <v>1</v>
      </c>
      <c r="AB167" s="48" t="n">
        <f aca="false">Z167/AA167</f>
        <v>1750000000</v>
      </c>
      <c r="AC167" s="48"/>
      <c r="AD167" s="51" t="n">
        <f aca="false">Y167/AB167*1000000000000</f>
        <v>1.25714285714286</v>
      </c>
      <c r="AE167" s="49" t="n">
        <f aca="false">IF(ISNUMBER($Q167), $AD167*1000/2^(($Q167-1.76)/6.02), "")</f>
        <v>49.2316532238329</v>
      </c>
      <c r="AF167" s="49" t="n">
        <f aca="false">$AD167*1000/2^(($X167-1.76)/6.02)</f>
        <v>64.5291774356267</v>
      </c>
      <c r="AG167" s="31" t="n">
        <f aca="false">IF(ISNUMBER($Q167), $Q167+10*LOG10($AB167/2/$Y167), "")</f>
        <v>145.895853722001</v>
      </c>
      <c r="AH167" s="31" t="n">
        <f aca="false">$X167+10*LOG10($AB167/2/$Y167)</f>
        <v>143.545853722001</v>
      </c>
      <c r="AI167" s="52" t="n">
        <f aca="false">AF167/AB167</f>
        <v>3.6873815677501E-008</v>
      </c>
      <c r="AJ167" s="53" t="n">
        <f aca="false">AH167+10*LOG10(AB167)</f>
        <v>235.976234208864</v>
      </c>
    </row>
    <row r="168" customFormat="false" ht="12.75" hidden="false" customHeight="false" outlineLevel="0" collapsed="false">
      <c r="A168" s="64" t="n">
        <v>2008</v>
      </c>
      <c r="B168" s="43" t="n">
        <v>27.2</v>
      </c>
      <c r="C168" s="43" t="s">
        <v>139</v>
      </c>
      <c r="D168" s="50" t="s">
        <v>145</v>
      </c>
      <c r="E168" s="69" t="n">
        <v>0.18</v>
      </c>
      <c r="F168" s="59" t="s">
        <v>845</v>
      </c>
      <c r="G168" s="45" t="s">
        <v>846</v>
      </c>
      <c r="H168" s="45" t="s">
        <v>847</v>
      </c>
      <c r="I168" s="44" t="s">
        <v>848</v>
      </c>
      <c r="J168" s="46" t="str">
        <f aca="false">IF(I168&lt;&gt;"?", HYPERLINK(CONCATENATE("https://doi.org/",I168)), "")</f>
        <v>https://doi.org/10.1109/ISSCC.2008.4523271</v>
      </c>
      <c r="K168" s="45" t="s">
        <v>117</v>
      </c>
      <c r="L168" s="41" t="n">
        <v>0.7</v>
      </c>
      <c r="M168" s="41"/>
      <c r="N168" s="41"/>
      <c r="O168" s="34" t="s">
        <v>117</v>
      </c>
      <c r="P168" s="45" t="n">
        <v>0.715</v>
      </c>
      <c r="Q168" s="54"/>
      <c r="R168" s="48" t="n">
        <f aca="false">AB168/2</f>
        <v>20000</v>
      </c>
      <c r="S168" s="41" t="n">
        <v>81</v>
      </c>
      <c r="T168" s="41" t="n">
        <v>84</v>
      </c>
      <c r="U168" s="41" t="n">
        <v>85</v>
      </c>
      <c r="V168" s="41"/>
      <c r="W168" s="41" t="n">
        <v>93</v>
      </c>
      <c r="X168" s="49" t="n">
        <f aca="false">+IF(ISNUMBER($S168),$S168,MIN($V168,$T168,$U168,$W168))</f>
        <v>81</v>
      </c>
      <c r="Y168" s="48" t="n">
        <v>3.6E-005</v>
      </c>
      <c r="Z168" s="48" t="n">
        <v>4000000</v>
      </c>
      <c r="AA168" s="50" t="n">
        <f aca="false">Z168/AB168</f>
        <v>100</v>
      </c>
      <c r="AB168" s="48" t="n">
        <v>40000</v>
      </c>
      <c r="AC168" s="48"/>
      <c r="AD168" s="51" t="n">
        <f aca="false">Y168/AB168*1000000000000</f>
        <v>900</v>
      </c>
      <c r="AE168" s="49" t="str">
        <f aca="false">IF(ISNUMBER($Q168), $AD168*1000/2^(($Q168-1.76)/6.02), "")</f>
        <v/>
      </c>
      <c r="AF168" s="49" t="n">
        <f aca="false">$AD168*1000/2^(($X168-1.76)/6.02)</f>
        <v>98.1403681484628</v>
      </c>
      <c r="AG168" s="31" t="str">
        <f aca="false">IF(ISNUMBER($Q168), $Q168+10*LOG10($AB168/2/$Y168), "")</f>
        <v/>
      </c>
      <c r="AH168" s="31" t="n">
        <f aca="false">$X168+10*LOG10($AB168/2/$Y168)</f>
        <v>168.447274948967</v>
      </c>
      <c r="AI168" s="52" t="n">
        <f aca="false">AF168/AB168</f>
        <v>0.00245350920371157</v>
      </c>
      <c r="AJ168" s="53" t="n">
        <f aca="false">AH168+10*LOG10(AB168)</f>
        <v>214.467874862247</v>
      </c>
    </row>
    <row r="169" customFormat="false" ht="12.75" hidden="false" customHeight="false" outlineLevel="0" collapsed="false">
      <c r="A169" s="64" t="n">
        <v>2008</v>
      </c>
      <c r="B169" s="43" t="n">
        <v>27.3</v>
      </c>
      <c r="C169" s="43" t="s">
        <v>139</v>
      </c>
      <c r="D169" s="50" t="s">
        <v>145</v>
      </c>
      <c r="E169" s="65" t="n">
        <v>0.065</v>
      </c>
      <c r="F169" s="59" t="s">
        <v>849</v>
      </c>
      <c r="G169" s="45" t="s">
        <v>850</v>
      </c>
      <c r="H169" s="45" t="s">
        <v>851</v>
      </c>
      <c r="I169" s="44" t="s">
        <v>852</v>
      </c>
      <c r="J169" s="46" t="str">
        <f aca="false">IF(I169&lt;&gt;"?", HYPERLINK(CONCATENATE("https://doi.org/",I169)), "")</f>
        <v>https://doi.org/10.1109/ISSCC.2008.4523272</v>
      </c>
      <c r="K169" s="45" t="s">
        <v>117</v>
      </c>
      <c r="L169" s="41"/>
      <c r="M169" s="41"/>
      <c r="N169" s="41"/>
      <c r="O169" s="34" t="s">
        <v>117</v>
      </c>
      <c r="P169" s="45" t="n">
        <v>0.03</v>
      </c>
      <c r="Q169" s="54"/>
      <c r="R169" s="48" t="n">
        <f aca="false">AB169/2</f>
        <v>200000</v>
      </c>
      <c r="S169" s="41"/>
      <c r="T169" s="41" t="n">
        <v>77</v>
      </c>
      <c r="U169" s="41"/>
      <c r="V169" s="41" t="n">
        <v>79</v>
      </c>
      <c r="W169" s="41"/>
      <c r="X169" s="49" t="n">
        <f aca="false">+IF(ISNUMBER($S169),$S169,MIN($V169,$T169,$U169,$W169))</f>
        <v>77</v>
      </c>
      <c r="Y169" s="48" t="n">
        <v>0.00095</v>
      </c>
      <c r="Z169" s="48" t="n">
        <v>150000000</v>
      </c>
      <c r="AA169" s="50" t="n">
        <f aca="false">Z169/AB169</f>
        <v>375</v>
      </c>
      <c r="AB169" s="48" t="n">
        <v>400000</v>
      </c>
      <c r="AC169" s="48"/>
      <c r="AD169" s="51" t="n">
        <f aca="false">Y169/AB169*1000000000000</f>
        <v>2375</v>
      </c>
      <c r="AE169" s="49" t="str">
        <f aca="false">IF(ISNUMBER($Q169), $AD169*1000/2^(($Q169-1.76)/6.02), "")</f>
        <v/>
      </c>
      <c r="AF169" s="49" t="n">
        <f aca="false">$AD169*1000/2^(($X169-1.76)/6.02)</f>
        <v>410.476896411256</v>
      </c>
      <c r="AG169" s="31" t="str">
        <f aca="false">IF(ISNUMBER($Q169), $Q169+10*LOG10($AB169/2/$Y169), "")</f>
        <v/>
      </c>
      <c r="AH169" s="31" t="n">
        <f aca="false">$X169+10*LOG10($AB169/2/$Y169)</f>
        <v>160.233063903751</v>
      </c>
      <c r="AI169" s="52" t="n">
        <f aca="false">AF169/AB169</f>
        <v>0.00102619224102814</v>
      </c>
      <c r="AJ169" s="53" t="n">
        <f aca="false">AH169+10*LOG10(AB169)</f>
        <v>216.253663817031</v>
      </c>
    </row>
    <row r="170" customFormat="false" ht="12.75" hidden="false" customHeight="false" outlineLevel="0" collapsed="false">
      <c r="A170" s="64" t="n">
        <v>2008</v>
      </c>
      <c r="B170" s="43" t="n">
        <v>27.4</v>
      </c>
      <c r="C170" s="43" t="s">
        <v>139</v>
      </c>
      <c r="D170" s="50" t="s">
        <v>674</v>
      </c>
      <c r="E170" s="69" t="n">
        <v>0.18</v>
      </c>
      <c r="F170" s="59" t="s">
        <v>853</v>
      </c>
      <c r="G170" s="45" t="s">
        <v>854</v>
      </c>
      <c r="H170" s="45" t="s">
        <v>855</v>
      </c>
      <c r="I170" s="44" t="s">
        <v>856</v>
      </c>
      <c r="J170" s="46" t="str">
        <f aca="false">IF(I170&lt;&gt;"?", HYPERLINK(CONCATENATE("https://doi.org/",I170)), "")</f>
        <v>https://doi.org/10.1109/ISSCC.2008.4523273</v>
      </c>
      <c r="K170" s="45" t="s">
        <v>857</v>
      </c>
      <c r="L170" s="41"/>
      <c r="M170" s="41"/>
      <c r="N170" s="41"/>
      <c r="O170" s="34" t="s">
        <v>117</v>
      </c>
      <c r="P170" s="45" t="n">
        <v>3.67</v>
      </c>
      <c r="Q170" s="54"/>
      <c r="R170" s="48" t="n">
        <v>2500000</v>
      </c>
      <c r="S170" s="41" t="n">
        <v>81</v>
      </c>
      <c r="T170" s="41" t="n">
        <v>81</v>
      </c>
      <c r="U170" s="41" t="n">
        <v>83</v>
      </c>
      <c r="V170" s="41" t="n">
        <v>104</v>
      </c>
      <c r="W170" s="41"/>
      <c r="X170" s="49" t="n">
        <f aca="false">+IF(ISNUMBER($S170),$S170,MIN($V170,$T170,$U170,$W170))</f>
        <v>81</v>
      </c>
      <c r="Y170" s="48" t="n">
        <v>0.015</v>
      </c>
      <c r="Z170" s="48" t="n">
        <v>60000000</v>
      </c>
      <c r="AA170" s="50" t="n">
        <f aca="false">Z170/AB170</f>
        <v>12</v>
      </c>
      <c r="AB170" s="48" t="n">
        <v>5000000</v>
      </c>
      <c r="AC170" s="48"/>
      <c r="AD170" s="51" t="n">
        <f aca="false">Y170/AB170*1000000000000</f>
        <v>3000</v>
      </c>
      <c r="AE170" s="49" t="str">
        <f aca="false">IF(ISNUMBER($Q170), $AD170*1000/2^(($Q170-1.76)/6.02), "")</f>
        <v/>
      </c>
      <c r="AF170" s="49" t="n">
        <f aca="false">$AD170*1000/2^(($X170-1.76)/6.02)</f>
        <v>327.134560494876</v>
      </c>
      <c r="AG170" s="31" t="str">
        <f aca="false">IF(ISNUMBER($Q170), $Q170+10*LOG10($AB170/2/$Y170), "")</f>
        <v/>
      </c>
      <c r="AH170" s="31" t="n">
        <f aca="false">$X170+10*LOG10($AB170/2/$Y170)</f>
        <v>163.218487496164</v>
      </c>
      <c r="AI170" s="52" t="n">
        <f aca="false">AF170/AB170</f>
        <v>6.54269120989752E-005</v>
      </c>
      <c r="AJ170" s="53" t="n">
        <f aca="false">AH170+10*LOG10(AB170)</f>
        <v>230.208187539524</v>
      </c>
    </row>
    <row r="171" customFormat="false" ht="12.75" hidden="false" customHeight="false" outlineLevel="0" collapsed="false">
      <c r="A171" s="64" t="n">
        <v>2008</v>
      </c>
      <c r="B171" s="43" t="n">
        <v>27.5</v>
      </c>
      <c r="C171" s="43" t="s">
        <v>139</v>
      </c>
      <c r="D171" s="50" t="s">
        <v>145</v>
      </c>
      <c r="E171" s="69" t="n">
        <v>0.09</v>
      </c>
      <c r="F171" s="59" t="s">
        <v>858</v>
      </c>
      <c r="G171" s="45" t="s">
        <v>859</v>
      </c>
      <c r="H171" s="45" t="s">
        <v>860</v>
      </c>
      <c r="I171" s="44" t="s">
        <v>861</v>
      </c>
      <c r="J171" s="46" t="str">
        <f aca="false">IF(I171&lt;&gt;"?", HYPERLINK(CONCATENATE("https://doi.org/",I171)), "")</f>
        <v>https://doi.org/10.1109/ISSCC.2008.4523274</v>
      </c>
      <c r="K171" s="45" t="s">
        <v>862</v>
      </c>
      <c r="L171" s="41"/>
      <c r="M171" s="41"/>
      <c r="N171" s="41"/>
      <c r="O171" s="34" t="s">
        <v>117</v>
      </c>
      <c r="P171" s="45" t="n">
        <v>1</v>
      </c>
      <c r="Q171" s="54"/>
      <c r="R171" s="48" t="n">
        <v>20000000</v>
      </c>
      <c r="S171" s="41" t="n">
        <v>64</v>
      </c>
      <c r="T171" s="41" t="n">
        <v>67</v>
      </c>
      <c r="U171" s="41" t="n">
        <v>72</v>
      </c>
      <c r="V171" s="41"/>
      <c r="W171" s="41" t="n">
        <v>79</v>
      </c>
      <c r="X171" s="49" t="n">
        <f aca="false">+IF(ISNUMBER($S171),$S171,MIN($V171,$T171,$U171,$W171))</f>
        <v>64</v>
      </c>
      <c r="Y171" s="48" t="n">
        <v>0.0279</v>
      </c>
      <c r="Z171" s="48" t="n">
        <v>420000000</v>
      </c>
      <c r="AA171" s="50" t="n">
        <v>10.5</v>
      </c>
      <c r="AB171" s="48" t="n">
        <f aca="false">Z171/AA171</f>
        <v>40000000</v>
      </c>
      <c r="AC171" s="48"/>
      <c r="AD171" s="51" t="n">
        <f aca="false">Y171/AB171*1000000000000</f>
        <v>697.5</v>
      </c>
      <c r="AE171" s="49" t="str">
        <f aca="false">IF(ISNUMBER($Q171), $AD171*1000/2^(($Q171-1.76)/6.02), "")</f>
        <v/>
      </c>
      <c r="AF171" s="49" t="n">
        <f aca="false">$AD171*1000/2^(($X171-1.76)/6.02)</f>
        <v>538.55999549415</v>
      </c>
      <c r="AG171" s="31" t="str">
        <f aca="false">IF(ISNUMBER($Q171), $Q171+10*LOG10($AB171/2/$Y171), "")</f>
        <v/>
      </c>
      <c r="AH171" s="31" t="n">
        <f aca="false">$X171+10*LOG10($AB171/2/$Y171)</f>
        <v>152.554257923904</v>
      </c>
      <c r="AI171" s="52" t="n">
        <f aca="false">AF171/AB171</f>
        <v>1.34639998873537E-005</v>
      </c>
      <c r="AJ171" s="53" t="n">
        <f aca="false">AH171+10*LOG10(AB171)</f>
        <v>228.574857837183</v>
      </c>
    </row>
    <row r="172" customFormat="false" ht="12.75" hidden="false" customHeight="false" outlineLevel="0" collapsed="false">
      <c r="A172" s="64" t="n">
        <v>2008</v>
      </c>
      <c r="B172" s="43" t="n">
        <v>27.6</v>
      </c>
      <c r="C172" s="43" t="s">
        <v>139</v>
      </c>
      <c r="D172" s="50" t="s">
        <v>173</v>
      </c>
      <c r="E172" s="69" t="n">
        <v>0.18</v>
      </c>
      <c r="F172" s="59" t="s">
        <v>863</v>
      </c>
      <c r="G172" s="45" t="s">
        <v>864</v>
      </c>
      <c r="H172" s="45" t="s">
        <v>865</v>
      </c>
      <c r="I172" s="44" t="s">
        <v>866</v>
      </c>
      <c r="J172" s="46" t="str">
        <f aca="false">IF(I172&lt;&gt;"?", HYPERLINK(CONCATENATE("https://doi.org/",I172)), "")</f>
        <v>https://doi.org/10.1109/ISSCC.2008.4523275</v>
      </c>
      <c r="K172" s="45" t="s">
        <v>117</v>
      </c>
      <c r="L172" s="41"/>
      <c r="M172" s="41"/>
      <c r="N172" s="41"/>
      <c r="O172" s="34" t="s">
        <v>117</v>
      </c>
      <c r="P172" s="45" t="n">
        <v>0.7</v>
      </c>
      <c r="Q172" s="54"/>
      <c r="R172" s="48" t="n">
        <f aca="false">AB172/2</f>
        <v>10000000</v>
      </c>
      <c r="S172" s="41" t="n">
        <v>82</v>
      </c>
      <c r="T172" s="41"/>
      <c r="U172" s="41" t="n">
        <v>87</v>
      </c>
      <c r="V172" s="41"/>
      <c r="W172" s="41"/>
      <c r="X172" s="49" t="n">
        <f aca="false">+IF(ISNUMBER($S172),$S172,MIN($V172,$T172,$U172,$W172))</f>
        <v>82</v>
      </c>
      <c r="Y172" s="48" t="n">
        <v>0.1</v>
      </c>
      <c r="Z172" s="48" t="n">
        <v>640000000</v>
      </c>
      <c r="AA172" s="50" t="n">
        <f aca="false">Z172/AB172</f>
        <v>32</v>
      </c>
      <c r="AB172" s="48" t="n">
        <v>20000000</v>
      </c>
      <c r="AC172" s="48"/>
      <c r="AD172" s="51" t="n">
        <f aca="false">Y172/AB172*1000000000000</f>
        <v>5000</v>
      </c>
      <c r="AE172" s="49" t="str">
        <f aca="false">IF(ISNUMBER($Q172), $AD172*1000/2^(($Q172-1.76)/6.02), "")</f>
        <v/>
      </c>
      <c r="AF172" s="49" t="n">
        <f aca="false">$AD172*1000/2^(($X172-1.76)/6.02)</f>
        <v>485.926064824548</v>
      </c>
      <c r="AG172" s="31" t="str">
        <f aca="false">IF(ISNUMBER($Q172), $Q172+10*LOG10($AB172/2/$Y172), "")</f>
        <v/>
      </c>
      <c r="AH172" s="31" t="n">
        <f aca="false">$X172+10*LOG10($AB172/2/$Y172)</f>
        <v>162</v>
      </c>
      <c r="AI172" s="52" t="n">
        <f aca="false">AF172/AB172</f>
        <v>2.42963032412274E-005</v>
      </c>
      <c r="AJ172" s="53" t="n">
        <f aca="false">AH172+10*LOG10(AB172)</f>
        <v>235.01029995664</v>
      </c>
    </row>
    <row r="173" customFormat="false" ht="12.75" hidden="false" customHeight="false" outlineLevel="0" collapsed="false">
      <c r="A173" s="64" t="n">
        <v>2008</v>
      </c>
      <c r="B173" s="43" t="n">
        <v>27.7</v>
      </c>
      <c r="C173" s="43" t="s">
        <v>139</v>
      </c>
      <c r="D173" s="50" t="s">
        <v>173</v>
      </c>
      <c r="E173" s="65" t="n">
        <v>0.065</v>
      </c>
      <c r="F173" s="59" t="s">
        <v>867</v>
      </c>
      <c r="G173" s="45" t="s">
        <v>868</v>
      </c>
      <c r="H173" s="45" t="s">
        <v>869</v>
      </c>
      <c r="I173" s="44" t="s">
        <v>870</v>
      </c>
      <c r="J173" s="46" t="str">
        <f aca="false">IF(I173&lt;&gt;"?", HYPERLINK(CONCATENATE("https://doi.org/",I173)), "")</f>
        <v>https://doi.org/10.1109/ISSCC.2008.4523276</v>
      </c>
      <c r="K173" s="45" t="s">
        <v>117</v>
      </c>
      <c r="L173" s="41"/>
      <c r="M173" s="41"/>
      <c r="N173" s="41"/>
      <c r="O173" s="34" t="s">
        <v>117</v>
      </c>
      <c r="P173" s="45" t="n">
        <v>0.5</v>
      </c>
      <c r="Q173" s="54"/>
      <c r="R173" s="48" t="n">
        <v>8000000</v>
      </c>
      <c r="S173" s="41"/>
      <c r="T173" s="41"/>
      <c r="U173" s="41" t="n">
        <v>81</v>
      </c>
      <c r="V173" s="41"/>
      <c r="W173" s="41"/>
      <c r="X173" s="49" t="n">
        <f aca="false">+IF(ISNUMBER($S173),$S173,MIN($V173,$T173,$U173,$W173))</f>
        <v>81</v>
      </c>
      <c r="Y173" s="48" t="n">
        <v>0.05</v>
      </c>
      <c r="Z173" s="48" t="n">
        <v>256000000</v>
      </c>
      <c r="AA173" s="50" t="n">
        <v>16</v>
      </c>
      <c r="AB173" s="48" t="n">
        <f aca="false">Z173/AA173</f>
        <v>16000000</v>
      </c>
      <c r="AC173" s="48"/>
      <c r="AD173" s="51" t="n">
        <f aca="false">Y173/AB173*1000000000000</f>
        <v>3125</v>
      </c>
      <c r="AE173" s="49" t="str">
        <f aca="false">IF(ISNUMBER($Q173), $AD173*1000/2^(($Q173-1.76)/6.02), "")</f>
        <v/>
      </c>
      <c r="AF173" s="49" t="n">
        <f aca="false">$AD173*1000/2^(($X173-1.76)/6.02)</f>
        <v>340.765167182163</v>
      </c>
      <c r="AG173" s="31" t="str">
        <f aca="false">IF(ISNUMBER($Q173), $Q173+10*LOG10($AB173/2/$Y173), "")</f>
        <v/>
      </c>
      <c r="AH173" s="31" t="n">
        <f aca="false">$X173+10*LOG10($AB173/2/$Y173)</f>
        <v>163.041199826559</v>
      </c>
      <c r="AI173" s="52" t="n">
        <f aca="false">AF173/AB173</f>
        <v>2.12978229488852E-005</v>
      </c>
      <c r="AJ173" s="53" t="n">
        <f aca="false">AH173+10*LOG10(AB173)</f>
        <v>235.082399653118</v>
      </c>
    </row>
    <row r="174" customFormat="false" ht="12.75" hidden="false" customHeight="false" outlineLevel="0" collapsed="false">
      <c r="A174" s="64" t="n">
        <v>2008</v>
      </c>
      <c r="B174" s="43" t="n">
        <v>27.8</v>
      </c>
      <c r="C174" s="43" t="s">
        <v>139</v>
      </c>
      <c r="D174" s="50" t="s">
        <v>173</v>
      </c>
      <c r="E174" s="65" t="n">
        <v>0.045</v>
      </c>
      <c r="F174" s="59" t="s">
        <v>871</v>
      </c>
      <c r="G174" s="45" t="s">
        <v>872</v>
      </c>
      <c r="H174" s="45" t="s">
        <v>873</v>
      </c>
      <c r="I174" s="44" t="s">
        <v>874</v>
      </c>
      <c r="J174" s="46" t="str">
        <f aca="false">IF(I174&lt;&gt;"?", HYPERLINK(CONCATENATE("https://doi.org/",I174)), "")</f>
        <v>https://doi.org/10.1109/ISSCC.2008.4523277</v>
      </c>
      <c r="K174" s="45" t="s">
        <v>117</v>
      </c>
      <c r="L174" s="41"/>
      <c r="M174" s="41"/>
      <c r="N174" s="41"/>
      <c r="O174" s="34" t="s">
        <v>117</v>
      </c>
      <c r="P174" s="45" t="n">
        <v>0.0888</v>
      </c>
      <c r="Q174" s="54"/>
      <c r="R174" s="48" t="n">
        <v>20000</v>
      </c>
      <c r="S174" s="41" t="n">
        <v>76.5</v>
      </c>
      <c r="T174" s="41" t="n">
        <v>78.7</v>
      </c>
      <c r="U174" s="41" t="n">
        <v>92</v>
      </c>
      <c r="V174" s="41" t="n">
        <v>80</v>
      </c>
      <c r="W174" s="41"/>
      <c r="X174" s="49" t="n">
        <f aca="false">+IF(ISNUMBER($S174),$S174,MIN($V174,$T174,$U174,$W174))</f>
        <v>76.5</v>
      </c>
      <c r="Y174" s="48" t="n">
        <v>0.0012</v>
      </c>
      <c r="Z174" s="48" t="n">
        <v>12000000</v>
      </c>
      <c r="AA174" s="50" t="n">
        <v>300</v>
      </c>
      <c r="AB174" s="48" t="n">
        <f aca="false">Z174/AA174</f>
        <v>40000</v>
      </c>
      <c r="AC174" s="48"/>
      <c r="AD174" s="51" t="n">
        <f aca="false">Y174/AB174*1000000000000</f>
        <v>30000</v>
      </c>
      <c r="AE174" s="49" t="str">
        <f aca="false">IF(ISNUMBER($Q174), $AD174*1000/2^(($Q174-1.76)/6.02), "")</f>
        <v/>
      </c>
      <c r="AF174" s="49" t="n">
        <f aca="false">$AD174*1000/2^(($X174-1.76)/6.02)</f>
        <v>5492.23169506637</v>
      </c>
      <c r="AG174" s="31" t="str">
        <f aca="false">IF(ISNUMBER($Q174), $Q174+10*LOG10($AB174/2/$Y174), "")</f>
        <v/>
      </c>
      <c r="AH174" s="31" t="n">
        <f aca="false">$X174+10*LOG10($AB174/2/$Y174)</f>
        <v>148.718487496164</v>
      </c>
      <c r="AI174" s="52" t="n">
        <f aca="false">AF174/AB174</f>
        <v>0.137305792376659</v>
      </c>
      <c r="AJ174" s="53" t="n">
        <f aca="false">AH174+10*LOG10(AB174)</f>
        <v>194.739087409443</v>
      </c>
    </row>
    <row r="175" customFormat="false" ht="12.75" hidden="false" customHeight="false" outlineLevel="0" collapsed="false">
      <c r="A175" s="64" t="n">
        <v>2008</v>
      </c>
      <c r="B175" s="43" t="n">
        <v>30.1</v>
      </c>
      <c r="C175" s="43" t="s">
        <v>111</v>
      </c>
      <c r="D175" s="50" t="s">
        <v>133</v>
      </c>
      <c r="E175" s="69" t="n">
        <v>0.18</v>
      </c>
      <c r="F175" s="59" t="s">
        <v>875</v>
      </c>
      <c r="G175" s="45" t="s">
        <v>876</v>
      </c>
      <c r="H175" s="45" t="s">
        <v>877</v>
      </c>
      <c r="I175" s="44" t="s">
        <v>878</v>
      </c>
      <c r="J175" s="46" t="str">
        <f aca="false">IF(I175&lt;&gt;"?", HYPERLINK(CONCATENATE("https://doi.org/",I175)), "")</f>
        <v>https://doi.org/10.1109/ISSCC.2008.4523296</v>
      </c>
      <c r="K175" s="45" t="s">
        <v>117</v>
      </c>
      <c r="L175" s="41" t="n">
        <v>0.9</v>
      </c>
      <c r="M175" s="41"/>
      <c r="N175" s="41"/>
      <c r="O175" s="34" t="s">
        <v>117</v>
      </c>
      <c r="P175" s="45" t="n">
        <v>2.3</v>
      </c>
      <c r="Q175" s="54"/>
      <c r="R175" s="48" t="n">
        <v>10000000</v>
      </c>
      <c r="S175" s="41" t="n">
        <v>64.7</v>
      </c>
      <c r="T175" s="41" t="n">
        <v>66.4</v>
      </c>
      <c r="U175" s="41"/>
      <c r="V175" s="41" t="n">
        <v>70.3</v>
      </c>
      <c r="W175" s="41" t="n">
        <v>73.6</v>
      </c>
      <c r="X175" s="49" t="n">
        <f aca="false">+IF(ISNUMBER($S175),$S175,MIN($V175,$T175,$U175,$W175))</f>
        <v>64.7</v>
      </c>
      <c r="Y175" s="48" t="n">
        <v>0.0087</v>
      </c>
      <c r="Z175" s="48" t="n">
        <v>20000000</v>
      </c>
      <c r="AA175" s="50" t="n">
        <v>1</v>
      </c>
      <c r="AB175" s="48" t="n">
        <f aca="false">Z175/AA175</f>
        <v>20000000</v>
      </c>
      <c r="AC175" s="48"/>
      <c r="AD175" s="51" t="n">
        <f aca="false">Y175/AB175*1000000000000</f>
        <v>435</v>
      </c>
      <c r="AE175" s="49" t="str">
        <f aca="false">IF(ISNUMBER($Q175), $AD175*1000/2^(($Q175-1.76)/6.02), "")</f>
        <v/>
      </c>
      <c r="AF175" s="49" t="n">
        <f aca="false">$AD175*1000/2^(($X175-1.76)/6.02)</f>
        <v>309.867228527379</v>
      </c>
      <c r="AG175" s="31" t="str">
        <f aca="false">IF(ISNUMBER($Q175), $Q175+10*LOG10($AB175/2/$Y175), "")</f>
        <v/>
      </c>
      <c r="AH175" s="31" t="n">
        <f aca="false">$X175+10*LOG10($AB175/2/$Y175)</f>
        <v>155.304807473814</v>
      </c>
      <c r="AI175" s="52" t="n">
        <f aca="false">AF175/AB175</f>
        <v>1.5493361426369E-005</v>
      </c>
      <c r="AJ175" s="53" t="n">
        <f aca="false">AH175+10*LOG10(AB175)</f>
        <v>228.315107430454</v>
      </c>
    </row>
    <row r="176" customFormat="false" ht="12.75" hidden="false" customHeight="false" outlineLevel="0" collapsed="false">
      <c r="A176" s="64" t="n">
        <v>2008</v>
      </c>
      <c r="B176" s="43" t="n">
        <v>30.2</v>
      </c>
      <c r="C176" s="43" t="s">
        <v>111</v>
      </c>
      <c r="D176" s="50" t="s">
        <v>548</v>
      </c>
      <c r="E176" s="69" t="n">
        <v>0.13</v>
      </c>
      <c r="F176" s="59" t="s">
        <v>879</v>
      </c>
      <c r="G176" s="45" t="s">
        <v>880</v>
      </c>
      <c r="H176" s="45" t="s">
        <v>881</v>
      </c>
      <c r="I176" s="44" t="s">
        <v>882</v>
      </c>
      <c r="J176" s="46" t="str">
        <f aca="false">IF(I176&lt;&gt;"?", HYPERLINK(CONCATENATE("https://doi.org/",I176)), "")</f>
        <v>https://doi.org/10.1109/ISSCC.2008.4523297</v>
      </c>
      <c r="K176" s="45" t="s">
        <v>883</v>
      </c>
      <c r="L176" s="41"/>
      <c r="M176" s="41"/>
      <c r="N176" s="41"/>
      <c r="O176" s="34" t="s">
        <v>117</v>
      </c>
      <c r="P176" s="45" t="n">
        <v>0.09</v>
      </c>
      <c r="Q176" s="54"/>
      <c r="R176" s="48" t="n">
        <v>450000000</v>
      </c>
      <c r="S176" s="41" t="n">
        <v>32</v>
      </c>
      <c r="T176" s="41"/>
      <c r="U176" s="41"/>
      <c r="V176" s="41"/>
      <c r="W176" s="41" t="n">
        <v>48</v>
      </c>
      <c r="X176" s="49" t="n">
        <f aca="false">+IF(ISNUMBER($S176),$S176,MIN($V176,$T176,$U176,$W176))</f>
        <v>32</v>
      </c>
      <c r="Y176" s="48" t="n">
        <v>0.032</v>
      </c>
      <c r="Z176" s="48" t="n">
        <v>1250000000</v>
      </c>
      <c r="AA176" s="50" t="n">
        <v>1</v>
      </c>
      <c r="AB176" s="48" t="n">
        <f aca="false">Z176/AA176</f>
        <v>1250000000</v>
      </c>
      <c r="AC176" s="48"/>
      <c r="AD176" s="51" t="n">
        <f aca="false">Y176/AB176*1000000000000</f>
        <v>25.6</v>
      </c>
      <c r="AE176" s="49" t="str">
        <f aca="false">IF(ISNUMBER($Q176), $AD176*1000/2^(($Q176-1.76)/6.02), "")</f>
        <v/>
      </c>
      <c r="AF176" s="49" t="n">
        <f aca="false">$AD176*1000/2^(($X176-1.76)/6.02)</f>
        <v>787.207620177277</v>
      </c>
      <c r="AG176" s="31" t="str">
        <f aca="false">IF(ISNUMBER($Q176), $Q176+10*LOG10($AB176/2/$Y176), "")</f>
        <v/>
      </c>
      <c r="AH176" s="31" t="n">
        <f aca="false">$X176+10*LOG10($AB176/2/$Y176)</f>
        <v>134.907300390242</v>
      </c>
      <c r="AI176" s="52" t="n">
        <f aca="false">AF176/AB176</f>
        <v>6.29766096141822E-007</v>
      </c>
      <c r="AJ176" s="53" t="n">
        <f aca="false">AH176+10*LOG10(AB176)</f>
        <v>225.876400520322</v>
      </c>
    </row>
    <row r="177" customFormat="false" ht="12.75" hidden="false" customHeight="false" outlineLevel="0" collapsed="false">
      <c r="A177" s="64" t="n">
        <v>2008</v>
      </c>
      <c r="B177" s="43" t="n">
        <v>30.3</v>
      </c>
      <c r="C177" s="43" t="s">
        <v>111</v>
      </c>
      <c r="D177" s="50" t="s">
        <v>548</v>
      </c>
      <c r="E177" s="69" t="n">
        <v>0.09</v>
      </c>
      <c r="F177" s="59" t="s">
        <v>884</v>
      </c>
      <c r="G177" s="45" t="s">
        <v>885</v>
      </c>
      <c r="H177" s="45" t="s">
        <v>886</v>
      </c>
      <c r="I177" s="44" t="s">
        <v>887</v>
      </c>
      <c r="J177" s="46" t="str">
        <f aca="false">IF(I177&lt;&gt;"?", HYPERLINK(CONCATENATE("https://doi.org/",I177)), "")</f>
        <v>https://doi.org/10.1109/ISSCC.2008.4523298</v>
      </c>
      <c r="K177" s="45" t="s">
        <v>888</v>
      </c>
      <c r="L177" s="41" t="n">
        <v>2.5</v>
      </c>
      <c r="M177" s="41" t="n">
        <v>1</v>
      </c>
      <c r="N177" s="41"/>
      <c r="O177" s="34" t="s">
        <v>117</v>
      </c>
      <c r="P177" s="45" t="n">
        <v>16</v>
      </c>
      <c r="Q177" s="54" t="n">
        <f aca="false">5.5*6.02+1.76</f>
        <v>34.87</v>
      </c>
      <c r="R177" s="48" t="n">
        <v>12000000000</v>
      </c>
      <c r="S177" s="41" t="n">
        <f aca="false">3.5*6.02+1.76</f>
        <v>22.83</v>
      </c>
      <c r="T177" s="41"/>
      <c r="U177" s="41"/>
      <c r="V177" s="41"/>
      <c r="W177" s="41"/>
      <c r="X177" s="49" t="n">
        <f aca="false">+IF(ISNUMBER($S177),$S177,MIN($V177,$T177,$U177,$W177))</f>
        <v>22.83</v>
      </c>
      <c r="Y177" s="48" t="n">
        <v>1.2</v>
      </c>
      <c r="Z177" s="48" t="n">
        <v>24000000000</v>
      </c>
      <c r="AA177" s="50" t="n">
        <v>1</v>
      </c>
      <c r="AB177" s="48" t="n">
        <f aca="false">Z177/AA177</f>
        <v>24000000000</v>
      </c>
      <c r="AC177" s="48"/>
      <c r="AD177" s="51" t="n">
        <f aca="false">Y177/AB177*1000000000000</f>
        <v>50</v>
      </c>
      <c r="AE177" s="49" t="n">
        <f aca="false">IF(ISNUMBER($Q177), $AD177*1000/2^(($Q177-1.76)/6.02), "")</f>
        <v>1104.85434560398</v>
      </c>
      <c r="AF177" s="49" t="n">
        <f aca="false">$AD177*1000/2^(($X177-1.76)/6.02)</f>
        <v>4419.41738241592</v>
      </c>
      <c r="AG177" s="31" t="n">
        <f aca="false">IF(ISNUMBER($Q177), $Q177+10*LOG10($AB177/2/$Y177), "")</f>
        <v>134.87</v>
      </c>
      <c r="AH177" s="31" t="n">
        <f aca="false">$X177+10*LOG10($AB177/2/$Y177)</f>
        <v>122.83</v>
      </c>
      <c r="AI177" s="52" t="n">
        <f aca="false">AF177/AB177</f>
        <v>1.84142390933997E-007</v>
      </c>
      <c r="AJ177" s="53" t="n">
        <f aca="false">AH177+10*LOG10(AB177)</f>
        <v>226.632112417116</v>
      </c>
    </row>
    <row r="178" customFormat="false" ht="12.75" hidden="false" customHeight="false" outlineLevel="0" collapsed="false">
      <c r="A178" s="64" t="n">
        <v>2008</v>
      </c>
      <c r="B178" s="43" t="n">
        <v>30.4</v>
      </c>
      <c r="C178" s="43" t="s">
        <v>111</v>
      </c>
      <c r="D178" s="50" t="s">
        <v>133</v>
      </c>
      <c r="E178" s="65" t="n">
        <v>0.065</v>
      </c>
      <c r="F178" s="59" t="s">
        <v>889</v>
      </c>
      <c r="G178" s="45" t="s">
        <v>890</v>
      </c>
      <c r="H178" s="45" t="s">
        <v>891</v>
      </c>
      <c r="I178" s="44" t="s">
        <v>892</v>
      </c>
      <c r="J178" s="46" t="str">
        <f aca="false">IF(I178&lt;&gt;"?", HYPERLINK(CONCATENATE("https://doi.org/",I178)), "")</f>
        <v>https://doi.org/10.1109/ISSCC.2008.4523299</v>
      </c>
      <c r="K178" s="45" t="s">
        <v>893</v>
      </c>
      <c r="L178" s="41"/>
      <c r="M178" s="41"/>
      <c r="N178" s="41"/>
      <c r="O178" s="34" t="s">
        <v>117</v>
      </c>
      <c r="P178" s="45" t="n">
        <v>1.1</v>
      </c>
      <c r="Q178" s="54"/>
      <c r="R178" s="48" t="n">
        <v>60000000</v>
      </c>
      <c r="S178" s="41" t="n">
        <v>59.9</v>
      </c>
      <c r="T178" s="41"/>
      <c r="U178" s="41"/>
      <c r="V178" s="41"/>
      <c r="W178" s="41" t="n">
        <v>64.9</v>
      </c>
      <c r="X178" s="49" t="n">
        <f aca="false">+IF(ISNUMBER($S178),$S178,MIN($V178,$T178,$U178,$W178))</f>
        <v>59.9</v>
      </c>
      <c r="Y178" s="48" t="n">
        <v>0.18</v>
      </c>
      <c r="Z178" s="48" t="n">
        <v>200000000</v>
      </c>
      <c r="AA178" s="50" t="n">
        <v>1</v>
      </c>
      <c r="AB178" s="48" t="n">
        <f aca="false">Z178/AA178</f>
        <v>200000000</v>
      </c>
      <c r="AC178" s="48"/>
      <c r="AD178" s="51" t="n">
        <f aca="false">Y178/AB178*1000000000000</f>
        <v>900</v>
      </c>
      <c r="AE178" s="49" t="str">
        <f aca="false">IF(ISNUMBER($Q178), $AD178*1000/2^(($Q178-1.76)/6.02), "")</f>
        <v/>
      </c>
      <c r="AF178" s="49" t="n">
        <f aca="false">$AD178*1000/2^(($X178-1.76)/6.02)</f>
        <v>1114.17348025632</v>
      </c>
      <c r="AG178" s="31" t="str">
        <f aca="false">IF(ISNUMBER($Q178), $Q178+10*LOG10($AB178/2/$Y178), "")</f>
        <v/>
      </c>
      <c r="AH178" s="31" t="n">
        <f aca="false">$X178+10*LOG10($AB178/2/$Y178)</f>
        <v>147.347274948967</v>
      </c>
      <c r="AI178" s="52" t="n">
        <f aca="false">AF178/AB178</f>
        <v>5.57086740128159E-006</v>
      </c>
      <c r="AJ178" s="53" t="n">
        <f aca="false">AH178+10*LOG10(AB178)</f>
        <v>230.357574905607</v>
      </c>
    </row>
    <row r="179" customFormat="false" ht="12.75" hidden="false" customHeight="false" outlineLevel="0" collapsed="false">
      <c r="A179" s="64" t="n">
        <v>2008</v>
      </c>
      <c r="B179" s="43" t="n">
        <v>30.7</v>
      </c>
      <c r="C179" s="43" t="s">
        <v>111</v>
      </c>
      <c r="D179" s="50" t="s">
        <v>246</v>
      </c>
      <c r="E179" s="69" t="n">
        <v>0.09</v>
      </c>
      <c r="F179" s="59" t="s">
        <v>894</v>
      </c>
      <c r="G179" s="45" t="s">
        <v>895</v>
      </c>
      <c r="H179" s="45" t="s">
        <v>896</v>
      </c>
      <c r="I179" s="44" t="s">
        <v>897</v>
      </c>
      <c r="J179" s="46" t="str">
        <f aca="false">IF(I179&lt;&gt;"?", HYPERLINK(CONCATENATE("https://doi.org/",I179)), "")</f>
        <v>https://doi.org/10.1109/ISSCC.2008.4523302</v>
      </c>
      <c r="K179" s="45" t="s">
        <v>117</v>
      </c>
      <c r="L179" s="41" t="n">
        <v>2.5</v>
      </c>
      <c r="M179" s="41" t="n">
        <v>1.2</v>
      </c>
      <c r="N179" s="41"/>
      <c r="O179" s="34" t="s">
        <v>117</v>
      </c>
      <c r="P179" s="45" t="n">
        <v>0.29</v>
      </c>
      <c r="Q179" s="54"/>
      <c r="R179" s="48" t="n">
        <v>150000000</v>
      </c>
      <c r="S179" s="41" t="n">
        <v>38.4</v>
      </c>
      <c r="T179" s="41"/>
      <c r="U179" s="41"/>
      <c r="V179" s="41"/>
      <c r="W179" s="41"/>
      <c r="X179" s="49" t="n">
        <f aca="false">+IF(ISNUMBER($S179),$S179,MIN($V179,$T179,$U179,$W179))</f>
        <v>38.4</v>
      </c>
      <c r="Y179" s="48" t="n">
        <v>0.034</v>
      </c>
      <c r="Z179" s="48" t="n">
        <v>300000000</v>
      </c>
      <c r="AA179" s="50" t="n">
        <v>1</v>
      </c>
      <c r="AB179" s="48" t="n">
        <f aca="false">Z179/AA179</f>
        <v>300000000</v>
      </c>
      <c r="AC179" s="48"/>
      <c r="AD179" s="51" t="n">
        <f aca="false">Y179/AB179*1000000000000</f>
        <v>113.333333333333</v>
      </c>
      <c r="AE179" s="49" t="str">
        <f aca="false">IF(ISNUMBER($Q179), $AD179*1000/2^(($Q179-1.76)/6.02), "")</f>
        <v/>
      </c>
      <c r="AF179" s="49" t="n">
        <f aca="false">$AD179*1000/2^(($X179-1.76)/6.02)</f>
        <v>1667.9195430559</v>
      </c>
      <c r="AG179" s="31" t="str">
        <f aca="false">IF(ISNUMBER($Q179), $Q179+10*LOG10($AB179/2/$Y179), "")</f>
        <v/>
      </c>
      <c r="AH179" s="31" t="n">
        <f aca="false">$X179+10*LOG10($AB179/2/$Y179)</f>
        <v>134.846123420134</v>
      </c>
      <c r="AI179" s="52" t="n">
        <f aca="false">AF179/AB179</f>
        <v>5.55973181018635E-006</v>
      </c>
      <c r="AJ179" s="53" t="n">
        <f aca="false">AH179+10*LOG10(AB179)</f>
        <v>219.617335967331</v>
      </c>
    </row>
    <row r="180" customFormat="false" ht="12.75" hidden="false" customHeight="false" outlineLevel="0" collapsed="false">
      <c r="A180" s="64" t="n">
        <v>2008</v>
      </c>
      <c r="B180" s="43" t="n">
        <v>30.8</v>
      </c>
      <c r="C180" s="43" t="s">
        <v>111</v>
      </c>
      <c r="D180" s="50" t="s">
        <v>208</v>
      </c>
      <c r="E180" s="69" t="n">
        <v>0.18</v>
      </c>
      <c r="F180" s="59" t="s">
        <v>898</v>
      </c>
      <c r="G180" s="45" t="s">
        <v>899</v>
      </c>
      <c r="H180" s="45" t="s">
        <v>900</v>
      </c>
      <c r="I180" s="44" t="s">
        <v>901</v>
      </c>
      <c r="J180" s="46" t="str">
        <f aca="false">IF(I180&lt;&gt;"?", HYPERLINK(CONCATENATE("https://doi.org/",I180)), "")</f>
        <v>https://doi.org/10.1109/ISSCC.2008.4523303</v>
      </c>
      <c r="K180" s="45" t="s">
        <v>902</v>
      </c>
      <c r="L180" s="41"/>
      <c r="M180" s="41"/>
      <c r="N180" s="41"/>
      <c r="O180" s="34" t="s">
        <v>117</v>
      </c>
      <c r="P180" s="45" t="n">
        <v>2</v>
      </c>
      <c r="Q180" s="54"/>
      <c r="R180" s="48" t="n">
        <v>200000</v>
      </c>
      <c r="S180" s="41" t="n">
        <v>32</v>
      </c>
      <c r="T180" s="41"/>
      <c r="U180" s="49"/>
      <c r="V180" s="41"/>
      <c r="W180" s="41"/>
      <c r="X180" s="49" t="n">
        <f aca="false">+IF(ISNUMBER($S180),$S180,MIN($V180,$T180,$U180,$W180))</f>
        <v>32</v>
      </c>
      <c r="Y180" s="48" t="n">
        <v>1.66E-006</v>
      </c>
      <c r="Z180" s="48" t="n">
        <v>400000</v>
      </c>
      <c r="AA180" s="50" t="n">
        <v>1</v>
      </c>
      <c r="AB180" s="48" t="n">
        <f aca="false">Z180/AA180</f>
        <v>400000</v>
      </c>
      <c r="AC180" s="48"/>
      <c r="AD180" s="51" t="n">
        <f aca="false">Y180/AB180*1000000000000</f>
        <v>4.15</v>
      </c>
      <c r="AE180" s="49" t="str">
        <f aca="false">IF(ISNUMBER($Q180), $AD180*1000/2^(($Q180-1.76)/6.02), "")</f>
        <v/>
      </c>
      <c r="AF180" s="49" t="n">
        <f aca="false">$AD180*1000/2^(($X180-1.76)/6.02)</f>
        <v>127.613735302176</v>
      </c>
      <c r="AG180" s="31" t="str">
        <f aca="false">IF(ISNUMBER($Q180), $Q180+10*LOG10($AB180/2/$Y180), "")</f>
        <v/>
      </c>
      <c r="AH180" s="31" t="n">
        <f aca="false">$X180+10*LOG10($AB180/2/$Y180)</f>
        <v>142.809219076239</v>
      </c>
      <c r="AI180" s="52" t="n">
        <f aca="false">AF180/AB180</f>
        <v>0.000319034338255439</v>
      </c>
      <c r="AJ180" s="53" t="n">
        <f aca="false">AH180+10*LOG10(AB180)</f>
        <v>198.829818989519</v>
      </c>
    </row>
    <row r="181" customFormat="false" ht="12.75" hidden="false" customHeight="false" outlineLevel="0" collapsed="false">
      <c r="A181" s="40" t="n">
        <v>2009</v>
      </c>
      <c r="B181" s="43" t="n">
        <v>4.2</v>
      </c>
      <c r="C181" s="43" t="s">
        <v>111</v>
      </c>
      <c r="D181" s="50" t="s">
        <v>548</v>
      </c>
      <c r="E181" s="65" t="n">
        <v>0.045</v>
      </c>
      <c r="F181" s="45" t="s">
        <v>903</v>
      </c>
      <c r="G181" s="45" t="s">
        <v>904</v>
      </c>
      <c r="H181" s="45" t="s">
        <v>905</v>
      </c>
      <c r="I181" s="44" t="s">
        <v>906</v>
      </c>
      <c r="J181" s="46" t="str">
        <f aca="false">IF(I181&lt;&gt;"?", HYPERLINK(CONCATENATE("https://doi.org/",I181)), "")</f>
        <v>https://doi.org/10.1109/ISSCC.2009.4977315</v>
      </c>
      <c r="K181" s="45" t="s">
        <v>117</v>
      </c>
      <c r="L181" s="41"/>
      <c r="M181" s="41"/>
      <c r="N181" s="41"/>
      <c r="O181" s="34" t="s">
        <v>117</v>
      </c>
      <c r="P181" s="45" t="n">
        <v>1</v>
      </c>
      <c r="Q181" s="54"/>
      <c r="R181" s="48" t="n">
        <v>1100000000</v>
      </c>
      <c r="S181" s="41" t="n">
        <v>34</v>
      </c>
      <c r="T181" s="41"/>
      <c r="U181" s="49"/>
      <c r="V181" s="41"/>
      <c r="W181" s="41" t="n">
        <v>45</v>
      </c>
      <c r="X181" s="49" t="n">
        <f aca="false">+IF(ISNUMBER($S181),$S181,MIN($V181,$T181,$U181,$W181))</f>
        <v>34</v>
      </c>
      <c r="Y181" s="48" t="n">
        <v>0.05</v>
      </c>
      <c r="Z181" s="48" t="n">
        <v>2500000000</v>
      </c>
      <c r="AA181" s="50" t="n">
        <v>1.13636363636364</v>
      </c>
      <c r="AB181" s="48" t="n">
        <f aca="false">Z181/AA181</f>
        <v>2200000000</v>
      </c>
      <c r="AC181" s="48"/>
      <c r="AD181" s="51" t="n">
        <f aca="false">Y181/AB181*1000000000000</f>
        <v>22.7272727272727</v>
      </c>
      <c r="AE181" s="49" t="str">
        <f aca="false">IF(ISNUMBER($Q181), $AD181*1000/2^(($Q181-1.76)/6.02), "")</f>
        <v/>
      </c>
      <c r="AF181" s="49" t="n">
        <f aca="false">$AD181*1000/2^(($X181-1.76)/6.02)</f>
        <v>555.119754329464</v>
      </c>
      <c r="AG181" s="31" t="str">
        <f aca="false">IF(ISNUMBER($Q181), $Q181+10*LOG10($AB181/2/$Y181), "")</f>
        <v/>
      </c>
      <c r="AH181" s="31" t="n">
        <f aca="false">$X181+10*LOG10($AB181/2/$Y181)</f>
        <v>137.424226808222</v>
      </c>
      <c r="AI181" s="52" t="n">
        <f aca="false">AF181/AB181</f>
        <v>2.52327161058847E-007</v>
      </c>
      <c r="AJ181" s="53" t="n">
        <f aca="false">AH181+10*LOG10(AB181)</f>
        <v>230.848453616444</v>
      </c>
    </row>
    <row r="182" customFormat="false" ht="12.75" hidden="false" customHeight="false" outlineLevel="0" collapsed="false">
      <c r="A182" s="50" t="n">
        <v>2009</v>
      </c>
      <c r="B182" s="43" t="n">
        <v>4.3</v>
      </c>
      <c r="C182" s="43" t="s">
        <v>111</v>
      </c>
      <c r="D182" s="50" t="s">
        <v>522</v>
      </c>
      <c r="E182" s="65" t="n">
        <v>0.18</v>
      </c>
      <c r="F182" s="59" t="s">
        <v>907</v>
      </c>
      <c r="G182" s="45" t="s">
        <v>908</v>
      </c>
      <c r="H182" s="45" t="s">
        <v>909</v>
      </c>
      <c r="I182" s="44" t="s">
        <v>910</v>
      </c>
      <c r="J182" s="46" t="str">
        <f aca="false">IF(I182&lt;&gt;"?", HYPERLINK(CONCATENATE("https://doi.org/",I182)), "")</f>
        <v>https://doi.org/10.1109/ISSCC.2009.4977316</v>
      </c>
      <c r="K182" s="45" t="s">
        <v>117</v>
      </c>
      <c r="L182" s="41"/>
      <c r="M182" s="41"/>
      <c r="N182" s="41"/>
      <c r="O182" s="34" t="s">
        <v>117</v>
      </c>
      <c r="P182" s="45" t="n">
        <f aca="false">35/2</f>
        <v>17.5</v>
      </c>
      <c r="Q182" s="54"/>
      <c r="R182" s="48" t="n">
        <v>497770000</v>
      </c>
      <c r="S182" s="41"/>
      <c r="T182" s="41" t="n">
        <v>56.5</v>
      </c>
      <c r="U182" s="49"/>
      <c r="V182" s="41" t="n">
        <v>65.4</v>
      </c>
      <c r="W182" s="41" t="n">
        <v>66.3</v>
      </c>
      <c r="X182" s="49" t="n">
        <f aca="false">+IF(ISNUMBER($S182),$S182,MIN($V182,$T182,$U182,$W182))</f>
        <v>56.5</v>
      </c>
      <c r="Y182" s="48" t="n">
        <v>1.2</v>
      </c>
      <c r="Z182" s="48" t="n">
        <v>1000000000</v>
      </c>
      <c r="AA182" s="50" t="n">
        <v>1.00447998071398</v>
      </c>
      <c r="AB182" s="48" t="n">
        <f aca="false">Z182/AA182</f>
        <v>995540000</v>
      </c>
      <c r="AC182" s="48"/>
      <c r="AD182" s="51" t="n">
        <f aca="false">Y182/AB182*1000000000000</f>
        <v>1205.37597685678</v>
      </c>
      <c r="AE182" s="49" t="str">
        <f aca="false">IF(ISNUMBER($Q182), $AD182*1000/2^(($Q182-1.76)/6.02), "")</f>
        <v/>
      </c>
      <c r="AF182" s="49" t="n">
        <f aca="false">$AD182*1000/2^(($X182-1.76)/6.02)</f>
        <v>2207.24113109867</v>
      </c>
      <c r="AG182" s="31" t="str">
        <f aca="false">IF(ISNUMBER($Q182), $Q182+10*LOG10($AB182/2/$Y182), "")</f>
        <v/>
      </c>
      <c r="AH182" s="31" t="n">
        <f aca="false">$X182+10*LOG10($AB182/2/$Y182)</f>
        <v>142.678474726069</v>
      </c>
      <c r="AI182" s="52" t="n">
        <f aca="false">AF182/AB182</f>
        <v>2.21712952879711E-006</v>
      </c>
      <c r="AJ182" s="53" t="n">
        <f aca="false">AH182+10*LOG10(AB182)</f>
        <v>232.659061869254</v>
      </c>
    </row>
    <row r="183" customFormat="false" ht="12.75" hidden="false" customHeight="false" outlineLevel="0" collapsed="false">
      <c r="A183" s="50" t="n">
        <v>2009</v>
      </c>
      <c r="B183" s="43" t="n">
        <v>4.4</v>
      </c>
      <c r="C183" s="43" t="s">
        <v>111</v>
      </c>
      <c r="D183" s="50" t="s">
        <v>911</v>
      </c>
      <c r="E183" s="65" t="n">
        <v>0.065</v>
      </c>
      <c r="F183" s="45" t="s">
        <v>912</v>
      </c>
      <c r="G183" s="45" t="s">
        <v>913</v>
      </c>
      <c r="H183" s="45" t="s">
        <v>914</v>
      </c>
      <c r="I183" s="44" t="s">
        <v>915</v>
      </c>
      <c r="J183" s="46" t="str">
        <f aca="false">IF(I183&lt;&gt;"?", HYPERLINK(CONCATENATE("https://doi.org/",I183)), "")</f>
        <v>https://doi.org/10.1109/ISSCC.2009.4977317</v>
      </c>
      <c r="K183" s="45" t="s">
        <v>117</v>
      </c>
      <c r="L183" s="41"/>
      <c r="M183" s="41"/>
      <c r="N183" s="41"/>
      <c r="O183" s="34" t="s">
        <v>117</v>
      </c>
      <c r="P183" s="45" t="n">
        <v>0.18</v>
      </c>
      <c r="Q183" s="54"/>
      <c r="R183" s="48" t="n">
        <v>400000000</v>
      </c>
      <c r="S183" s="41" t="n">
        <v>27</v>
      </c>
      <c r="T183" s="41"/>
      <c r="U183" s="49"/>
      <c r="V183" s="41"/>
      <c r="W183" s="41" t="n">
        <v>36</v>
      </c>
      <c r="X183" s="49" t="n">
        <f aca="false">+IF(ISNUMBER($S183),$S183,MIN($V183,$T183,$U183,$W183))</f>
        <v>27</v>
      </c>
      <c r="Y183" s="48" t="n">
        <v>0.00197</v>
      </c>
      <c r="Z183" s="48" t="n">
        <v>800000000</v>
      </c>
      <c r="AA183" s="50" t="n">
        <v>1</v>
      </c>
      <c r="AB183" s="48" t="n">
        <f aca="false">Z183/AA183</f>
        <v>800000000</v>
      </c>
      <c r="AC183" s="48"/>
      <c r="AD183" s="51" t="n">
        <f aca="false">Y183/AB183*1000000000000</f>
        <v>2.4625</v>
      </c>
      <c r="AE183" s="49" t="str">
        <f aca="false">IF(ISNUMBER($Q183), $AD183*1000/2^(($Q183-1.76)/6.02), "")</f>
        <v/>
      </c>
      <c r="AF183" s="49" t="n">
        <f aca="false">$AD183*1000/2^(($X183-1.76)/6.02)</f>
        <v>134.663679445533</v>
      </c>
      <c r="AG183" s="31" t="str">
        <f aca="false">IF(ISNUMBER($Q183), $Q183+10*LOG10($AB183/2/$Y183), "")</f>
        <v/>
      </c>
      <c r="AH183" s="31" t="n">
        <f aca="false">$X183+10*LOG10($AB183/2/$Y183)</f>
        <v>140.075937651664</v>
      </c>
      <c r="AI183" s="52" t="n">
        <f aca="false">AF183/AB183</f>
        <v>1.68329599306916E-007</v>
      </c>
      <c r="AJ183" s="53" t="n">
        <f aca="false">AH183+10*LOG10(AB183)</f>
        <v>229.106837521583</v>
      </c>
    </row>
    <row r="184" customFormat="false" ht="12.75" hidden="false" customHeight="false" outlineLevel="0" collapsed="false">
      <c r="A184" s="50" t="n">
        <v>2009</v>
      </c>
      <c r="B184" s="43" t="n">
        <v>4.5</v>
      </c>
      <c r="C184" s="43" t="s">
        <v>111</v>
      </c>
      <c r="D184" s="50" t="s">
        <v>548</v>
      </c>
      <c r="E184" s="65" t="n">
        <v>0.13</v>
      </c>
      <c r="F184" s="45" t="s">
        <v>916</v>
      </c>
      <c r="G184" s="45" t="s">
        <v>917</v>
      </c>
      <c r="H184" s="45" t="s">
        <v>918</v>
      </c>
      <c r="I184" s="44" t="s">
        <v>919</v>
      </c>
      <c r="J184" s="46" t="str">
        <f aca="false">IF(I184&lt;&gt;"?", HYPERLINK(CONCATENATE("https://doi.org/",I184)), "")</f>
        <v>https://doi.org/10.1109/ISSCC.2009.4977318</v>
      </c>
      <c r="K184" s="45" t="s">
        <v>117</v>
      </c>
      <c r="L184" s="41"/>
      <c r="M184" s="41"/>
      <c r="N184" s="41"/>
      <c r="O184" s="34" t="s">
        <v>117</v>
      </c>
      <c r="P184" s="45" t="n">
        <v>1.1</v>
      </c>
      <c r="Q184" s="54"/>
      <c r="R184" s="48" t="n">
        <v>300000000</v>
      </c>
      <c r="S184" s="41" t="n">
        <v>43</v>
      </c>
      <c r="T184" s="41"/>
      <c r="U184" s="49"/>
      <c r="V184" s="41"/>
      <c r="W184" s="41" t="n">
        <v>56.5</v>
      </c>
      <c r="X184" s="49" t="n">
        <f aca="false">+IF(ISNUMBER($S184),$S184,MIN($V184,$T184,$U184,$W184))</f>
        <v>43</v>
      </c>
      <c r="Y184" s="48" t="n">
        <v>0.03</v>
      </c>
      <c r="Z184" s="48" t="n">
        <v>600000000</v>
      </c>
      <c r="AA184" s="50" t="n">
        <v>1</v>
      </c>
      <c r="AB184" s="48" t="n">
        <f aca="false">Z184/AA184</f>
        <v>600000000</v>
      </c>
      <c r="AC184" s="48"/>
      <c r="AD184" s="51" t="n">
        <f aca="false">Y184/AB184*1000000000000</f>
        <v>50</v>
      </c>
      <c r="AE184" s="49" t="str">
        <f aca="false">IF(ISNUMBER($Q184), $AD184*1000/2^(($Q184-1.76)/6.02), "")</f>
        <v/>
      </c>
      <c r="AF184" s="49" t="n">
        <f aca="false">$AD184*1000/2^(($X184-1.76)/6.02)</f>
        <v>433.275886072638</v>
      </c>
      <c r="AG184" s="31" t="str">
        <f aca="false">IF(ISNUMBER($Q184), $Q184+10*LOG10($AB184/2/$Y184), "")</f>
        <v/>
      </c>
      <c r="AH184" s="31" t="n">
        <f aca="false">$X184+10*LOG10($AB184/2/$Y184)</f>
        <v>143</v>
      </c>
      <c r="AI184" s="52" t="n">
        <f aca="false">AF184/AB184</f>
        <v>7.22126476787729E-007</v>
      </c>
      <c r="AJ184" s="53" t="n">
        <f aca="false">AH184+10*LOG10(AB184)</f>
        <v>230.781512503836</v>
      </c>
    </row>
    <row r="185" customFormat="false" ht="12.75" hidden="false" customHeight="false" outlineLevel="0" collapsed="false">
      <c r="A185" s="50" t="n">
        <v>2009</v>
      </c>
      <c r="B185" s="43" t="n">
        <v>4.6</v>
      </c>
      <c r="C185" s="43" t="s">
        <v>111</v>
      </c>
      <c r="D185" s="50" t="s">
        <v>133</v>
      </c>
      <c r="E185" s="65" t="n">
        <v>0.09</v>
      </c>
      <c r="F185" s="45" t="s">
        <v>920</v>
      </c>
      <c r="G185" s="45" t="s">
        <v>921</v>
      </c>
      <c r="H185" s="45" t="s">
        <v>922</v>
      </c>
      <c r="I185" s="44" t="s">
        <v>923</v>
      </c>
      <c r="J185" s="46" t="str">
        <f aca="false">IF(I185&lt;&gt;"?", HYPERLINK(CONCATENATE("https://doi.org/",I185)), "")</f>
        <v>https://doi.org/10.1109/ISSCC.2009.4977319</v>
      </c>
      <c r="K185" s="45" t="s">
        <v>117</v>
      </c>
      <c r="L185" s="41"/>
      <c r="M185" s="41"/>
      <c r="N185" s="41"/>
      <c r="O185" s="34" t="s">
        <v>117</v>
      </c>
      <c r="P185" s="45" t="n">
        <v>0.49</v>
      </c>
      <c r="Q185" s="54"/>
      <c r="R185" s="48" t="n">
        <v>233000000</v>
      </c>
      <c r="S185" s="41" t="n">
        <v>53</v>
      </c>
      <c r="T185" s="41"/>
      <c r="U185" s="49"/>
      <c r="V185" s="41"/>
      <c r="W185" s="41"/>
      <c r="X185" s="49" t="n">
        <f aca="false">+IF(ISNUMBER($S185),$S185,MIN($V185,$T185,$U185,$W185))</f>
        <v>53</v>
      </c>
      <c r="Y185" s="48" t="n">
        <v>0.055</v>
      </c>
      <c r="Z185" s="48" t="n">
        <v>500000000</v>
      </c>
      <c r="AA185" s="50" t="n">
        <v>1</v>
      </c>
      <c r="AB185" s="48" t="n">
        <f aca="false">Z185/AA185</f>
        <v>500000000</v>
      </c>
      <c r="AC185" s="48"/>
      <c r="AD185" s="51" t="n">
        <f aca="false">Y185/AB185*1000000000000</f>
        <v>110</v>
      </c>
      <c r="AE185" s="49" t="str">
        <f aca="false">IF(ISNUMBER($Q185), $AD185*1000/2^(($Q185-1.76)/6.02), "")</f>
        <v/>
      </c>
      <c r="AF185" s="49" t="n">
        <f aca="false">$AD185*1000/2^(($X185-1.76)/6.02)</f>
        <v>301.395922955379</v>
      </c>
      <c r="AG185" s="31" t="str">
        <f aca="false">IF(ISNUMBER($Q185), $Q185+10*LOG10($AB185/2/$Y185), "")</f>
        <v/>
      </c>
      <c r="AH185" s="31" t="n">
        <f aca="false">$X185+10*LOG10($AB185/2/$Y185)</f>
        <v>149.575773191778</v>
      </c>
      <c r="AI185" s="52" t="n">
        <f aca="false">AF185/AB185</f>
        <v>6.02791845910759E-007</v>
      </c>
      <c r="AJ185" s="53" t="n">
        <f aca="false">AH185+10*LOG10(AB185)</f>
        <v>236.565473235138</v>
      </c>
    </row>
    <row r="186" customFormat="false" ht="12.75" hidden="false" customHeight="false" outlineLevel="0" collapsed="false">
      <c r="A186" s="50" t="n">
        <v>2009</v>
      </c>
      <c r="B186" s="43" t="n">
        <v>4.7</v>
      </c>
      <c r="C186" s="43" t="s">
        <v>111</v>
      </c>
      <c r="D186" s="50" t="s">
        <v>133</v>
      </c>
      <c r="E186" s="65" t="n">
        <v>0.18</v>
      </c>
      <c r="F186" s="45" t="s">
        <v>924</v>
      </c>
      <c r="G186" s="45" t="s">
        <v>925</v>
      </c>
      <c r="H186" s="45" t="s">
        <v>926</v>
      </c>
      <c r="I186" s="44" t="s">
        <v>927</v>
      </c>
      <c r="J186" s="46" t="str">
        <f aca="false">IF(I186&lt;&gt;"?", HYPERLINK(CONCATENATE("https://doi.org/",I186)), "")</f>
        <v>https://doi.org/10.1109/ISSCC.2009.4977320</v>
      </c>
      <c r="K186" s="45" t="s">
        <v>117</v>
      </c>
      <c r="L186" s="41" t="n">
        <v>1.8</v>
      </c>
      <c r="M186" s="41"/>
      <c r="N186" s="41"/>
      <c r="O186" s="34" t="s">
        <v>117</v>
      </c>
      <c r="P186" s="45" t="n">
        <v>10</v>
      </c>
      <c r="Q186" s="54" t="n">
        <v>78.6</v>
      </c>
      <c r="R186" s="48" t="n">
        <f aca="false">+Z186/2</f>
        <v>62500000</v>
      </c>
      <c r="S186" s="41" t="n">
        <v>77</v>
      </c>
      <c r="T186" s="41" t="n">
        <v>76.5</v>
      </c>
      <c r="U186" s="49"/>
      <c r="V186" s="41"/>
      <c r="W186" s="41" t="n">
        <v>92</v>
      </c>
      <c r="X186" s="49" t="n">
        <f aca="false">+IF(ISNUMBER($S186),$S186,MIN($V186,$T186,$U186,$W186))</f>
        <v>77</v>
      </c>
      <c r="Y186" s="48" t="n">
        <v>0.385</v>
      </c>
      <c r="Z186" s="48" t="n">
        <v>125000000</v>
      </c>
      <c r="AA186" s="50" t="n">
        <v>1</v>
      </c>
      <c r="AB186" s="48" t="n">
        <f aca="false">Z186/AA186</f>
        <v>125000000</v>
      </c>
      <c r="AC186" s="48"/>
      <c r="AD186" s="51" t="n">
        <f aca="false">Y186/AB186*1000000000000</f>
        <v>3080</v>
      </c>
      <c r="AE186" s="49" t="n">
        <f aca="false">IF(ISNUMBER($Q186), $AD186*1000/2^(($Q186-1.76)/6.02), "")</f>
        <v>442.759459142988</v>
      </c>
      <c r="AF186" s="49" t="n">
        <f aca="false">$AD186*1000/2^(($X186-1.76)/6.02)</f>
        <v>532.32372250386</v>
      </c>
      <c r="AG186" s="31" t="n">
        <f aca="false">IF(ISNUMBER($Q186), $Q186+10*LOG10($AB186/2/$Y186), "")</f>
        <v>160.704192878356</v>
      </c>
      <c r="AH186" s="31" t="n">
        <f aca="false">$X186+10*LOG10($AB186/2/$Y186)</f>
        <v>159.104192878356</v>
      </c>
      <c r="AI186" s="52" t="n">
        <f aca="false">AF186/AB186</f>
        <v>4.25858978003088E-006</v>
      </c>
      <c r="AJ186" s="53" t="n">
        <f aca="false">AH186+10*LOG10(AB186)</f>
        <v>240.073293008436</v>
      </c>
    </row>
    <row r="187" customFormat="false" ht="12.75" hidden="false" customHeight="false" outlineLevel="0" collapsed="false">
      <c r="A187" s="50" t="n">
        <v>2009</v>
      </c>
      <c r="B187" s="43" t="n">
        <v>9.1</v>
      </c>
      <c r="C187" s="43" t="s">
        <v>111</v>
      </c>
      <c r="D187" s="50" t="s">
        <v>133</v>
      </c>
      <c r="E187" s="69" t="n">
        <v>0.09</v>
      </c>
      <c r="F187" s="45" t="s">
        <v>928</v>
      </c>
      <c r="G187" s="45" t="s">
        <v>929</v>
      </c>
      <c r="H187" s="45" t="s">
        <v>930</v>
      </c>
      <c r="I187" s="44" t="s">
        <v>931</v>
      </c>
      <c r="J187" s="46" t="str">
        <f aca="false">IF(I187&lt;&gt;"?", HYPERLINK(CONCATENATE("https://doi.org/",I187)), "")</f>
        <v>https://doi.org/10.1109/ISSCC.2009.4977358</v>
      </c>
      <c r="K187" s="45" t="s">
        <v>117</v>
      </c>
      <c r="L187" s="41"/>
      <c r="M187" s="41"/>
      <c r="N187" s="41"/>
      <c r="O187" s="34" t="s">
        <v>117</v>
      </c>
      <c r="P187" s="45" t="n">
        <v>4</v>
      </c>
      <c r="Q187" s="54"/>
      <c r="R187" s="48" t="n">
        <v>50000000</v>
      </c>
      <c r="S187" s="41" t="n">
        <v>68.8</v>
      </c>
      <c r="T187" s="41" t="n">
        <v>69.15</v>
      </c>
      <c r="U187" s="49"/>
      <c r="V187" s="41"/>
      <c r="W187" s="41" t="n">
        <v>85</v>
      </c>
      <c r="X187" s="49" t="n">
        <f aca="false">+IF(ISNUMBER($S187),$S187,MIN($V187,$T187,$U187,$W187))</f>
        <v>68.8</v>
      </c>
      <c r="Y187" s="48" t="n">
        <v>0.13</v>
      </c>
      <c r="Z187" s="48" t="n">
        <v>100000000</v>
      </c>
      <c r="AA187" s="50" t="n">
        <v>1</v>
      </c>
      <c r="AB187" s="48" t="n">
        <f aca="false">Z187/AA187</f>
        <v>100000000</v>
      </c>
      <c r="AC187" s="48"/>
      <c r="AD187" s="51" t="n">
        <f aca="false">Y187/AB187*1000000000000</f>
        <v>1300</v>
      </c>
      <c r="AE187" s="49" t="str">
        <f aca="false">IF(ISNUMBER($Q187), $AD187*1000/2^(($Q187-1.76)/6.02), "")</f>
        <v/>
      </c>
      <c r="AF187" s="49" t="n">
        <f aca="false">$AD187*1000/2^(($X187-1.76)/6.02)</f>
        <v>577.576233407749</v>
      </c>
      <c r="AG187" s="31" t="str">
        <f aca="false">IF(ISNUMBER($Q187), $Q187+10*LOG10($AB187/2/$Y187), "")</f>
        <v/>
      </c>
      <c r="AH187" s="31" t="n">
        <f aca="false">$X187+10*LOG10($AB187/2/$Y187)</f>
        <v>154.650266520292</v>
      </c>
      <c r="AI187" s="52" t="n">
        <f aca="false">AF187/AB187</f>
        <v>5.77576233407749E-006</v>
      </c>
      <c r="AJ187" s="53" t="n">
        <f aca="false">AH187+10*LOG10(AB187)</f>
        <v>234.650266520292</v>
      </c>
    </row>
    <row r="188" customFormat="false" ht="12.75" hidden="false" customHeight="false" outlineLevel="0" collapsed="false">
      <c r="A188" s="50" t="n">
        <v>2009</v>
      </c>
      <c r="B188" s="43" t="n">
        <v>9.2</v>
      </c>
      <c r="C188" s="43" t="s">
        <v>111</v>
      </c>
      <c r="D188" s="50" t="s">
        <v>133</v>
      </c>
      <c r="E188" s="65" t="n">
        <v>0.18</v>
      </c>
      <c r="F188" s="45" t="s">
        <v>932</v>
      </c>
      <c r="G188" s="45" t="s">
        <v>933</v>
      </c>
      <c r="H188" s="45" t="s">
        <v>934</v>
      </c>
      <c r="I188" s="44" t="s">
        <v>935</v>
      </c>
      <c r="J188" s="46" t="str">
        <f aca="false">IF(I188&lt;&gt;"?", HYPERLINK(CONCATENATE("https://doi.org/",I188)), "")</f>
        <v>https://doi.org/10.1109/ISSCC.2009.4977359</v>
      </c>
      <c r="K188" s="45" t="s">
        <v>936</v>
      </c>
      <c r="L188" s="41"/>
      <c r="M188" s="41"/>
      <c r="N188" s="41"/>
      <c r="O188" s="34" t="s">
        <v>117</v>
      </c>
      <c r="P188" s="45" t="n">
        <v>1.4</v>
      </c>
      <c r="Q188" s="54"/>
      <c r="R188" s="48" t="n">
        <v>25000000</v>
      </c>
      <c r="S188" s="41" t="n">
        <v>58.2</v>
      </c>
      <c r="T188" s="41"/>
      <c r="U188" s="49"/>
      <c r="V188" s="41"/>
      <c r="W188" s="41" t="n">
        <v>64.5</v>
      </c>
      <c r="X188" s="49" t="n">
        <f aca="false">+IF(ISNUMBER($S188),$S188,MIN($V188,$T188,$U188,$W188))</f>
        <v>58.2</v>
      </c>
      <c r="Y188" s="48" t="n">
        <v>0.0099</v>
      </c>
      <c r="Z188" s="48" t="n">
        <v>50000000</v>
      </c>
      <c r="AA188" s="50" t="n">
        <v>1</v>
      </c>
      <c r="AB188" s="48" t="n">
        <f aca="false">Z188/AA188</f>
        <v>50000000</v>
      </c>
      <c r="AC188" s="48"/>
      <c r="AD188" s="51" t="n">
        <f aca="false">Y188/AB188*1000000000000</f>
        <v>198</v>
      </c>
      <c r="AE188" s="49" t="str">
        <f aca="false">IF(ISNUMBER($Q188), $AD188*1000/2^(($Q188-1.76)/6.02), "")</f>
        <v/>
      </c>
      <c r="AF188" s="49" t="n">
        <f aca="false">$AD188*1000/2^(($X188-1.76)/6.02)</f>
        <v>298.115095994514</v>
      </c>
      <c r="AG188" s="31" t="str">
        <f aca="false">IF(ISNUMBER($Q188), $Q188+10*LOG10($AB188/2/$Y188), "")</f>
        <v/>
      </c>
      <c r="AH188" s="31" t="n">
        <f aca="false">$X188+10*LOG10($AB188/2/$Y188)</f>
        <v>152.223048140745</v>
      </c>
      <c r="AI188" s="52" t="n">
        <f aca="false">AF188/AB188</f>
        <v>5.96230191989028E-006</v>
      </c>
      <c r="AJ188" s="53" t="n">
        <f aca="false">AH188+10*LOG10(AB188)</f>
        <v>229.212748184105</v>
      </c>
    </row>
    <row r="189" customFormat="false" ht="12.75" hidden="false" customHeight="false" outlineLevel="0" collapsed="false">
      <c r="A189" s="50" t="n">
        <v>2009</v>
      </c>
      <c r="B189" s="43" t="n">
        <v>9.3</v>
      </c>
      <c r="C189" s="43" t="s">
        <v>111</v>
      </c>
      <c r="D189" s="50" t="s">
        <v>798</v>
      </c>
      <c r="E189" s="65" t="n">
        <v>0.09</v>
      </c>
      <c r="F189" s="45" t="s">
        <v>937</v>
      </c>
      <c r="G189" s="45" t="s">
        <v>938</v>
      </c>
      <c r="H189" s="45" t="s">
        <v>939</v>
      </c>
      <c r="I189" s="44" t="s">
        <v>940</v>
      </c>
      <c r="J189" s="46" t="str">
        <f aca="false">IF(I189&lt;&gt;"?", HYPERLINK(CONCATENATE("https://doi.org/",I189)), "")</f>
        <v>https://doi.org/10.1109/ISSCC.2009.4977360</v>
      </c>
      <c r="K189" s="45" t="s">
        <v>117</v>
      </c>
      <c r="L189" s="41"/>
      <c r="M189" s="41"/>
      <c r="N189" s="41"/>
      <c r="O189" s="34" t="s">
        <v>117</v>
      </c>
      <c r="P189" s="45" t="n">
        <v>0.3</v>
      </c>
      <c r="Q189" s="54"/>
      <c r="R189" s="48" t="n">
        <v>25000000</v>
      </c>
      <c r="S189" s="41" t="n">
        <v>62</v>
      </c>
      <c r="T189" s="41"/>
      <c r="U189" s="41" t="n">
        <v>72</v>
      </c>
      <c r="V189" s="41"/>
      <c r="W189" s="41" t="n">
        <v>68</v>
      </c>
      <c r="X189" s="49" t="n">
        <f aca="false">+IF(ISNUMBER($S189),$S189,MIN($V189,$T189,$U189,$W189))</f>
        <v>62</v>
      </c>
      <c r="Y189" s="48" t="n">
        <v>0.0045</v>
      </c>
      <c r="Z189" s="48" t="n">
        <v>50000000</v>
      </c>
      <c r="AA189" s="50" t="n">
        <v>1</v>
      </c>
      <c r="AB189" s="48" t="n">
        <f aca="false">Z189/AA189</f>
        <v>50000000</v>
      </c>
      <c r="AC189" s="48"/>
      <c r="AD189" s="51" t="n">
        <f aca="false">Y189/AB189*1000000000000</f>
        <v>90</v>
      </c>
      <c r="AE189" s="49" t="str">
        <f aca="false">IF(ISNUMBER($Q189), $AD189*1000/2^(($Q189-1.76)/6.02), "")</f>
        <v/>
      </c>
      <c r="AF189" s="49" t="n">
        <f aca="false">$AD189*1000/2^(($X189-1.76)/6.02)</f>
        <v>87.4867641099133</v>
      </c>
      <c r="AG189" s="31" t="str">
        <f aca="false">IF(ISNUMBER($Q189), $Q189+10*LOG10($AB189/2/$Y189), "")</f>
        <v/>
      </c>
      <c r="AH189" s="31" t="n">
        <f aca="false">$X189+10*LOG10($AB189/2/$Y189)</f>
        <v>159.447274948967</v>
      </c>
      <c r="AI189" s="52" t="n">
        <f aca="false">AF189/AB189</f>
        <v>1.74973528219827E-006</v>
      </c>
      <c r="AJ189" s="53" t="n">
        <f aca="false">AH189+10*LOG10(AB189)</f>
        <v>236.436974992327</v>
      </c>
    </row>
    <row r="190" customFormat="false" ht="12.75" hidden="false" customHeight="false" outlineLevel="0" collapsed="false">
      <c r="A190" s="50" t="n">
        <v>2009</v>
      </c>
      <c r="B190" s="43" t="n">
        <v>9.4</v>
      </c>
      <c r="C190" s="43" t="s">
        <v>111</v>
      </c>
      <c r="D190" s="50" t="s">
        <v>941</v>
      </c>
      <c r="E190" s="65" t="n">
        <v>0.09</v>
      </c>
      <c r="F190" s="45" t="s">
        <v>942</v>
      </c>
      <c r="G190" s="45" t="s">
        <v>943</v>
      </c>
      <c r="H190" s="45" t="s">
        <v>944</v>
      </c>
      <c r="I190" s="44" t="s">
        <v>945</v>
      </c>
      <c r="J190" s="46" t="str">
        <f aca="false">IF(I190&lt;&gt;"?", HYPERLINK(CONCATENATE("https://doi.org/",I190)), "")</f>
        <v>https://doi.org/10.1109/ISSCC.2009.4977361</v>
      </c>
      <c r="K190" s="45" t="s">
        <v>117</v>
      </c>
      <c r="L190" s="41"/>
      <c r="M190" s="41"/>
      <c r="N190" s="41"/>
      <c r="O190" s="34" t="s">
        <v>117</v>
      </c>
      <c r="P190" s="45" t="n">
        <v>0.06</v>
      </c>
      <c r="Q190" s="54"/>
      <c r="R190" s="48" t="n">
        <f aca="false">AB190/2</f>
        <v>300000</v>
      </c>
      <c r="S190" s="41" t="n">
        <v>49.4</v>
      </c>
      <c r="T190" s="41"/>
      <c r="U190" s="49"/>
      <c r="V190" s="41"/>
      <c r="W190" s="41" t="n">
        <v>58</v>
      </c>
      <c r="X190" s="49" t="n">
        <f aca="false">+IF(ISNUMBER($S190),$S190,MIN($V190,$T190,$U190,$W190))</f>
        <v>49.4</v>
      </c>
      <c r="Y190" s="48" t="n">
        <v>1.4E-005</v>
      </c>
      <c r="Z190" s="48" t="n">
        <v>1000000</v>
      </c>
      <c r="AA190" s="69" t="n">
        <f aca="false">5/3</f>
        <v>1.66666666666667</v>
      </c>
      <c r="AB190" s="48" t="n">
        <f aca="false">Z190/AA190</f>
        <v>600000</v>
      </c>
      <c r="AC190" s="48"/>
      <c r="AD190" s="51" t="n">
        <f aca="false">Y190/AB190*1000000000000</f>
        <v>23.3333333333333</v>
      </c>
      <c r="AE190" s="49" t="str">
        <f aca="false">IF(ISNUMBER($Q190), $AD190*1000/2^(($Q190-1.76)/6.02), "")</f>
        <v/>
      </c>
      <c r="AF190" s="49" t="n">
        <f aca="false">$AD190*1000/2^(($X190-1.76)/6.02)</f>
        <v>96.7697036305432</v>
      </c>
      <c r="AG190" s="31" t="str">
        <f aca="false">IF(ISNUMBER($Q190), $Q190+10*LOG10($AB190/2/$Y190), "")</f>
        <v/>
      </c>
      <c r="AH190" s="31" t="n">
        <f aca="false">$X190+10*LOG10($AB190/2/$Y190)</f>
        <v>152.709932190414</v>
      </c>
      <c r="AI190" s="52" t="n">
        <f aca="false">AF190/AB190</f>
        <v>0.000161282839384239</v>
      </c>
      <c r="AJ190" s="53" t="n">
        <f aca="false">AH190+10*LOG10(AB190)</f>
        <v>210.491444694251</v>
      </c>
    </row>
    <row r="191" customFormat="false" ht="12.75" hidden="false" customHeight="false" outlineLevel="0" collapsed="false">
      <c r="A191" s="50" t="n">
        <v>2009</v>
      </c>
      <c r="B191" s="43" t="n">
        <v>9.5</v>
      </c>
      <c r="C191" s="43" t="s">
        <v>139</v>
      </c>
      <c r="D191" s="50" t="s">
        <v>173</v>
      </c>
      <c r="E191" s="65" t="n">
        <v>0.13</v>
      </c>
      <c r="F191" s="45" t="s">
        <v>946</v>
      </c>
      <c r="G191" s="45" t="s">
        <v>947</v>
      </c>
      <c r="H191" s="45" t="s">
        <v>948</v>
      </c>
      <c r="I191" s="44" t="s">
        <v>949</v>
      </c>
      <c r="J191" s="46" t="str">
        <f aca="false">IF(I191&lt;&gt;"?", HYPERLINK(CONCATENATE("https://doi.org/",I191)), "")</f>
        <v>https://doi.org/10.1109/ISSCC.2009.4977362</v>
      </c>
      <c r="K191" s="45" t="s">
        <v>117</v>
      </c>
      <c r="L191" s="41"/>
      <c r="M191" s="41"/>
      <c r="N191" s="41"/>
      <c r="O191" s="34" t="s">
        <v>117</v>
      </c>
      <c r="P191" s="45" t="n">
        <v>0.45</v>
      </c>
      <c r="Q191" s="54"/>
      <c r="R191" s="48" t="n">
        <v>20000000</v>
      </c>
      <c r="S191" s="41" t="n">
        <v>78.1</v>
      </c>
      <c r="T191" s="41" t="n">
        <v>81.2</v>
      </c>
      <c r="U191" s="49"/>
      <c r="V191" s="41"/>
      <c r="W191" s="41"/>
      <c r="X191" s="49" t="n">
        <f aca="false">+IF(ISNUMBER($S191),$S191,MIN($V191,$T191,$U191,$W191))</f>
        <v>78.1</v>
      </c>
      <c r="Y191" s="48" t="n">
        <v>0.087</v>
      </c>
      <c r="Z191" s="48" t="n">
        <v>900000000</v>
      </c>
      <c r="AA191" s="50" t="n">
        <v>22.5</v>
      </c>
      <c r="AB191" s="48" t="n">
        <f aca="false">Z191/AA191</f>
        <v>40000000</v>
      </c>
      <c r="AC191" s="48"/>
      <c r="AD191" s="51" t="n">
        <f aca="false">Y191/AB191*1000000000000</f>
        <v>2175</v>
      </c>
      <c r="AE191" s="49" t="str">
        <f aca="false">IF(ISNUMBER($Q191), $AD191*1000/2^(($Q191-1.76)/6.02), "")</f>
        <v/>
      </c>
      <c r="AF191" s="49" t="n">
        <f aca="false">$AD191*1000/2^(($X191-1.76)/6.02)</f>
        <v>331.191272940874</v>
      </c>
      <c r="AG191" s="31" t="str">
        <f aca="false">IF(ISNUMBER($Q191), $Q191+10*LOG10($AB191/2/$Y191), "")</f>
        <v/>
      </c>
      <c r="AH191" s="31" t="n">
        <f aca="false">$X191+10*LOG10($AB191/2/$Y191)</f>
        <v>161.715107430454</v>
      </c>
      <c r="AI191" s="52" t="n">
        <f aca="false">AF191/AB191</f>
        <v>8.27978182352186E-006</v>
      </c>
      <c r="AJ191" s="53" t="n">
        <f aca="false">AH191+10*LOG10(AB191)</f>
        <v>237.735707343733</v>
      </c>
    </row>
    <row r="192" customFormat="false" ht="12.75" hidden="false" customHeight="false" outlineLevel="0" collapsed="false">
      <c r="A192" s="50" t="n">
        <v>2009</v>
      </c>
      <c r="B192" s="43" t="n">
        <v>9.6</v>
      </c>
      <c r="C192" s="43" t="s">
        <v>139</v>
      </c>
      <c r="D192" s="50" t="s">
        <v>173</v>
      </c>
      <c r="E192" s="65" t="n">
        <v>0.065</v>
      </c>
      <c r="F192" s="45" t="s">
        <v>950</v>
      </c>
      <c r="G192" s="45" t="s">
        <v>951</v>
      </c>
      <c r="H192" s="45" t="s">
        <v>952</v>
      </c>
      <c r="I192" s="44" t="s">
        <v>953</v>
      </c>
      <c r="J192" s="46" t="str">
        <f aca="false">IF(I192&lt;&gt;"?", HYPERLINK(CONCATENATE("https://doi.org/",I192)), "")</f>
        <v>https://doi.org/10.1109/ISSCC.2009.4977363</v>
      </c>
      <c r="K192" s="45" t="s">
        <v>117</v>
      </c>
      <c r="L192" s="41" t="n">
        <v>1.2</v>
      </c>
      <c r="M192" s="41"/>
      <c r="N192" s="41"/>
      <c r="O192" s="34" t="s">
        <v>117</v>
      </c>
      <c r="P192" s="45" t="n">
        <v>0.084</v>
      </c>
      <c r="Q192" s="54"/>
      <c r="R192" s="48" t="n">
        <v>2000000</v>
      </c>
      <c r="S192" s="41" t="n">
        <v>79.07</v>
      </c>
      <c r="T192" s="41" t="n">
        <v>79.1</v>
      </c>
      <c r="U192" s="41" t="n">
        <v>80</v>
      </c>
      <c r="V192" s="41" t="n">
        <v>97.7</v>
      </c>
      <c r="W192" s="41"/>
      <c r="X192" s="49" t="n">
        <f aca="false">+IF(ISNUMBER($S192),$S192,MIN($V192,$T192,$U192,$W192))</f>
        <v>79.07</v>
      </c>
      <c r="Y192" s="48" t="n">
        <v>0.00452</v>
      </c>
      <c r="Z192" s="48" t="n">
        <v>128000000</v>
      </c>
      <c r="AA192" s="50" t="n">
        <v>32</v>
      </c>
      <c r="AB192" s="48" t="n">
        <f aca="false">Z192/AA192</f>
        <v>4000000</v>
      </c>
      <c r="AC192" s="48"/>
      <c r="AD192" s="51" t="n">
        <f aca="false">Y192/AB192*1000000000000</f>
        <v>1130</v>
      </c>
      <c r="AE192" s="49" t="str">
        <f aca="false">IF(ISNUMBER($Q192), $AD192*1000/2^(($Q192-1.76)/6.02), "")</f>
        <v/>
      </c>
      <c r="AF192" s="49" t="n">
        <f aca="false">$AD192*1000/2^(($X192-1.76)/6.02)</f>
        <v>153.88391734371</v>
      </c>
      <c r="AG192" s="31" t="str">
        <f aca="false">IF(ISNUMBER($Q192), $Q192+10*LOG10($AB192/2/$Y192), "")</f>
        <v/>
      </c>
      <c r="AH192" s="31" t="n">
        <f aca="false">$X192+10*LOG10($AB192/2/$Y192)</f>
        <v>165.528915608526</v>
      </c>
      <c r="AI192" s="52" t="n">
        <f aca="false">AF192/AB192</f>
        <v>3.84709793359275E-005</v>
      </c>
      <c r="AJ192" s="53" t="n">
        <f aca="false">AH192+10*LOG10(AB192)</f>
        <v>231.549515521806</v>
      </c>
    </row>
    <row r="193" customFormat="false" ht="12.75" hidden="false" customHeight="false" outlineLevel="0" collapsed="false">
      <c r="A193" s="50" t="n">
        <v>2009</v>
      </c>
      <c r="B193" s="43" t="n">
        <v>9.7</v>
      </c>
      <c r="C193" s="43" t="s">
        <v>139</v>
      </c>
      <c r="D193" s="50" t="s">
        <v>173</v>
      </c>
      <c r="E193" s="65" t="n">
        <v>0.065</v>
      </c>
      <c r="F193" s="45" t="s">
        <v>954</v>
      </c>
      <c r="G193" s="45" t="s">
        <v>955</v>
      </c>
      <c r="H193" s="45" t="s">
        <v>956</v>
      </c>
      <c r="I193" s="44" t="s">
        <v>957</v>
      </c>
      <c r="J193" s="46" t="str">
        <f aca="false">IF(I193&lt;&gt;"?", HYPERLINK(CONCATENATE("https://doi.org/",I193)), "")</f>
        <v>https://doi.org/10.1109/ISSCC.2009.4977364</v>
      </c>
      <c r="K193" s="45" t="s">
        <v>117</v>
      </c>
      <c r="L193" s="41"/>
      <c r="M193" s="41"/>
      <c r="N193" s="41"/>
      <c r="O193" s="34" t="s">
        <v>117</v>
      </c>
      <c r="P193" s="45" t="n">
        <v>0.154</v>
      </c>
      <c r="Q193" s="54"/>
      <c r="R193" s="48" t="n">
        <v>20000000</v>
      </c>
      <c r="S193" s="41" t="n">
        <v>60</v>
      </c>
      <c r="T193" s="41" t="n">
        <v>62</v>
      </c>
      <c r="U193" s="41" t="n">
        <v>68</v>
      </c>
      <c r="V193" s="41"/>
      <c r="W193" s="41"/>
      <c r="X193" s="49" t="n">
        <f aca="false">+IF(ISNUMBER($S193),$S193,MIN($V193,$T193,$U193,$W193))</f>
        <v>60</v>
      </c>
      <c r="Y193" s="48" t="n">
        <v>0.0105</v>
      </c>
      <c r="Z193" s="48" t="n">
        <v>250000000</v>
      </c>
      <c r="AA193" s="50" t="n">
        <v>6.25</v>
      </c>
      <c r="AB193" s="48" t="n">
        <f aca="false">Z193/AA193</f>
        <v>40000000</v>
      </c>
      <c r="AC193" s="48"/>
      <c r="AD193" s="51" t="n">
        <f aca="false">Y193/AB193*1000000000000</f>
        <v>262.5</v>
      </c>
      <c r="AE193" s="49" t="str">
        <f aca="false">IF(ISNUMBER($Q193), $AD193*1000/2^(($Q193-1.76)/6.02), "")</f>
        <v/>
      </c>
      <c r="AF193" s="49" t="n">
        <f aca="false">$AD193*1000/2^(($X193-1.76)/6.02)</f>
        <v>321.24702698435</v>
      </c>
      <c r="AG193" s="31" t="str">
        <f aca="false">IF(ISNUMBER($Q193), $Q193+10*LOG10($AB193/2/$Y193), "")</f>
        <v/>
      </c>
      <c r="AH193" s="31" t="n">
        <f aca="false">$X193+10*LOG10($AB193/2/$Y193)</f>
        <v>152.79840696594</v>
      </c>
      <c r="AI193" s="52" t="n">
        <f aca="false">AF193/AB193</f>
        <v>8.03117567460874E-006</v>
      </c>
      <c r="AJ193" s="53" t="n">
        <f aca="false">AH193+10*LOG10(AB193)</f>
        <v>228.81900687922</v>
      </c>
    </row>
    <row r="194" customFormat="false" ht="12.75" hidden="false" customHeight="false" outlineLevel="0" collapsed="false">
      <c r="A194" s="50" t="n">
        <v>2009</v>
      </c>
      <c r="B194" s="43" t="n">
        <v>9.8</v>
      </c>
      <c r="C194" s="43" t="s">
        <v>139</v>
      </c>
      <c r="D194" s="50" t="s">
        <v>145</v>
      </c>
      <c r="E194" s="65" t="n">
        <v>0.09</v>
      </c>
      <c r="F194" s="45" t="s">
        <v>958</v>
      </c>
      <c r="G194" s="45" t="s">
        <v>959</v>
      </c>
      <c r="H194" s="45" t="s">
        <v>960</v>
      </c>
      <c r="I194" s="44" t="s">
        <v>961</v>
      </c>
      <c r="J194" s="46" t="str">
        <f aca="false">IF(I194&lt;&gt;"?", HYPERLINK(CONCATENATE("https://doi.org/",I194)), "")</f>
        <v>https://doi.org/10.1109/ISSCC.2009.4977365</v>
      </c>
      <c r="K194" s="45" t="s">
        <v>117</v>
      </c>
      <c r="L194" s="41"/>
      <c r="M194" s="41"/>
      <c r="N194" s="41"/>
      <c r="O194" s="34" t="s">
        <v>117</v>
      </c>
      <c r="P194" s="45" t="n">
        <v>0.0756</v>
      </c>
      <c r="Q194" s="54"/>
      <c r="R194" s="48" t="n">
        <v>2000000</v>
      </c>
      <c r="S194" s="41" t="n">
        <v>65</v>
      </c>
      <c r="T194" s="41"/>
      <c r="U194" s="41" t="n">
        <v>66</v>
      </c>
      <c r="V194" s="41" t="n">
        <v>79</v>
      </c>
      <c r="W194" s="41" t="n">
        <v>79</v>
      </c>
      <c r="X194" s="49" t="n">
        <f aca="false">+IF(ISNUMBER($S194),$S194,MIN($V194,$T194,$U194,$W194))</f>
        <v>65</v>
      </c>
      <c r="Y194" s="48" t="n">
        <v>0.00683</v>
      </c>
      <c r="Z194" s="48" t="n">
        <v>320000000</v>
      </c>
      <c r="AA194" s="50" t="n">
        <v>80</v>
      </c>
      <c r="AB194" s="48" t="n">
        <f aca="false">Z194/AA194</f>
        <v>4000000</v>
      </c>
      <c r="AC194" s="48"/>
      <c r="AD194" s="51" t="n">
        <f aca="false">Y194/AB194*1000000000000</f>
        <v>1707.5</v>
      </c>
      <c r="AE194" s="49" t="str">
        <f aca="false">IF(ISNUMBER($Q194), $AD194*1000/2^(($Q194-1.76)/6.02), "")</f>
        <v/>
      </c>
      <c r="AF194" s="49" t="n">
        <f aca="false">$AD194*1000/2^(($X194-1.76)/6.02)</f>
        <v>1175.02094590044</v>
      </c>
      <c r="AG194" s="31" t="str">
        <f aca="false">IF(ISNUMBER($Q194), $Q194+10*LOG10($AB194/2/$Y194), "")</f>
        <v/>
      </c>
      <c r="AH194" s="31" t="n">
        <f aca="false">$X194+10*LOG10($AB194/2/$Y194)</f>
        <v>149.666092919825</v>
      </c>
      <c r="AI194" s="52" t="n">
        <f aca="false">AF194/AB194</f>
        <v>0.000293755236475111</v>
      </c>
      <c r="AJ194" s="53" t="n">
        <f aca="false">AH194+10*LOG10(AB194)</f>
        <v>215.686692833104</v>
      </c>
    </row>
    <row r="195" customFormat="false" ht="12.75" hidden="false" customHeight="false" outlineLevel="0" collapsed="false">
      <c r="A195" s="50" t="n">
        <v>2009</v>
      </c>
      <c r="B195" s="43" t="n">
        <v>21.7</v>
      </c>
      <c r="C195" s="43" t="s">
        <v>111</v>
      </c>
      <c r="D195" s="50" t="s">
        <v>463</v>
      </c>
      <c r="E195" s="65" t="n">
        <v>0.065</v>
      </c>
      <c r="F195" s="57" t="s">
        <v>962</v>
      </c>
      <c r="G195" s="57" t="s">
        <v>963</v>
      </c>
      <c r="H195" s="57" t="s">
        <v>964</v>
      </c>
      <c r="I195" s="44" t="s">
        <v>965</v>
      </c>
      <c r="J195" s="46" t="str">
        <f aca="false">IF(I195&lt;&gt;"?", HYPERLINK(CONCATENATE("https://doi.org/",I195)), "")</f>
        <v>https://doi.org/10.1109/ISSCC.2009.4977462</v>
      </c>
      <c r="K195" s="55" t="s">
        <v>117</v>
      </c>
      <c r="L195" s="41"/>
      <c r="M195" s="41"/>
      <c r="N195" s="41"/>
      <c r="O195" s="34" t="s">
        <v>117</v>
      </c>
      <c r="P195" s="55" t="n">
        <v>0</v>
      </c>
      <c r="Q195" s="54" t="n">
        <v>33.2</v>
      </c>
      <c r="R195" s="48" t="n">
        <v>5000000000</v>
      </c>
      <c r="S195" s="41" t="n">
        <v>31.6</v>
      </c>
      <c r="T195" s="41"/>
      <c r="U195" s="41"/>
      <c r="V195" s="45"/>
      <c r="W195" s="49"/>
      <c r="X195" s="49" t="n">
        <f aca="false">+IF(ISNUMBER($S195),$S195,MIN($V195,$T195,$U195,$W195))</f>
        <v>31.6</v>
      </c>
      <c r="Y195" s="48" t="n">
        <v>0.39</v>
      </c>
      <c r="Z195" s="48" t="n">
        <v>10300000000</v>
      </c>
      <c r="AA195" s="43" t="n">
        <v>1</v>
      </c>
      <c r="AB195" s="48" t="n">
        <f aca="false">Z195/AA195</f>
        <v>10300000000</v>
      </c>
      <c r="AC195" s="48"/>
      <c r="AD195" s="51" t="n">
        <f aca="false">Y195/AB195*1000000000000</f>
        <v>37.8640776699029</v>
      </c>
      <c r="AE195" s="49" t="n">
        <f aca="false">IF(ISNUMBER($Q195), $AD195*1000/2^(($Q195-1.76)/6.02), "")</f>
        <v>1014.07652018351</v>
      </c>
      <c r="AF195" s="49" t="n">
        <f aca="false">$AD195*1000/2^(($X195-1.76)/6.02)</f>
        <v>1219.21051483061</v>
      </c>
      <c r="AG195" s="31" t="n">
        <f aca="false">IF(ISNUMBER($Q195), $Q195+10*LOG10($AB195/2/$Y195), "")</f>
        <v>134.407426220147</v>
      </c>
      <c r="AH195" s="31" t="n">
        <f aca="false">$X195+10*LOG10($AB195/2/$Y195)</f>
        <v>132.807426220147</v>
      </c>
      <c r="AI195" s="52" t="n">
        <f aca="false">AF195/AB195</f>
        <v>1.18369952896176E-007</v>
      </c>
      <c r="AJ195" s="53" t="n">
        <f aca="false">AH195+10*LOG10(AB195)</f>
        <v>232.935798467199</v>
      </c>
    </row>
    <row r="196" customFormat="false" ht="12.75" hidden="false" customHeight="false" outlineLevel="0" collapsed="false">
      <c r="A196" s="40" t="n">
        <v>2010</v>
      </c>
      <c r="B196" s="43" t="n">
        <v>16.1</v>
      </c>
      <c r="C196" s="43" t="s">
        <v>111</v>
      </c>
      <c r="D196" s="50" t="s">
        <v>133</v>
      </c>
      <c r="E196" s="65" t="s">
        <v>966</v>
      </c>
      <c r="F196" s="45" t="s">
        <v>967</v>
      </c>
      <c r="G196" s="45" t="s">
        <v>968</v>
      </c>
      <c r="H196" s="45" t="s">
        <v>969</v>
      </c>
      <c r="I196" s="44" t="s">
        <v>970</v>
      </c>
      <c r="J196" s="46" t="str">
        <f aca="false">IF(I196&lt;&gt;"?", HYPERLINK(CONCATENATE("https://doi.org/",I196)), "")</f>
        <v>https://doi.org/10.1109/ISSCC.2010.5433923</v>
      </c>
      <c r="K196" s="45" t="s">
        <v>117</v>
      </c>
      <c r="L196" s="41"/>
      <c r="M196" s="41"/>
      <c r="N196" s="41"/>
      <c r="O196" s="34" t="s">
        <v>117</v>
      </c>
      <c r="P196" s="45" t="n">
        <v>50</v>
      </c>
      <c r="Q196" s="54"/>
      <c r="R196" s="48" t="n">
        <f aca="false">+Z196/2</f>
        <v>125000000</v>
      </c>
      <c r="S196" s="41" t="n">
        <v>77.5</v>
      </c>
      <c r="T196" s="41"/>
      <c r="U196" s="41"/>
      <c r="V196" s="41"/>
      <c r="W196" s="41" t="n">
        <v>90</v>
      </c>
      <c r="X196" s="49" t="n">
        <f aca="false">+IF(ISNUMBER($S196),$S196,MIN($V196,$T196,$U196,$W196))</f>
        <v>77.5</v>
      </c>
      <c r="Y196" s="48" t="n">
        <v>0.85</v>
      </c>
      <c r="Z196" s="48" t="n">
        <v>250000000</v>
      </c>
      <c r="AA196" s="50" t="n">
        <v>1</v>
      </c>
      <c r="AB196" s="48" t="n">
        <f aca="false">Z196/AA196</f>
        <v>250000000</v>
      </c>
      <c r="AC196" s="48"/>
      <c r="AD196" s="51" t="n">
        <f aca="false">Y196/AB196*1000000000000</f>
        <v>3400</v>
      </c>
      <c r="AE196" s="49" t="str">
        <f aca="false">IF(ISNUMBER($Q196), $AD196*1000/2^(($Q196-1.76)/6.02), "")</f>
        <v/>
      </c>
      <c r="AF196" s="49" t="n">
        <f aca="false">$AD196*1000/2^(($X196-1.76)/6.02)</f>
        <v>554.755388988148</v>
      </c>
      <c r="AG196" s="31" t="str">
        <f aca="false">IF(ISNUMBER($Q196), $Q196+10*LOG10($AB196/2/$Y196), "")</f>
        <v/>
      </c>
      <c r="AH196" s="31" t="n">
        <f aca="false">$X196+10*LOG10($AB196/2/$Y196)</f>
        <v>159.174910872938</v>
      </c>
      <c r="AI196" s="52" t="n">
        <f aca="false">AF196/AB196</f>
        <v>2.21902155595259E-006</v>
      </c>
      <c r="AJ196" s="53" t="n">
        <f aca="false">AH196+10*LOG10(AB196)</f>
        <v>243.154310959658</v>
      </c>
    </row>
    <row r="197" customFormat="false" ht="12.75" hidden="false" customHeight="false" outlineLevel="0" collapsed="false">
      <c r="A197" s="50" t="n">
        <v>2010</v>
      </c>
      <c r="B197" s="43" t="n">
        <v>16.2</v>
      </c>
      <c r="C197" s="43" t="s">
        <v>111</v>
      </c>
      <c r="D197" s="50" t="s">
        <v>133</v>
      </c>
      <c r="E197" s="65" t="s">
        <v>966</v>
      </c>
      <c r="F197" s="45" t="s">
        <v>971</v>
      </c>
      <c r="G197" s="45" t="s">
        <v>972</v>
      </c>
      <c r="H197" s="45" t="s">
        <v>973</v>
      </c>
      <c r="I197" s="44" t="s">
        <v>974</v>
      </c>
      <c r="J197" s="46" t="str">
        <f aca="false">IF(I197&lt;&gt;"?", HYPERLINK(CONCATENATE("https://doi.org/",I197)), "")</f>
        <v>https://doi.org/10.1109/ISSCC.2010.5433928</v>
      </c>
      <c r="K197" s="45" t="s">
        <v>975</v>
      </c>
      <c r="L197" s="41" t="n">
        <v>5</v>
      </c>
      <c r="M197" s="41" t="n">
        <v>3.3</v>
      </c>
      <c r="N197" s="41"/>
      <c r="O197" s="34" t="s">
        <v>117</v>
      </c>
      <c r="P197" s="45" t="n">
        <v>4</v>
      </c>
      <c r="Q197" s="54"/>
      <c r="R197" s="48" t="n">
        <f aca="false">+Z197/2</f>
        <v>80000000</v>
      </c>
      <c r="S197" s="41"/>
      <c r="T197" s="41" t="n">
        <v>75.2</v>
      </c>
      <c r="U197" s="41"/>
      <c r="V197" s="41"/>
      <c r="W197" s="41" t="n">
        <v>91</v>
      </c>
      <c r="X197" s="49" t="n">
        <f aca="false">+IF(ISNUMBER($S197),$S197,MIN($V197,$T197,$U197,$W197))</f>
        <v>75.2</v>
      </c>
      <c r="Y197" s="48" t="n">
        <v>1.62</v>
      </c>
      <c r="Z197" s="48" t="n">
        <v>160000000</v>
      </c>
      <c r="AA197" s="50" t="n">
        <v>1</v>
      </c>
      <c r="AB197" s="48" t="n">
        <f aca="false">Z197/AA197</f>
        <v>160000000</v>
      </c>
      <c r="AC197" s="48"/>
      <c r="AD197" s="51" t="n">
        <f aca="false">Y197/AB197*1000000000000</f>
        <v>10125</v>
      </c>
      <c r="AE197" s="49" t="str">
        <f aca="false">IF(ISNUMBER($Q197), $AD197*1000/2^(($Q197-1.76)/6.02), "")</f>
        <v/>
      </c>
      <c r="AF197" s="49" t="n">
        <f aca="false">$AD197*1000/2^(($X197-1.76)/6.02)</f>
        <v>2152.92601056688</v>
      </c>
      <c r="AG197" s="31" t="str">
        <f aca="false">IF(ISNUMBER($Q197), $Q197+10*LOG10($AB197/2/$Y197), "")</f>
        <v/>
      </c>
      <c r="AH197" s="31" t="n">
        <f aca="false">$X197+10*LOG10($AB197/2/$Y197)</f>
        <v>152.135749724493</v>
      </c>
      <c r="AI197" s="52" t="n">
        <f aca="false">AF197/AB197</f>
        <v>1.3455787566043E-005</v>
      </c>
      <c r="AJ197" s="53" t="n">
        <f aca="false">AH197+10*LOG10(AB197)</f>
        <v>234.176949551052</v>
      </c>
    </row>
    <row r="198" customFormat="false" ht="12.75" hidden="false" customHeight="false" outlineLevel="0" collapsed="false">
      <c r="A198" s="50" t="n">
        <v>2010</v>
      </c>
      <c r="B198" s="43" t="n">
        <v>16.3</v>
      </c>
      <c r="C198" s="43" t="s">
        <v>111</v>
      </c>
      <c r="D198" s="50" t="s">
        <v>976</v>
      </c>
      <c r="E198" s="65" t="n">
        <v>0.04</v>
      </c>
      <c r="F198" s="45" t="s">
        <v>977</v>
      </c>
      <c r="G198" s="45" t="s">
        <v>978</v>
      </c>
      <c r="H198" s="45" t="s">
        <v>979</v>
      </c>
      <c r="I198" s="44" t="s">
        <v>980</v>
      </c>
      <c r="J198" s="46" t="str">
        <f aca="false">IF(I198&lt;&gt;"?", HYPERLINK(CONCATENATE("https://doi.org/",I198)), "")</f>
        <v>https://doi.org/10.1109/ISSCC.2010.5433925</v>
      </c>
      <c r="K198" s="45" t="s">
        <v>117</v>
      </c>
      <c r="L198" s="41"/>
      <c r="M198" s="41"/>
      <c r="N198" s="41"/>
      <c r="O198" s="34" t="s">
        <v>117</v>
      </c>
      <c r="P198" s="45" t="n">
        <v>0.03</v>
      </c>
      <c r="Q198" s="54"/>
      <c r="R198" s="48" t="n">
        <f aca="false">+Z198/2</f>
        <v>1100000000</v>
      </c>
      <c r="S198" s="41" t="n">
        <v>31.1</v>
      </c>
      <c r="T198" s="41"/>
      <c r="U198" s="41"/>
      <c r="V198" s="41"/>
      <c r="W198" s="41" t="n">
        <v>41.5</v>
      </c>
      <c r="X198" s="49" t="n">
        <f aca="false">+IF(ISNUMBER($S198),$S198,MIN($V198,$T198,$U198,$W198))</f>
        <v>31.1</v>
      </c>
      <c r="Y198" s="48" t="n">
        <v>0.0026</v>
      </c>
      <c r="Z198" s="48" t="n">
        <v>2200000000</v>
      </c>
      <c r="AA198" s="50" t="n">
        <v>1</v>
      </c>
      <c r="AB198" s="48" t="n">
        <f aca="false">Z198/AA198</f>
        <v>2200000000</v>
      </c>
      <c r="AC198" s="48"/>
      <c r="AD198" s="51" t="n">
        <f aca="false">Y198/AB198*1000000000000</f>
        <v>1.18181818181818</v>
      </c>
      <c r="AE198" s="49" t="str">
        <f aca="false">IF(ISNUMBER($Q198), $AD198*1000/2^(($Q198-1.76)/6.02), "")</f>
        <v/>
      </c>
      <c r="AF198" s="49" t="n">
        <f aca="false">$AD198*1000/2^(($X198-1.76)/6.02)</f>
        <v>40.3092275365523</v>
      </c>
      <c r="AG198" s="31" t="str">
        <f aca="false">IF(ISNUMBER($Q198), $Q198+10*LOG10($AB198/2/$Y198), "")</f>
        <v/>
      </c>
      <c r="AH198" s="31" t="n">
        <f aca="false">$X198+10*LOG10($AB198/2/$Y198)</f>
        <v>147.364193371874</v>
      </c>
      <c r="AI198" s="52" t="n">
        <f aca="false">AF198/AB198</f>
        <v>1.83223761529783E-008</v>
      </c>
      <c r="AJ198" s="53" t="n">
        <f aca="false">AH198+10*LOG10(AB198)</f>
        <v>240.788420180096</v>
      </c>
    </row>
    <row r="199" customFormat="false" ht="12.75" hidden="false" customHeight="false" outlineLevel="0" collapsed="false">
      <c r="A199" s="50" t="n">
        <v>2010</v>
      </c>
      <c r="B199" s="43" t="n">
        <v>16.4</v>
      </c>
      <c r="C199" s="43" t="s">
        <v>139</v>
      </c>
      <c r="D199" s="50" t="s">
        <v>981</v>
      </c>
      <c r="E199" s="65" t="n">
        <v>0.065</v>
      </c>
      <c r="F199" s="45" t="s">
        <v>982</v>
      </c>
      <c r="G199" s="45" t="s">
        <v>983</v>
      </c>
      <c r="H199" s="45" t="s">
        <v>984</v>
      </c>
      <c r="I199" s="44" t="s">
        <v>985</v>
      </c>
      <c r="J199" s="46" t="str">
        <f aca="false">IF(I199&lt;&gt;"?", HYPERLINK(CONCATENATE("https://doi.org/",I199)), "")</f>
        <v>https://doi.org/10.1109/ISSCC.2010.5433930</v>
      </c>
      <c r="K199" s="45" t="s">
        <v>117</v>
      </c>
      <c r="L199" s="41"/>
      <c r="M199" s="41"/>
      <c r="N199" s="41"/>
      <c r="O199" s="34" t="s">
        <v>117</v>
      </c>
      <c r="P199" s="45" t="n">
        <v>0.07</v>
      </c>
      <c r="Q199" s="54"/>
      <c r="R199" s="48" t="n">
        <v>4500000</v>
      </c>
      <c r="S199" s="41" t="n">
        <v>77.8</v>
      </c>
      <c r="T199" s="41" t="n">
        <v>80</v>
      </c>
      <c r="U199" s="41"/>
      <c r="V199" s="41"/>
      <c r="W199" s="41"/>
      <c r="X199" s="49" t="n">
        <f aca="false">+IF(ISNUMBER($S199),$S199,MIN($V199,$T199,$U199,$W199))</f>
        <v>77.8</v>
      </c>
      <c r="Y199" s="48" t="n">
        <v>0.017</v>
      </c>
      <c r="Z199" s="48" t="n">
        <v>1150000000</v>
      </c>
      <c r="AA199" s="50" t="n">
        <v>127.777777777778</v>
      </c>
      <c r="AB199" s="48" t="n">
        <f aca="false">Z199/AA199</f>
        <v>9000000</v>
      </c>
      <c r="AC199" s="48"/>
      <c r="AD199" s="51" t="n">
        <f aca="false">Y199/AB199*1000000000000</f>
        <v>1888.88888888889</v>
      </c>
      <c r="AE199" s="49" t="str">
        <f aca="false">IF(ISNUMBER($Q199), $AD199*1000/2^(($Q199-1.76)/6.02), "")</f>
        <v/>
      </c>
      <c r="AF199" s="49" t="n">
        <f aca="false">$AD199*1000/2^(($X199-1.76)/6.02)</f>
        <v>297.733381426062</v>
      </c>
      <c r="AG199" s="31" t="str">
        <f aca="false">IF(ISNUMBER($Q199), $Q199+10*LOG10($AB199/2/$Y199), "")</f>
        <v/>
      </c>
      <c r="AH199" s="31" t="n">
        <f aca="false">$X199+10*LOG10($AB199/2/$Y199)</f>
        <v>162.027635923971</v>
      </c>
      <c r="AI199" s="52" t="n">
        <f aca="false">AF199/AB199</f>
        <v>3.3081486825118E-005</v>
      </c>
      <c r="AJ199" s="53" t="n">
        <f aca="false">AH199+10*LOG10(AB199)</f>
        <v>231.570061018364</v>
      </c>
    </row>
    <row r="200" customFormat="false" ht="12.75" hidden="false" customHeight="false" outlineLevel="0" collapsed="false">
      <c r="A200" s="50" t="n">
        <v>2010</v>
      </c>
      <c r="B200" s="43" t="n">
        <v>16.5</v>
      </c>
      <c r="C200" s="43" t="s">
        <v>111</v>
      </c>
      <c r="D200" s="50" t="s">
        <v>133</v>
      </c>
      <c r="E200" s="65" t="n">
        <v>0.09</v>
      </c>
      <c r="F200" s="45" t="s">
        <v>986</v>
      </c>
      <c r="G200" s="45" t="s">
        <v>987</v>
      </c>
      <c r="H200" s="45" t="s">
        <v>988</v>
      </c>
      <c r="I200" s="44" t="s">
        <v>989</v>
      </c>
      <c r="J200" s="46" t="str">
        <f aca="false">IF(I200&lt;&gt;"?", HYPERLINK(CONCATENATE("https://doi.org/",I200)), "")</f>
        <v>https://doi.org/10.1109/ISSCC.2010.5433927</v>
      </c>
      <c r="K200" s="45" t="s">
        <v>117</v>
      </c>
      <c r="L200" s="41" t="n">
        <v>1</v>
      </c>
      <c r="M200" s="41"/>
      <c r="N200" s="41"/>
      <c r="O200" s="34" t="s">
        <v>117</v>
      </c>
      <c r="P200" s="45" t="n">
        <v>0.0572</v>
      </c>
      <c r="Q200" s="54"/>
      <c r="R200" s="48" t="n">
        <f aca="false">+Z200/2</f>
        <v>50000000</v>
      </c>
      <c r="S200" s="41" t="n">
        <v>53.9</v>
      </c>
      <c r="T200" s="41" t="n">
        <v>54.4</v>
      </c>
      <c r="U200" s="41"/>
      <c r="V200" s="41"/>
      <c r="W200" s="41" t="n">
        <v>67.4</v>
      </c>
      <c r="X200" s="49" t="n">
        <f aca="false">+IF(ISNUMBER($S200),$S200,MIN($V200,$T200,$U200,$W200))</f>
        <v>53.9</v>
      </c>
      <c r="Y200" s="48" t="n">
        <f aca="false">0.0037+0.0008</f>
        <v>0.0045</v>
      </c>
      <c r="Z200" s="48" t="n">
        <v>100000000</v>
      </c>
      <c r="AA200" s="50" t="n">
        <v>1</v>
      </c>
      <c r="AB200" s="48" t="n">
        <f aca="false">Z200/AA200</f>
        <v>100000000</v>
      </c>
      <c r="AC200" s="48"/>
      <c r="AD200" s="51" t="n">
        <f aca="false">Y200/AB200*1000000000000</f>
        <v>45</v>
      </c>
      <c r="AE200" s="49" t="str">
        <f aca="false">IF(ISNUMBER($Q200), $AD200*1000/2^(($Q200-1.76)/6.02), "")</f>
        <v/>
      </c>
      <c r="AF200" s="49" t="n">
        <f aca="false">$AD200*1000/2^(($X200-1.76)/6.02)</f>
        <v>111.16106972905</v>
      </c>
      <c r="AG200" s="31" t="str">
        <f aca="false">IF(ISNUMBER($Q200), $Q200+10*LOG10($AB200/2/$Y200), "")</f>
        <v/>
      </c>
      <c r="AH200" s="31" t="n">
        <f aca="false">$X200+10*LOG10($AB200/2/$Y200)</f>
        <v>154.357574905607</v>
      </c>
      <c r="AI200" s="52" t="n">
        <f aca="false">AF200/AB200</f>
        <v>1.1116106972905E-006</v>
      </c>
      <c r="AJ200" s="53" t="n">
        <f aca="false">AH200+10*LOG10(AB200)</f>
        <v>234.357574905607</v>
      </c>
    </row>
    <row r="201" customFormat="false" ht="12.75" hidden="false" customHeight="false" outlineLevel="0" collapsed="false">
      <c r="A201" s="50" t="n">
        <v>2010</v>
      </c>
      <c r="B201" s="43" t="n">
        <v>16.6</v>
      </c>
      <c r="C201" s="43" t="s">
        <v>111</v>
      </c>
      <c r="D201" s="50" t="s">
        <v>798</v>
      </c>
      <c r="E201" s="65" t="n">
        <v>0.18</v>
      </c>
      <c r="F201" s="45" t="s">
        <v>990</v>
      </c>
      <c r="G201" s="45" t="s">
        <v>991</v>
      </c>
      <c r="H201" s="45" t="s">
        <v>992</v>
      </c>
      <c r="I201" s="44" t="s">
        <v>993</v>
      </c>
      <c r="J201" s="46" t="str">
        <f aca="false">IF(I201&lt;&gt;"?", HYPERLINK(CONCATENATE("https://doi.org/",I201)), "")</f>
        <v>https://doi.org/10.1109/ISSCC.2010.5433894</v>
      </c>
      <c r="K201" s="45" t="s">
        <v>117</v>
      </c>
      <c r="L201" s="41"/>
      <c r="M201" s="41"/>
      <c r="N201" s="41"/>
      <c r="O201" s="34" t="s">
        <v>117</v>
      </c>
      <c r="P201" s="45" t="n">
        <v>1.11</v>
      </c>
      <c r="Q201" s="54"/>
      <c r="R201" s="48" t="n">
        <f aca="false">+Z201/2</f>
        <v>5000000</v>
      </c>
      <c r="S201" s="41" t="n">
        <v>69.5</v>
      </c>
      <c r="T201" s="41" t="n">
        <v>69.6</v>
      </c>
      <c r="U201" s="41"/>
      <c r="V201" s="41"/>
      <c r="W201" s="41" t="n">
        <v>78.8</v>
      </c>
      <c r="X201" s="49" t="n">
        <f aca="false">+IF(ISNUMBER($S201),$S201,MIN($V201,$T201,$U201,$W201))</f>
        <v>69.5</v>
      </c>
      <c r="Y201" s="48" t="n">
        <f aca="false">0.0072+0.0012</f>
        <v>0.0084</v>
      </c>
      <c r="Z201" s="48" t="n">
        <v>10000000</v>
      </c>
      <c r="AA201" s="50" t="n">
        <v>1</v>
      </c>
      <c r="AB201" s="48" t="n">
        <f aca="false">Z201/AA201</f>
        <v>10000000</v>
      </c>
      <c r="AC201" s="48"/>
      <c r="AD201" s="51" t="n">
        <f aca="false">Y201/AB201*1000000000000</f>
        <v>840</v>
      </c>
      <c r="AE201" s="49" t="str">
        <f aca="false">IF(ISNUMBER($Q201), $AD201*1000/2^(($Q201-1.76)/6.02), "")</f>
        <v/>
      </c>
      <c r="AF201" s="49" t="n">
        <f aca="false">$AD201*1000/2^(($X201-1.76)/6.02)</f>
        <v>344.303755734615</v>
      </c>
      <c r="AG201" s="31" t="str">
        <f aca="false">IF(ISNUMBER($Q201), $Q201+10*LOG10($AB201/2/$Y201), "")</f>
        <v/>
      </c>
      <c r="AH201" s="31" t="n">
        <f aca="false">$X201+10*LOG10($AB201/2/$Y201)</f>
        <v>157.246907182741</v>
      </c>
      <c r="AI201" s="52" t="n">
        <f aca="false">AF201/AB201</f>
        <v>3.44303755734615E-005</v>
      </c>
      <c r="AJ201" s="53" t="n">
        <f aca="false">AH201+10*LOG10(AB201)</f>
        <v>227.246907182741</v>
      </c>
    </row>
    <row r="202" customFormat="false" ht="12.75" hidden="false" customHeight="false" outlineLevel="0" collapsed="false">
      <c r="A202" s="50" t="n">
        <v>2010</v>
      </c>
      <c r="B202" s="43" t="n">
        <v>21.1</v>
      </c>
      <c r="C202" s="43" t="s">
        <v>111</v>
      </c>
      <c r="D202" s="50" t="s">
        <v>994</v>
      </c>
      <c r="E202" s="65" t="n">
        <v>0.25</v>
      </c>
      <c r="F202" s="45" t="s">
        <v>995</v>
      </c>
      <c r="G202" s="45" t="s">
        <v>996</v>
      </c>
      <c r="H202" s="45" t="s">
        <v>997</v>
      </c>
      <c r="I202" s="44" t="s">
        <v>998</v>
      </c>
      <c r="J202" s="46" t="str">
        <f aca="false">IF(I202&lt;&gt;"?", HYPERLINK(CONCATENATE("https://doi.org/",I202)), "")</f>
        <v>https://doi.org/10.1109/ISSCC.2010.5433829</v>
      </c>
      <c r="K202" s="45" t="s">
        <v>999</v>
      </c>
      <c r="L202" s="41"/>
      <c r="M202" s="41"/>
      <c r="N202" s="41"/>
      <c r="O202" s="34" t="s">
        <v>117</v>
      </c>
      <c r="P202" s="45" t="n">
        <v>4.5</v>
      </c>
      <c r="Q202" s="54"/>
      <c r="R202" s="48" t="n">
        <f aca="false">+Z202/2</f>
        <v>6250000</v>
      </c>
      <c r="S202" s="41" t="n">
        <v>80</v>
      </c>
      <c r="T202" s="41" t="n">
        <v>85</v>
      </c>
      <c r="U202" s="41" t="n">
        <v>93</v>
      </c>
      <c r="V202" s="41"/>
      <c r="W202" s="41" t="n">
        <v>82</v>
      </c>
      <c r="X202" s="49" t="n">
        <f aca="false">+IF(ISNUMBER($S202),$S202,MIN($V202,$T202,$U202,$W202))</f>
        <v>80</v>
      </c>
      <c r="Y202" s="48" t="n">
        <v>0.105</v>
      </c>
      <c r="Z202" s="48" t="n">
        <v>12500000</v>
      </c>
      <c r="AA202" s="50" t="n">
        <v>1</v>
      </c>
      <c r="AB202" s="48" t="n">
        <f aca="false">Z202/AA202</f>
        <v>12500000</v>
      </c>
      <c r="AC202" s="48"/>
      <c r="AD202" s="51" t="n">
        <f aca="false">Y202/AB202*1000000000000</f>
        <v>8400</v>
      </c>
      <c r="AE202" s="49" t="str">
        <f aca="false">IF(ISNUMBER($Q202), $AD202*1000/2^(($Q202-1.76)/6.02), "")</f>
        <v/>
      </c>
      <c r="AF202" s="49" t="n">
        <f aca="false">$AD202*1000/2^(($X202-1.76)/6.02)</f>
        <v>1027.75463034239</v>
      </c>
      <c r="AG202" s="31" t="str">
        <f aca="false">IF(ISNUMBER($Q202), $Q202+10*LOG10($AB202/2/$Y202), "")</f>
        <v/>
      </c>
      <c r="AH202" s="31" t="n">
        <f aca="false">$X202+10*LOG10($AB202/2/$Y202)</f>
        <v>157.746907182741</v>
      </c>
      <c r="AI202" s="52" t="n">
        <f aca="false">AF202/AB202</f>
        <v>8.22203704273914E-005</v>
      </c>
      <c r="AJ202" s="53" t="n">
        <f aca="false">AH202+10*LOG10(AB202)</f>
        <v>228.716007312822</v>
      </c>
    </row>
    <row r="203" customFormat="false" ht="12.75" hidden="false" customHeight="false" outlineLevel="0" collapsed="false">
      <c r="A203" s="50" t="n">
        <v>2010</v>
      </c>
      <c r="B203" s="43" t="n">
        <v>21.2</v>
      </c>
      <c r="C203" s="43" t="s">
        <v>111</v>
      </c>
      <c r="D203" s="50" t="s">
        <v>112</v>
      </c>
      <c r="E203" s="65" t="n">
        <v>0.13</v>
      </c>
      <c r="F203" s="45" t="s">
        <v>1000</v>
      </c>
      <c r="G203" s="45" t="s">
        <v>1001</v>
      </c>
      <c r="H203" s="45" t="s">
        <v>1002</v>
      </c>
      <c r="I203" s="44" t="s">
        <v>1003</v>
      </c>
      <c r="J203" s="46" t="str">
        <f aca="false">IF(I203&lt;&gt;"?", HYPERLINK(CONCATENATE("https://doi.org/",I203)), "")</f>
        <v>https://doi.org/10.1109/ISSCC.2010.5433830</v>
      </c>
      <c r="K203" s="45" t="s">
        <v>117</v>
      </c>
      <c r="L203" s="41" t="n">
        <v>1.2</v>
      </c>
      <c r="M203" s="41"/>
      <c r="N203" s="41"/>
      <c r="O203" s="34" t="s">
        <v>117</v>
      </c>
      <c r="P203" s="45" t="n">
        <v>0.059</v>
      </c>
      <c r="Q203" s="54"/>
      <c r="R203" s="48" t="n">
        <f aca="false">+Z203/2</f>
        <v>22500000</v>
      </c>
      <c r="S203" s="41" t="n">
        <v>67.09</v>
      </c>
      <c r="T203" s="41"/>
      <c r="U203" s="41"/>
      <c r="V203" s="41"/>
      <c r="W203" s="41" t="n">
        <v>84.71</v>
      </c>
      <c r="X203" s="49" t="n">
        <f aca="false">+IF(ISNUMBER($S203),$S203,MIN($V203,$T203,$U203,$W203))</f>
        <v>67.09</v>
      </c>
      <c r="Y203" s="48" t="n">
        <f aca="false">0.00161+0.00121+0.0002</f>
        <v>0.00302</v>
      </c>
      <c r="Z203" s="48" t="n">
        <v>45000000</v>
      </c>
      <c r="AA203" s="50" t="n">
        <v>1</v>
      </c>
      <c r="AB203" s="48" t="n">
        <f aca="false">Z203/AA203</f>
        <v>45000000</v>
      </c>
      <c r="AC203" s="48"/>
      <c r="AD203" s="51" t="n">
        <f aca="false">Y203/AB203*1000000000000</f>
        <v>67.1111111111111</v>
      </c>
      <c r="AE203" s="49" t="str">
        <f aca="false">IF(ISNUMBER($Q203), $AD203*1000/2^(($Q203-1.76)/6.02), "")</f>
        <v/>
      </c>
      <c r="AF203" s="49" t="n">
        <f aca="false">$AD203*1000/2^(($X203-1.76)/6.02)</f>
        <v>36.3052065111761</v>
      </c>
      <c r="AG203" s="31" t="str">
        <f aca="false">IF(ISNUMBER($Q203), $Q203+10*LOG10($AB203/2/$Y203), "")</f>
        <v/>
      </c>
      <c r="AH203" s="31" t="n">
        <f aca="false">$X203+10*LOG10($AB203/2/$Y203)</f>
        <v>165.811755751542</v>
      </c>
      <c r="AI203" s="52" t="n">
        <f aca="false">AF203/AB203</f>
        <v>8.06782366915025E-007</v>
      </c>
      <c r="AJ203" s="53" t="n">
        <f aca="false">AH203+10*LOG10(AB203)</f>
        <v>242.343880889296</v>
      </c>
    </row>
    <row r="204" customFormat="false" ht="12.75" hidden="false" customHeight="false" outlineLevel="0" collapsed="false">
      <c r="A204" s="50" t="n">
        <v>2010</v>
      </c>
      <c r="B204" s="43" t="n">
        <v>21.3</v>
      </c>
      <c r="C204" s="43" t="s">
        <v>111</v>
      </c>
      <c r="D204" s="50" t="s">
        <v>994</v>
      </c>
      <c r="E204" s="65" t="n">
        <v>0.065</v>
      </c>
      <c r="F204" s="45" t="s">
        <v>1004</v>
      </c>
      <c r="G204" s="45" t="s">
        <v>1005</v>
      </c>
      <c r="H204" s="45" t="s">
        <v>1006</v>
      </c>
      <c r="I204" s="44" t="s">
        <v>1007</v>
      </c>
      <c r="J204" s="46" t="str">
        <f aca="false">IF(I204&lt;&gt;"?", HYPERLINK(CONCATENATE("https://doi.org/",I204)), "")</f>
        <v>https://doi.org/10.1109/ISSCC.2010.5433968</v>
      </c>
      <c r="K204" s="45" t="s">
        <v>117</v>
      </c>
      <c r="L204" s="41"/>
      <c r="M204" s="41"/>
      <c r="N204" s="41"/>
      <c r="O204" s="34" t="s">
        <v>117</v>
      </c>
      <c r="P204" s="45" t="n">
        <v>0.0585</v>
      </c>
      <c r="Q204" s="54"/>
      <c r="R204" s="48" t="n">
        <f aca="false">+Z204/2</f>
        <v>20000000</v>
      </c>
      <c r="S204" s="41" t="n">
        <v>52.5</v>
      </c>
      <c r="T204" s="41"/>
      <c r="U204" s="41"/>
      <c r="V204" s="41"/>
      <c r="W204" s="41" t="n">
        <v>63</v>
      </c>
      <c r="X204" s="49" t="n">
        <f aca="false">+IF(ISNUMBER($S204),$S204,MIN($V204,$T204,$U204,$W204))</f>
        <v>52.5</v>
      </c>
      <c r="Y204" s="48" t="n">
        <f aca="false">0.0006+0.00061</f>
        <v>0.00121</v>
      </c>
      <c r="Z204" s="48" t="n">
        <v>40000000</v>
      </c>
      <c r="AA204" s="50" t="n">
        <v>1</v>
      </c>
      <c r="AB204" s="48" t="n">
        <f aca="false">Z204/AA204</f>
        <v>40000000</v>
      </c>
      <c r="AC204" s="48"/>
      <c r="AD204" s="51" t="n">
        <f aca="false">Y204/AB204*1000000000000</f>
        <v>30.25</v>
      </c>
      <c r="AE204" s="49" t="str">
        <f aca="false">IF(ISNUMBER($Q204), $AD204*1000/2^(($Q204-1.76)/6.02), "")</f>
        <v/>
      </c>
      <c r="AF204" s="49" t="n">
        <f aca="false">$AD204*1000/2^(($X204-1.76)/6.02)</f>
        <v>87.7955610281107</v>
      </c>
      <c r="AG204" s="31" t="str">
        <f aca="false">IF(ISNUMBER($Q204), $Q204+10*LOG10($AB204/2/$Y204), "")</f>
        <v/>
      </c>
      <c r="AH204" s="31" t="n">
        <f aca="false">$X204+10*LOG10($AB204/2/$Y204)</f>
        <v>154.682446253475</v>
      </c>
      <c r="AI204" s="52" t="n">
        <f aca="false">AF204/AB204</f>
        <v>2.19488902570277E-006</v>
      </c>
      <c r="AJ204" s="53" t="n">
        <f aca="false">AH204+10*LOG10(AB204)</f>
        <v>230.703046166755</v>
      </c>
    </row>
    <row r="205" customFormat="false" ht="12.75" hidden="false" customHeight="false" outlineLevel="0" collapsed="false">
      <c r="A205" s="50" t="n">
        <v>2010</v>
      </c>
      <c r="B205" s="43" t="n">
        <v>21.4</v>
      </c>
      <c r="C205" s="43" t="s">
        <v>111</v>
      </c>
      <c r="D205" s="50" t="s">
        <v>112</v>
      </c>
      <c r="E205" s="65" t="n">
        <v>0.065</v>
      </c>
      <c r="F205" s="45" t="s">
        <v>1008</v>
      </c>
      <c r="G205" s="45" t="s">
        <v>1009</v>
      </c>
      <c r="H205" s="45" t="s">
        <v>1010</v>
      </c>
      <c r="I205" s="44" t="s">
        <v>1011</v>
      </c>
      <c r="J205" s="46" t="str">
        <f aca="false">IF(I205&lt;&gt;"?", HYPERLINK(CONCATENATE("https://doi.org/",I205)), "")</f>
        <v>https://doi.org/10.1109/ISSCC.2010.5433965</v>
      </c>
      <c r="K205" s="45" t="s">
        <v>117</v>
      </c>
      <c r="L205" s="41" t="n">
        <v>1</v>
      </c>
      <c r="M205" s="41"/>
      <c r="N205" s="41"/>
      <c r="O205" s="34" t="s">
        <v>117</v>
      </c>
      <c r="P205" s="45" t="n">
        <v>0.039</v>
      </c>
      <c r="Q205" s="54"/>
      <c r="R205" s="48" t="n">
        <f aca="false">+Z205/2</f>
        <v>25000000</v>
      </c>
      <c r="S205" s="41" t="n">
        <v>56.6</v>
      </c>
      <c r="T205" s="41"/>
      <c r="U205" s="41"/>
      <c r="V205" s="41"/>
      <c r="W205" s="41"/>
      <c r="X205" s="49" t="n">
        <f aca="false">+IF(ISNUMBER($S205),$S205,MIN($V205,$T205,$U205,$W205))</f>
        <v>56.6</v>
      </c>
      <c r="Y205" s="48" t="n">
        <f aca="false">0.00045+0.00037</f>
        <v>0.00082</v>
      </c>
      <c r="Z205" s="48" t="n">
        <v>50000000</v>
      </c>
      <c r="AA205" s="50" t="n">
        <v>1</v>
      </c>
      <c r="AB205" s="48" t="n">
        <f aca="false">Z205/AA205</f>
        <v>50000000</v>
      </c>
      <c r="AC205" s="48"/>
      <c r="AD205" s="51" t="n">
        <f aca="false">Y205/AB205*1000000000000</f>
        <v>16.4</v>
      </c>
      <c r="AE205" s="49" t="str">
        <f aca="false">IF(ISNUMBER($Q205), $AD205*1000/2^(($Q205-1.76)/6.02), "")</f>
        <v/>
      </c>
      <c r="AF205" s="49" t="n">
        <f aca="false">$AD205*1000/2^(($X205-1.76)/6.02)</f>
        <v>29.6872929813886</v>
      </c>
      <c r="AG205" s="31" t="str">
        <f aca="false">IF(ISNUMBER($Q205), $Q205+10*LOG10($AB205/2/$Y205), "")</f>
        <v/>
      </c>
      <c r="AH205" s="31" t="n">
        <f aca="false">$X205+10*LOG10($AB205/2/$Y205)</f>
        <v>161.441261562883</v>
      </c>
      <c r="AI205" s="52" t="n">
        <f aca="false">AF205/AB205</f>
        <v>5.93745859627771E-007</v>
      </c>
      <c r="AJ205" s="53" t="n">
        <f aca="false">AH205+10*LOG10(AB205)</f>
        <v>238.430961606243</v>
      </c>
    </row>
    <row r="206" customFormat="false" ht="12.75" hidden="false" customHeight="false" outlineLevel="0" collapsed="false">
      <c r="A206" s="50" t="n">
        <v>2010</v>
      </c>
      <c r="B206" s="43" t="n">
        <v>21.5</v>
      </c>
      <c r="C206" s="43" t="s">
        <v>111</v>
      </c>
      <c r="D206" s="50" t="s">
        <v>112</v>
      </c>
      <c r="E206" s="65" t="n">
        <v>0.065</v>
      </c>
      <c r="F206" s="45" t="s">
        <v>1012</v>
      </c>
      <c r="G206" s="45" t="s">
        <v>1013</v>
      </c>
      <c r="H206" s="45" t="s">
        <v>1014</v>
      </c>
      <c r="I206" s="44" t="s">
        <v>1015</v>
      </c>
      <c r="J206" s="46" t="str">
        <f aca="false">IF(I206&lt;&gt;"?", HYPERLINK(CONCATENATE("https://doi.org/",I206)), "")</f>
        <v>https://doi.org/10.1109/ISSCC.2010.5433970</v>
      </c>
      <c r="K206" s="45" t="s">
        <v>117</v>
      </c>
      <c r="L206" s="41" t="n">
        <v>1.2</v>
      </c>
      <c r="M206" s="41"/>
      <c r="N206" s="41"/>
      <c r="O206" s="34" t="s">
        <v>117</v>
      </c>
      <c r="P206" s="45" t="n">
        <v>0.0256</v>
      </c>
      <c r="Q206" s="54"/>
      <c r="R206" s="48" t="n">
        <f aca="false">+Z206/2</f>
        <v>50000000</v>
      </c>
      <c r="S206" s="41" t="n">
        <v>56</v>
      </c>
      <c r="T206" s="41"/>
      <c r="U206" s="41"/>
      <c r="V206" s="41"/>
      <c r="W206" s="41" t="n">
        <v>66.9</v>
      </c>
      <c r="X206" s="49" t="n">
        <f aca="false">+IF(ISNUMBER($S206),$S206,MIN($V206,$T206,$U206,$W206))</f>
        <v>56</v>
      </c>
      <c r="Y206" s="48" t="n">
        <f aca="false">0.00037+0.00046+0.0003</f>
        <v>0.00113</v>
      </c>
      <c r="Z206" s="48" t="n">
        <v>100000000</v>
      </c>
      <c r="AA206" s="50" t="n">
        <v>1</v>
      </c>
      <c r="AB206" s="48" t="n">
        <f aca="false">Z206/AA206</f>
        <v>100000000</v>
      </c>
      <c r="AC206" s="48"/>
      <c r="AD206" s="51" t="n">
        <f aca="false">Y206/AB206*1000000000000</f>
        <v>11.3</v>
      </c>
      <c r="AE206" s="49" t="str">
        <f aca="false">IF(ISNUMBER($Q206), $AD206*1000/2^(($Q206-1.76)/6.02), "")</f>
        <v/>
      </c>
      <c r="AF206" s="49" t="n">
        <f aca="false">$AD206*1000/2^(($X206-1.76)/6.02)</f>
        <v>21.9183664492211</v>
      </c>
      <c r="AG206" s="31" t="str">
        <f aca="false">IF(ISNUMBER($Q206), $Q206+10*LOG10($AB206/2/$Y206), "")</f>
        <v/>
      </c>
      <c r="AH206" s="31" t="n">
        <f aca="false">$X206+10*LOG10($AB206/2/$Y206)</f>
        <v>162.458915608526</v>
      </c>
      <c r="AI206" s="52" t="n">
        <f aca="false">AF206/AB206</f>
        <v>2.19183664492211E-007</v>
      </c>
      <c r="AJ206" s="53" t="n">
        <f aca="false">AH206+10*LOG10(AB206)</f>
        <v>242.458915608526</v>
      </c>
    </row>
    <row r="207" customFormat="false" ht="12.75" hidden="false" customHeight="false" outlineLevel="0" collapsed="false">
      <c r="A207" s="50" t="n">
        <v>2010</v>
      </c>
      <c r="B207" s="43" t="n">
        <v>21.6</v>
      </c>
      <c r="C207" s="43" t="s">
        <v>111</v>
      </c>
      <c r="D207" s="50" t="s">
        <v>112</v>
      </c>
      <c r="E207" s="65" t="n">
        <v>0.09</v>
      </c>
      <c r="F207" s="45" t="s">
        <v>1016</v>
      </c>
      <c r="G207" s="45" t="s">
        <v>1017</v>
      </c>
      <c r="H207" s="45" t="s">
        <v>1018</v>
      </c>
      <c r="I207" s="44" t="s">
        <v>1019</v>
      </c>
      <c r="J207" s="46" t="str">
        <f aca="false">IF(I207&lt;&gt;"?", HYPERLINK(CONCATENATE("https://doi.org/",I207)), "")</f>
        <v>https://doi.org/10.1109/ISSCC.2010.5433967</v>
      </c>
      <c r="K207" s="45" t="s">
        <v>117</v>
      </c>
      <c r="L207" s="41" t="n">
        <v>1</v>
      </c>
      <c r="M207" s="41"/>
      <c r="N207" s="41"/>
      <c r="O207" s="34" t="s">
        <v>117</v>
      </c>
      <c r="P207" s="45" t="n">
        <v>0.07</v>
      </c>
      <c r="Q207" s="54"/>
      <c r="R207" s="48" t="n">
        <f aca="false">+Z207/2</f>
        <v>5120000</v>
      </c>
      <c r="S207" s="41" t="n">
        <v>48.4</v>
      </c>
      <c r="T207" s="41"/>
      <c r="U207" s="41"/>
      <c r="V207" s="41"/>
      <c r="W207" s="41"/>
      <c r="X207" s="49" t="n">
        <f aca="false">+IF(ISNUMBER($S207),$S207,MIN($V207,$T207,$U207,$W207))</f>
        <v>48.4</v>
      </c>
      <c r="Y207" s="48" t="n">
        <v>6.9E-005</v>
      </c>
      <c r="Z207" s="48" t="n">
        <v>10240000</v>
      </c>
      <c r="AA207" s="50" t="n">
        <v>1</v>
      </c>
      <c r="AB207" s="48" t="n">
        <f aca="false">Z207/AA207</f>
        <v>10240000</v>
      </c>
      <c r="AC207" s="48"/>
      <c r="AD207" s="51" t="n">
        <f aca="false">Y207/AB207*1000000000000</f>
        <v>6.73828125</v>
      </c>
      <c r="AE207" s="49" t="str">
        <f aca="false">IF(ISNUMBER($Q207), $AD207*1000/2^(($Q207-1.76)/6.02), "")</f>
        <v/>
      </c>
      <c r="AF207" s="49" t="n">
        <f aca="false">$AD207*1000/2^(($X207-1.76)/6.02)</f>
        <v>31.3557174591612</v>
      </c>
      <c r="AG207" s="31" t="str">
        <f aca="false">IF(ISNUMBER($Q207), $Q207+10*LOG10($AB207/2/$Y207), "")</f>
        <v/>
      </c>
      <c r="AH207" s="31" t="n">
        <f aca="false">$X207+10*LOG10($AB207/2/$Y207)</f>
        <v>157.104208702386</v>
      </c>
      <c r="AI207" s="52" t="n">
        <f aca="false">AF207/AB207</f>
        <v>3.06208178312121E-006</v>
      </c>
      <c r="AJ207" s="53" t="n">
        <f aca="false">AH207+10*LOG10(AB207)</f>
        <v>227.207208268784</v>
      </c>
    </row>
    <row r="208" customFormat="false" ht="12.75" hidden="false" customHeight="false" outlineLevel="0" collapsed="false">
      <c r="A208" s="50" t="n">
        <v>2010</v>
      </c>
      <c r="B208" s="43" t="n">
        <v>21.7</v>
      </c>
      <c r="C208" s="43" t="s">
        <v>111</v>
      </c>
      <c r="D208" s="50" t="s">
        <v>548</v>
      </c>
      <c r="E208" s="65" t="n">
        <v>0.065</v>
      </c>
      <c r="F208" s="45" t="s">
        <v>1020</v>
      </c>
      <c r="G208" s="45" t="s">
        <v>1021</v>
      </c>
      <c r="H208" s="45" t="s">
        <v>1022</v>
      </c>
      <c r="I208" s="44" t="s">
        <v>1023</v>
      </c>
      <c r="J208" s="46" t="str">
        <f aca="false">IF(I208&lt;&gt;"?", HYPERLINK(CONCATENATE("https://doi.org/",I208)), "")</f>
        <v>https://doi.org/10.1109/ISSCC.2010.5433972</v>
      </c>
      <c r="K208" s="45" t="s">
        <v>117</v>
      </c>
      <c r="L208" s="41"/>
      <c r="M208" s="41"/>
      <c r="N208" s="41"/>
      <c r="O208" s="34" t="s">
        <v>117</v>
      </c>
      <c r="P208" s="45" t="n">
        <v>16</v>
      </c>
      <c r="Q208" s="54" t="n">
        <f aca="false">5.5*6.02+1.76</f>
        <v>34.87</v>
      </c>
      <c r="R208" s="48" t="n">
        <v>18000000000</v>
      </c>
      <c r="S208" s="41" t="n">
        <f aca="false">3.9*6.02+1.76</f>
        <v>25.238</v>
      </c>
      <c r="T208" s="41"/>
      <c r="U208" s="41"/>
      <c r="V208" s="41"/>
      <c r="W208" s="41" t="n">
        <v>35</v>
      </c>
      <c r="X208" s="49" t="n">
        <f aca="false">+IF(ISNUMBER($S208),$S208,MIN($V208,$T208,$U208,$W208))</f>
        <v>25.238</v>
      </c>
      <c r="Y208" s="48" t="n">
        <v>1.5</v>
      </c>
      <c r="Z208" s="48" t="n">
        <v>40000000000</v>
      </c>
      <c r="AA208" s="50" t="n">
        <v>1</v>
      </c>
      <c r="AB208" s="48" t="n">
        <f aca="false">Z208/AA208</f>
        <v>40000000000</v>
      </c>
      <c r="AC208" s="48"/>
      <c r="AD208" s="51" t="n">
        <f aca="false">Y208/AB208*1000000000000</f>
        <v>37.5</v>
      </c>
      <c r="AE208" s="49" t="n">
        <f aca="false">IF(ISNUMBER($Q208), $AD208*1000/2^(($Q208-1.76)/6.02), "")</f>
        <v>828.640759202985</v>
      </c>
      <c r="AF208" s="49" t="n">
        <f aca="false">$AD208*1000/2^(($X208-1.76)/6.02)</f>
        <v>2511.96905281944</v>
      </c>
      <c r="AG208" s="31" t="n">
        <f aca="false">IF(ISNUMBER($Q208), $Q208+10*LOG10($AB208/2/$Y208), "")</f>
        <v>136.119387366083</v>
      </c>
      <c r="AH208" s="31" t="n">
        <f aca="false">$X208+10*LOG10($AB208/2/$Y208)</f>
        <v>126.487387366083</v>
      </c>
      <c r="AI208" s="52" t="n">
        <f aca="false">AF208/AB208</f>
        <v>6.27992263204859E-008</v>
      </c>
      <c r="AJ208" s="53" t="n">
        <f aca="false">AH208+10*LOG10(AB208)</f>
        <v>232.507987279363</v>
      </c>
    </row>
    <row r="209" customFormat="false" ht="12.75" hidden="false" customHeight="false" outlineLevel="0" collapsed="false">
      <c r="A209" s="40" t="n">
        <v>2011</v>
      </c>
      <c r="B209" s="43" t="n">
        <v>10.1</v>
      </c>
      <c r="C209" s="43" t="s">
        <v>111</v>
      </c>
      <c r="D209" s="50" t="s">
        <v>548</v>
      </c>
      <c r="E209" s="65" t="n">
        <v>0.065</v>
      </c>
      <c r="F209" s="59" t="s">
        <v>1024</v>
      </c>
      <c r="G209" s="70" t="s">
        <v>1025</v>
      </c>
      <c r="H209" s="57" t="s">
        <v>1026</v>
      </c>
      <c r="I209" s="44" t="s">
        <v>1027</v>
      </c>
      <c r="J209" s="46" t="str">
        <f aca="false">IF(I209&lt;&gt;"?", HYPERLINK(CONCATENATE("https://doi.org/",I209)), "")</f>
        <v>https://doi.org/10.1109/ISSCC.2011.5746272</v>
      </c>
      <c r="K209" s="55" t="s">
        <v>117</v>
      </c>
      <c r="L209" s="41"/>
      <c r="M209" s="41"/>
      <c r="N209" s="41"/>
      <c r="O209" s="34" t="s">
        <v>117</v>
      </c>
      <c r="P209" s="45" t="n">
        <v>5.1</v>
      </c>
      <c r="Q209" s="54"/>
      <c r="R209" s="48" t="n">
        <f aca="false">AB209/2</f>
        <v>1300000000</v>
      </c>
      <c r="S209" s="41" t="n">
        <v>48.5</v>
      </c>
      <c r="T209" s="41" t="n">
        <v>52</v>
      </c>
      <c r="U209" s="41"/>
      <c r="V209" s="45" t="n">
        <v>58</v>
      </c>
      <c r="W209" s="41" t="n">
        <v>53.8</v>
      </c>
      <c r="X209" s="49" t="n">
        <f aca="false">+IF(ISNUMBER($S209),$S209,MIN($V209,$T209,$U209,$W209))</f>
        <v>48.5</v>
      </c>
      <c r="Y209" s="48" t="n">
        <v>0.48</v>
      </c>
      <c r="Z209" s="71" t="n">
        <v>2600000000</v>
      </c>
      <c r="AA209" s="43" t="n">
        <v>1</v>
      </c>
      <c r="AB209" s="48" t="n">
        <f aca="false">Z209/AA209</f>
        <v>2600000000</v>
      </c>
      <c r="AC209" s="48"/>
      <c r="AD209" s="51" t="n">
        <f aca="false">Y209/AB209*1000000000000</f>
        <v>184.615384615385</v>
      </c>
      <c r="AE209" s="49" t="str">
        <f aca="false">IF(ISNUMBER($Q209), $AD209*1000/2^(($Q209-1.76)/6.02), "")</f>
        <v/>
      </c>
      <c r="AF209" s="49" t="n">
        <f aca="false">$AD209*1000/2^(($X209-1.76)/6.02)</f>
        <v>849.248912641894</v>
      </c>
      <c r="AG209" s="31" t="str">
        <f aca="false">IF(ISNUMBER($Q209), $Q209+10*LOG10($AB209/2/$Y209), "")</f>
        <v/>
      </c>
      <c r="AH209" s="31" t="n">
        <f aca="false">$X209+10*LOG10($AB209/2/$Y209)</f>
        <v>142.827021149313</v>
      </c>
      <c r="AI209" s="52" t="n">
        <f aca="false">AF209/AB209</f>
        <v>3.26634197169959E-007</v>
      </c>
      <c r="AJ209" s="53" t="n">
        <f aca="false">AH209+10*LOG10(AB209)</f>
        <v>236.976754629021</v>
      </c>
    </row>
    <row r="210" customFormat="false" ht="12.75" hidden="false" customHeight="false" outlineLevel="0" collapsed="false">
      <c r="A210" s="50" t="n">
        <v>2011</v>
      </c>
      <c r="B210" s="43" t="n">
        <v>10.2</v>
      </c>
      <c r="C210" s="43" t="s">
        <v>111</v>
      </c>
      <c r="D210" s="50" t="s">
        <v>191</v>
      </c>
      <c r="E210" s="69" t="s">
        <v>966</v>
      </c>
      <c r="F210" s="59" t="s">
        <v>1028</v>
      </c>
      <c r="G210" s="57" t="s">
        <v>1029</v>
      </c>
      <c r="H210" s="57" t="s">
        <v>1030</v>
      </c>
      <c r="I210" s="44" t="s">
        <v>1031</v>
      </c>
      <c r="J210" s="46" t="str">
        <f aca="false">IF(I210&lt;&gt;"?", HYPERLINK(CONCATENATE("https://doi.org/",I210)), "")</f>
        <v>https://doi.org/10.1109/ISSCC.2011.5746273</v>
      </c>
      <c r="K210" s="55" t="s">
        <v>117</v>
      </c>
      <c r="L210" s="41"/>
      <c r="M210" s="41"/>
      <c r="N210" s="41"/>
      <c r="O210" s="34" t="s">
        <v>117</v>
      </c>
      <c r="P210" s="45" t="n">
        <v>2.35</v>
      </c>
      <c r="Q210" s="54"/>
      <c r="R210" s="48" t="n">
        <f aca="false">AB210/2</f>
        <v>500000000</v>
      </c>
      <c r="S210" s="41"/>
      <c r="T210" s="41" t="n">
        <v>59</v>
      </c>
      <c r="U210" s="41"/>
      <c r="V210" s="45"/>
      <c r="W210" s="41" t="n">
        <v>67</v>
      </c>
      <c r="X210" s="49" t="n">
        <f aca="false">+IF(ISNUMBER($S210),$S210,MIN($V210,$T210,$U210,$W210))</f>
        <v>59</v>
      </c>
      <c r="Y210" s="48" t="n">
        <v>0.575</v>
      </c>
      <c r="Z210" s="71" t="n">
        <v>1000000000</v>
      </c>
      <c r="AA210" s="43" t="n">
        <v>1</v>
      </c>
      <c r="AB210" s="48" t="n">
        <f aca="false">Z210/AA210</f>
        <v>1000000000</v>
      </c>
      <c r="AC210" s="48"/>
      <c r="AD210" s="51" t="n">
        <f aca="false">Y210/AB210*1000000000000</f>
        <v>575</v>
      </c>
      <c r="AE210" s="49" t="str">
        <f aca="false">IF(ISNUMBER($Q210), $AD210*1000/2^(($Q210-1.76)/6.02), "")</f>
        <v/>
      </c>
      <c r="AF210" s="49" t="n">
        <f aca="false">$AD210*1000/2^(($X210-1.76)/6.02)</f>
        <v>789.555451991032</v>
      </c>
      <c r="AG210" s="31" t="str">
        <f aca="false">IF(ISNUMBER($Q210), $Q210+10*LOG10($AB210/2/$Y210), "")</f>
        <v/>
      </c>
      <c r="AH210" s="31" t="n">
        <f aca="false">$X210+10*LOG10($AB210/2/$Y210)</f>
        <v>148.393021596464</v>
      </c>
      <c r="AI210" s="52" t="n">
        <f aca="false">AF210/AB210</f>
        <v>7.89555451991033E-007</v>
      </c>
      <c r="AJ210" s="53" t="n">
        <f aca="false">AH210+10*LOG10(AB210)</f>
        <v>238.393021596464</v>
      </c>
    </row>
    <row r="211" customFormat="false" ht="12.75" hidden="false" customHeight="false" outlineLevel="0" collapsed="false">
      <c r="A211" s="50" t="n">
        <v>2011</v>
      </c>
      <c r="B211" s="43" t="n">
        <v>10.3</v>
      </c>
      <c r="C211" s="43" t="s">
        <v>111</v>
      </c>
      <c r="D211" s="50" t="s">
        <v>191</v>
      </c>
      <c r="E211" s="65" t="n">
        <v>0.04</v>
      </c>
      <c r="F211" s="72" t="s">
        <v>1032</v>
      </c>
      <c r="G211" s="57" t="s">
        <v>1033</v>
      </c>
      <c r="H211" s="57" t="s">
        <v>1034</v>
      </c>
      <c r="I211" s="44" t="s">
        <v>1035</v>
      </c>
      <c r="J211" s="46" t="str">
        <f aca="false">IF(I211&lt;&gt;"?", HYPERLINK(CONCATENATE("https://doi.org/",I211)), "")</f>
        <v>https://doi.org/10.1109/ISSCC.2011.5746274</v>
      </c>
      <c r="K211" s="55" t="s">
        <v>1036</v>
      </c>
      <c r="L211" s="41"/>
      <c r="M211" s="41"/>
      <c r="N211" s="41"/>
      <c r="O211" s="34" t="s">
        <v>117</v>
      </c>
      <c r="P211" s="45" t="n">
        <v>0.88</v>
      </c>
      <c r="Q211" s="54"/>
      <c r="R211" s="48" t="n">
        <f aca="false">AB211/2</f>
        <v>400000000</v>
      </c>
      <c r="S211" s="41" t="n">
        <v>59</v>
      </c>
      <c r="T211" s="41"/>
      <c r="U211" s="41"/>
      <c r="V211" s="45"/>
      <c r="W211" s="41" t="n">
        <v>70</v>
      </c>
      <c r="X211" s="49" t="n">
        <f aca="false">+IF(ISNUMBER($S211),$S211,MIN($V211,$T211,$U211,$W211))</f>
        <v>59</v>
      </c>
      <c r="Y211" s="48" t="n">
        <v>0.105</v>
      </c>
      <c r="Z211" s="71" t="n">
        <v>800000000</v>
      </c>
      <c r="AA211" s="43" t="n">
        <v>1</v>
      </c>
      <c r="AB211" s="48" t="n">
        <f aca="false">Z211/AA211</f>
        <v>800000000</v>
      </c>
      <c r="AC211" s="48"/>
      <c r="AD211" s="51" t="n">
        <f aca="false">Y211/AB211*1000000000000</f>
        <v>131.25</v>
      </c>
      <c r="AE211" s="49" t="str">
        <f aca="false">IF(ISNUMBER($Q211), $AD211*1000/2^(($Q211-1.76)/6.02), "")</f>
        <v/>
      </c>
      <c r="AF211" s="49" t="n">
        <f aca="false">$AD211*1000/2^(($X211-1.76)/6.02)</f>
        <v>180.224614041431</v>
      </c>
      <c r="AG211" s="31" t="str">
        <f aca="false">IF(ISNUMBER($Q211), $Q211+10*LOG10($AB211/2/$Y211), "")</f>
        <v/>
      </c>
      <c r="AH211" s="31" t="n">
        <f aca="false">$X211+10*LOG10($AB211/2/$Y211)</f>
        <v>154.80870692258</v>
      </c>
      <c r="AI211" s="52" t="n">
        <f aca="false">AF211/AB211</f>
        <v>2.25280767551789E-007</v>
      </c>
      <c r="AJ211" s="53" t="n">
        <f aca="false">AH211+10*LOG10(AB211)</f>
        <v>243.8396067925</v>
      </c>
    </row>
    <row r="212" customFormat="false" ht="12.75" hidden="false" customHeight="false" outlineLevel="0" collapsed="false">
      <c r="A212" s="50" t="n">
        <v>2011</v>
      </c>
      <c r="B212" s="43" t="n">
        <v>10.4</v>
      </c>
      <c r="C212" s="43" t="s">
        <v>111</v>
      </c>
      <c r="D212" s="50" t="s">
        <v>133</v>
      </c>
      <c r="E212" s="65" t="n">
        <v>0.18</v>
      </c>
      <c r="F212" s="59" t="s">
        <v>1037</v>
      </c>
      <c r="G212" s="57" t="s">
        <v>1038</v>
      </c>
      <c r="H212" s="57" t="s">
        <v>1039</v>
      </c>
      <c r="I212" s="44" t="s">
        <v>1040</v>
      </c>
      <c r="J212" s="46" t="str">
        <f aca="false">IF(I212&lt;&gt;"?", HYPERLINK(CONCATENATE("https://doi.org/",I212)), "")</f>
        <v>https://doi.org/10.1109/ISSCC.2011.5746275</v>
      </c>
      <c r="K212" s="55" t="s">
        <v>117</v>
      </c>
      <c r="L212" s="41"/>
      <c r="M212" s="41"/>
      <c r="N212" s="41"/>
      <c r="O212" s="34" t="s">
        <v>117</v>
      </c>
      <c r="P212" s="45" t="n">
        <v>9.9</v>
      </c>
      <c r="Q212" s="54"/>
      <c r="R212" s="48" t="n">
        <f aca="false">AB212/2</f>
        <v>40000000</v>
      </c>
      <c r="S212" s="41" t="n">
        <v>75</v>
      </c>
      <c r="T212" s="41" t="n">
        <v>77</v>
      </c>
      <c r="U212" s="41"/>
      <c r="V212" s="45"/>
      <c r="W212" s="41" t="n">
        <v>89</v>
      </c>
      <c r="X212" s="49" t="n">
        <f aca="false">+IF(ISNUMBER($S212),$S212,MIN($V212,$T212,$U212,$W212))</f>
        <v>75</v>
      </c>
      <c r="Y212" s="48" t="n">
        <v>0.1</v>
      </c>
      <c r="Z212" s="71" t="n">
        <v>80000000</v>
      </c>
      <c r="AA212" s="43" t="n">
        <v>1</v>
      </c>
      <c r="AB212" s="48" t="n">
        <f aca="false">Z212/AA212</f>
        <v>80000000</v>
      </c>
      <c r="AC212" s="48"/>
      <c r="AD212" s="51" t="n">
        <f aca="false">Y212/AB212*1000000000000</f>
        <v>1250</v>
      </c>
      <c r="AE212" s="49" t="str">
        <f aca="false">IF(ISNUMBER($Q212), $AD212*1000/2^(($Q212-1.76)/6.02), "")</f>
        <v/>
      </c>
      <c r="AF212" s="49" t="n">
        <f aca="false">$AD212*1000/2^(($X212-1.76)/6.02)</f>
        <v>271.985080827115</v>
      </c>
      <c r="AG212" s="31" t="str">
        <f aca="false">IF(ISNUMBER($Q212), $Q212+10*LOG10($AB212/2/$Y212), "")</f>
        <v/>
      </c>
      <c r="AH212" s="31" t="n">
        <f aca="false">$X212+10*LOG10($AB212/2/$Y212)</f>
        <v>161.02059991328</v>
      </c>
      <c r="AI212" s="52" t="n">
        <f aca="false">AF212/AB212</f>
        <v>3.39981351033894E-006</v>
      </c>
      <c r="AJ212" s="53" t="n">
        <f aca="false">AH212+10*LOG10(AB212)</f>
        <v>240.051499783199</v>
      </c>
    </row>
    <row r="213" customFormat="false" ht="12.75" hidden="false" customHeight="false" outlineLevel="0" collapsed="false">
      <c r="A213" s="50" t="n">
        <v>2011</v>
      </c>
      <c r="B213" s="43" t="n">
        <v>10.5</v>
      </c>
      <c r="C213" s="43" t="s">
        <v>111</v>
      </c>
      <c r="D213" s="50" t="s">
        <v>112</v>
      </c>
      <c r="E213" s="65" t="n">
        <v>0.065</v>
      </c>
      <c r="F213" s="59" t="s">
        <v>1041</v>
      </c>
      <c r="G213" s="57" t="s">
        <v>1042</v>
      </c>
      <c r="H213" s="57" t="s">
        <v>1043</v>
      </c>
      <c r="I213" s="44" t="s">
        <v>1044</v>
      </c>
      <c r="J213" s="46" t="str">
        <f aca="false">IF(I213&lt;&gt;"?", HYPERLINK(CONCATENATE("https://doi.org/",I213)), "")</f>
        <v>https://doi.org/10.1109/ISSCC.2011.5746276</v>
      </c>
      <c r="K213" s="55" t="s">
        <v>1045</v>
      </c>
      <c r="L213" s="41" t="n">
        <v>1</v>
      </c>
      <c r="M213" s="41"/>
      <c r="N213" s="41"/>
      <c r="O213" s="34" t="s">
        <v>117</v>
      </c>
      <c r="P213" s="45" t="n">
        <v>0.024</v>
      </c>
      <c r="Q213" s="54"/>
      <c r="R213" s="48" t="n">
        <f aca="false">AB213/2</f>
        <v>200000000</v>
      </c>
      <c r="S213" s="41" t="n">
        <v>40.4</v>
      </c>
      <c r="T213" s="41"/>
      <c r="U213" s="41"/>
      <c r="V213" s="45"/>
      <c r="W213" s="41" t="n">
        <v>53</v>
      </c>
      <c r="X213" s="49" t="n">
        <f aca="false">+IF(ISNUMBER($S213),$S213,MIN($V213,$T213,$U213,$W213))</f>
        <v>40.4</v>
      </c>
      <c r="Y213" s="48" t="n">
        <v>0.004</v>
      </c>
      <c r="Z213" s="71" t="n">
        <v>400000000</v>
      </c>
      <c r="AA213" s="43" t="n">
        <v>1</v>
      </c>
      <c r="AB213" s="48" t="n">
        <f aca="false">Z213/AA213</f>
        <v>400000000</v>
      </c>
      <c r="AC213" s="48"/>
      <c r="AD213" s="51" t="n">
        <f aca="false">Y213/AB213*1000000000000</f>
        <v>10</v>
      </c>
      <c r="AE213" s="49" t="str">
        <f aca="false">IF(ISNUMBER($Q213), $AD213*1000/2^(($Q213-1.76)/6.02), "")</f>
        <v/>
      </c>
      <c r="AF213" s="49" t="n">
        <f aca="false">$AD213*1000/2^(($X213-1.76)/6.02)</f>
        <v>116.898104647363</v>
      </c>
      <c r="AG213" s="31" t="str">
        <f aca="false">IF(ISNUMBER($Q213), $Q213+10*LOG10($AB213/2/$Y213), "")</f>
        <v/>
      </c>
      <c r="AH213" s="31" t="n">
        <f aca="false">$X213+10*LOG10($AB213/2/$Y213)</f>
        <v>147.38970004336</v>
      </c>
      <c r="AI213" s="52" t="n">
        <f aca="false">AF213/AB213</f>
        <v>2.92245261618407E-007</v>
      </c>
      <c r="AJ213" s="53" t="n">
        <f aca="false">AH213+10*LOG10(AB213)</f>
        <v>233.41029995664</v>
      </c>
    </row>
    <row r="214" customFormat="false" ht="12.75" hidden="false" customHeight="false" outlineLevel="0" collapsed="false">
      <c r="A214" s="50" t="n">
        <v>2011</v>
      </c>
      <c r="B214" s="43" t="n">
        <v>10.6</v>
      </c>
      <c r="C214" s="43" t="s">
        <v>111</v>
      </c>
      <c r="D214" s="50" t="s">
        <v>112</v>
      </c>
      <c r="E214" s="65" t="n">
        <v>0.065</v>
      </c>
      <c r="F214" s="59" t="s">
        <v>1046</v>
      </c>
      <c r="G214" s="57" t="s">
        <v>1047</v>
      </c>
      <c r="H214" s="57" t="s">
        <v>1048</v>
      </c>
      <c r="I214" s="44" t="s">
        <v>1049</v>
      </c>
      <c r="J214" s="46" t="str">
        <f aca="false">IF(I214&lt;&gt;"?", HYPERLINK(CONCATENATE("https://doi.org/",I214)), "")</f>
        <v>https://doi.org/10.1109/ISSCC.2011.5746277</v>
      </c>
      <c r="K214" s="55" t="s">
        <v>1050</v>
      </c>
      <c r="L214" s="41"/>
      <c r="M214" s="41"/>
      <c r="N214" s="41"/>
      <c r="O214" s="34" t="s">
        <v>117</v>
      </c>
      <c r="P214" s="45" t="n">
        <v>0.212</v>
      </c>
      <c r="Q214" s="54"/>
      <c r="R214" s="48" t="n">
        <f aca="false">AB214/2</f>
        <v>10000</v>
      </c>
      <c r="S214" s="41" t="n">
        <v>55</v>
      </c>
      <c r="T214" s="41"/>
      <c r="U214" s="41"/>
      <c r="V214" s="45"/>
      <c r="W214" s="41" t="n">
        <v>68.8</v>
      </c>
      <c r="X214" s="49" t="n">
        <f aca="false">+IF(ISNUMBER($S214),$S214,MIN($V214,$T214,$U214,$W214))</f>
        <v>55</v>
      </c>
      <c r="Y214" s="48" t="n">
        <v>2.06E-007</v>
      </c>
      <c r="Z214" s="71" t="n">
        <v>20000</v>
      </c>
      <c r="AA214" s="43" t="n">
        <v>1</v>
      </c>
      <c r="AB214" s="48" t="n">
        <f aca="false">Z214/AA214</f>
        <v>20000</v>
      </c>
      <c r="AC214" s="48"/>
      <c r="AD214" s="51" t="n">
        <f aca="false">Y214/AB214*1000000000000</f>
        <v>10.3</v>
      </c>
      <c r="AE214" s="49" t="str">
        <f aca="false">IF(ISNUMBER($Q214), $AD214*1000/2^(($Q214-1.76)/6.02), "")</f>
        <v/>
      </c>
      <c r="AF214" s="49" t="n">
        <f aca="false">$AD214*1000/2^(($X214-1.76)/6.02)</f>
        <v>22.416713817307</v>
      </c>
      <c r="AG214" s="31" t="str">
        <f aca="false">IF(ISNUMBER($Q214), $Q214+10*LOG10($AB214/2/$Y214), "")</f>
        <v/>
      </c>
      <c r="AH214" s="31" t="n">
        <f aca="false">$X214+10*LOG10($AB214/2/$Y214)</f>
        <v>161.861327796308</v>
      </c>
      <c r="AI214" s="52" t="n">
        <f aca="false">AF214/AB214</f>
        <v>0.00112083569086535</v>
      </c>
      <c r="AJ214" s="53" t="n">
        <f aca="false">AH214+10*LOG10(AB214)</f>
        <v>204.871627752948</v>
      </c>
    </row>
    <row r="215" customFormat="false" ht="12.75" hidden="false" customHeight="false" outlineLevel="0" collapsed="false">
      <c r="A215" s="50" t="n">
        <v>2011</v>
      </c>
      <c r="B215" s="43" t="n">
        <v>27.1</v>
      </c>
      <c r="C215" s="43" t="s">
        <v>139</v>
      </c>
      <c r="D215" s="50" t="s">
        <v>173</v>
      </c>
      <c r="E215" s="65" t="n">
        <v>0.045</v>
      </c>
      <c r="F215" s="59" t="s">
        <v>1051</v>
      </c>
      <c r="G215" s="57" t="s">
        <v>1052</v>
      </c>
      <c r="H215" s="57" t="s">
        <v>1053</v>
      </c>
      <c r="I215" s="44" t="s">
        <v>1054</v>
      </c>
      <c r="J215" s="46" t="str">
        <f aca="false">IF(I215&lt;&gt;"?", HYPERLINK(CONCATENATE("https://doi.org/",I215)), "")</f>
        <v>https://doi.org/10.1109/ISSCC.2011.5746401</v>
      </c>
      <c r="K215" s="55" t="s">
        <v>117</v>
      </c>
      <c r="L215" s="41"/>
      <c r="M215" s="41"/>
      <c r="N215" s="41"/>
      <c r="O215" s="34" t="s">
        <v>117</v>
      </c>
      <c r="P215" s="45" t="n">
        <v>0.9</v>
      </c>
      <c r="Q215" s="54"/>
      <c r="R215" s="48" t="n">
        <f aca="false">AB215/2</f>
        <v>125000000</v>
      </c>
      <c r="S215" s="41" t="n">
        <v>65</v>
      </c>
      <c r="T215" s="41" t="n">
        <v>65.5</v>
      </c>
      <c r="U215" s="41" t="n">
        <v>70</v>
      </c>
      <c r="V215" s="45" t="n">
        <v>74</v>
      </c>
      <c r="W215" s="41"/>
      <c r="X215" s="49" t="n">
        <f aca="false">+IF(ISNUMBER($S215),$S215,MIN($V215,$T215,$U215,$W215))</f>
        <v>65</v>
      </c>
      <c r="Y215" s="48" t="n">
        <v>0.256</v>
      </c>
      <c r="Z215" s="71" t="n">
        <v>4000000000</v>
      </c>
      <c r="AA215" s="50" t="n">
        <f aca="false">Z215/AB215</f>
        <v>16</v>
      </c>
      <c r="AB215" s="48" t="n">
        <v>250000000</v>
      </c>
      <c r="AC215" s="48"/>
      <c r="AD215" s="51" t="n">
        <f aca="false">Y215/AB215*1000000000000</f>
        <v>1024</v>
      </c>
      <c r="AE215" s="49" t="str">
        <f aca="false">IF(ISNUMBER($Q215), $AD215*1000/2^(($Q215-1.76)/6.02), "")</f>
        <v/>
      </c>
      <c r="AF215" s="49" t="n">
        <f aca="false">$AD215*1000/2^(($X215-1.76)/6.02)</f>
        <v>704.668491128583</v>
      </c>
      <c r="AG215" s="31" t="str">
        <f aca="false">IF(ISNUMBER($Q215), $Q215+10*LOG10($AB215/2/$Y215), "")</f>
        <v/>
      </c>
      <c r="AH215" s="31" t="n">
        <f aca="false">$X215+10*LOG10($AB215/2/$Y215)</f>
        <v>151.886700476962</v>
      </c>
      <c r="AI215" s="52" t="n">
        <f aca="false">AF215/AB215</f>
        <v>2.81867396451433E-006</v>
      </c>
      <c r="AJ215" s="53" t="n">
        <f aca="false">AH215+10*LOG10(AB215)</f>
        <v>235.866100563682</v>
      </c>
    </row>
    <row r="216" customFormat="false" ht="12.75" hidden="false" customHeight="false" outlineLevel="0" collapsed="false">
      <c r="A216" s="50" t="n">
        <v>2011</v>
      </c>
      <c r="B216" s="43" t="n">
        <v>27.2</v>
      </c>
      <c r="C216" s="43" t="s">
        <v>139</v>
      </c>
      <c r="D216" s="50" t="s">
        <v>173</v>
      </c>
      <c r="E216" s="65" t="n">
        <v>0.09</v>
      </c>
      <c r="F216" s="59" t="s">
        <v>1055</v>
      </c>
      <c r="G216" s="57" t="s">
        <v>1056</v>
      </c>
      <c r="H216" s="57" t="s">
        <v>1057</v>
      </c>
      <c r="I216" s="44" t="s">
        <v>1058</v>
      </c>
      <c r="J216" s="46" t="str">
        <f aca="false">IF(I216&lt;&gt;"?", HYPERLINK(CONCATENATE("https://doi.org/",I216)), "")</f>
        <v>https://doi.org/10.1109/ISSCC.2011.5746402</v>
      </c>
      <c r="K216" s="55" t="s">
        <v>117</v>
      </c>
      <c r="L216" s="41"/>
      <c r="M216" s="41"/>
      <c r="N216" s="41"/>
      <c r="O216" s="34" t="s">
        <v>117</v>
      </c>
      <c r="P216" s="45" t="n">
        <v>0.15</v>
      </c>
      <c r="Q216" s="54"/>
      <c r="R216" s="48" t="n">
        <f aca="false">AB216/2</f>
        <v>25000000</v>
      </c>
      <c r="S216" s="41" t="n">
        <v>63.5</v>
      </c>
      <c r="T216" s="41"/>
      <c r="U216" s="41" t="n">
        <v>70</v>
      </c>
      <c r="V216" s="45"/>
      <c r="W216" s="41" t="n">
        <v>81</v>
      </c>
      <c r="X216" s="49" t="n">
        <f aca="false">+IF(ISNUMBER($S216),$S216,MIN($V216,$T216,$U216,$W216))</f>
        <v>63.5</v>
      </c>
      <c r="Y216" s="48" t="n">
        <v>0.008</v>
      </c>
      <c r="Z216" s="71" t="n">
        <f aca="false">AA216*AB216</f>
        <v>500000000</v>
      </c>
      <c r="AA216" s="43" t="n">
        <v>10</v>
      </c>
      <c r="AB216" s="48" t="n">
        <v>50000000</v>
      </c>
      <c r="AC216" s="48"/>
      <c r="AD216" s="51" t="n">
        <f aca="false">Y216/AB216*1000000000000</f>
        <v>160</v>
      </c>
      <c r="AE216" s="49" t="str">
        <f aca="false">IF(ISNUMBER($Q216), $AD216*1000/2^(($Q216-1.76)/6.02), "")</f>
        <v/>
      </c>
      <c r="AF216" s="49" t="n">
        <f aca="false">$AD216*1000/2^(($X216-1.76)/6.02)</f>
        <v>130.861638189874</v>
      </c>
      <c r="AG216" s="31" t="str">
        <f aca="false">IF(ISNUMBER($Q216), $Q216+10*LOG10($AB216/2/$Y216), "")</f>
        <v/>
      </c>
      <c r="AH216" s="31" t="n">
        <f aca="false">$X216+10*LOG10($AB216/2/$Y216)</f>
        <v>158.448500216801</v>
      </c>
      <c r="AI216" s="52" t="n">
        <f aca="false">AF216/AB216</f>
        <v>2.61723276379748E-006</v>
      </c>
      <c r="AJ216" s="53" t="n">
        <f aca="false">AH216+10*LOG10(AB216)</f>
        <v>235.438200260161</v>
      </c>
    </row>
    <row r="217" customFormat="false" ht="12.75" hidden="false" customHeight="false" outlineLevel="0" collapsed="false">
      <c r="A217" s="50" t="n">
        <v>2011</v>
      </c>
      <c r="B217" s="43" t="n">
        <v>27.3</v>
      </c>
      <c r="C217" s="43" t="s">
        <v>139</v>
      </c>
      <c r="D217" s="50" t="s">
        <v>145</v>
      </c>
      <c r="E217" s="65" t="n">
        <v>0.18</v>
      </c>
      <c r="F217" s="59" t="s">
        <v>1059</v>
      </c>
      <c r="G217" s="57" t="s">
        <v>1060</v>
      </c>
      <c r="H217" s="57" t="s">
        <v>1061</v>
      </c>
      <c r="I217" s="44" t="s">
        <v>1062</v>
      </c>
      <c r="J217" s="46" t="str">
        <f aca="false">IF(I217&lt;&gt;"?", HYPERLINK(CONCATENATE("https://doi.org/",I217)), "")</f>
        <v>https://doi.org/10.1109/ISSCC.2011.5746403</v>
      </c>
      <c r="K217" s="55" t="s">
        <v>117</v>
      </c>
      <c r="L217" s="41"/>
      <c r="M217" s="41"/>
      <c r="N217" s="41"/>
      <c r="O217" s="34" t="s">
        <v>117</v>
      </c>
      <c r="P217" s="45" t="n">
        <v>0.44</v>
      </c>
      <c r="Q217" s="54"/>
      <c r="R217" s="48" t="n">
        <f aca="false">AB217/2</f>
        <v>1041666.66666667</v>
      </c>
      <c r="S217" s="41" t="n">
        <v>78.2</v>
      </c>
      <c r="T217" s="41" t="n">
        <v>79.3</v>
      </c>
      <c r="U217" s="41"/>
      <c r="V217" s="45"/>
      <c r="W217" s="41" t="n">
        <v>86.3</v>
      </c>
      <c r="X217" s="49" t="n">
        <f aca="false">+IF(ISNUMBER($S217),$S217,MIN($V217,$T217,$U217,$W217))</f>
        <v>78.2</v>
      </c>
      <c r="Y217" s="48" t="n">
        <f aca="false">0.0029</f>
        <v>0.0029</v>
      </c>
      <c r="Z217" s="71" t="n">
        <v>50000000</v>
      </c>
      <c r="AA217" s="43" t="n">
        <v>24</v>
      </c>
      <c r="AB217" s="48" t="n">
        <f aca="false">Z217/AA217</f>
        <v>2083333.33333333</v>
      </c>
      <c r="AC217" s="48"/>
      <c r="AD217" s="51" t="n">
        <f aca="false">Y217/AB217*1000000000000</f>
        <v>1392</v>
      </c>
      <c r="AE217" s="49" t="str">
        <f aca="false">IF(ISNUMBER($Q217), $AD217*1000/2^(($Q217-1.76)/6.02), "")</f>
        <v/>
      </c>
      <c r="AF217" s="49" t="n">
        <f aca="false">$AD217*1000/2^(($X217-1.76)/6.02)</f>
        <v>209.535860583997</v>
      </c>
      <c r="AG217" s="31" t="str">
        <f aca="false">IF(ISNUMBER($Q217), $Q217+10*LOG10($AB217/2/$Y217), "")</f>
        <v/>
      </c>
      <c r="AH217" s="31" t="n">
        <f aca="false">$X217+10*LOG10($AB217/2/$Y217)</f>
        <v>163.753307690615</v>
      </c>
      <c r="AI217" s="52" t="n">
        <f aca="false">AF217/AB217</f>
        <v>0.000100577213080318</v>
      </c>
      <c r="AJ217" s="53" t="n">
        <f aca="false">AH217+10*LOG10(AB217)</f>
        <v>226.940895316859</v>
      </c>
    </row>
    <row r="218" customFormat="false" ht="12.75" hidden="false" customHeight="false" outlineLevel="0" collapsed="false">
      <c r="A218" s="50" t="n">
        <v>2011</v>
      </c>
      <c r="B218" s="43" t="n">
        <v>27.4</v>
      </c>
      <c r="C218" s="43" t="s">
        <v>139</v>
      </c>
      <c r="D218" s="50" t="s">
        <v>145</v>
      </c>
      <c r="E218" s="65" t="n">
        <v>0.13</v>
      </c>
      <c r="F218" s="59" t="s">
        <v>1063</v>
      </c>
      <c r="G218" s="57" t="s">
        <v>1064</v>
      </c>
      <c r="H218" s="57" t="s">
        <v>1065</v>
      </c>
      <c r="I218" s="44" t="s">
        <v>1066</v>
      </c>
      <c r="J218" s="46" t="str">
        <f aca="false">IF(I218&lt;&gt;"?", HYPERLINK(CONCATENATE("https://doi.org/",I218)), "")</f>
        <v>https://doi.org/10.1109/ISSCC.2011.5746404</v>
      </c>
      <c r="K218" s="55" t="s">
        <v>117</v>
      </c>
      <c r="L218" s="41" t="n">
        <v>0.25</v>
      </c>
      <c r="M218" s="41"/>
      <c r="N218" s="41"/>
      <c r="O218" s="34" t="s">
        <v>117</v>
      </c>
      <c r="P218" s="45" t="n">
        <v>0.3375</v>
      </c>
      <c r="Q218" s="54"/>
      <c r="R218" s="48" t="n">
        <f aca="false">AB218/2</f>
        <v>10000</v>
      </c>
      <c r="S218" s="41" t="n">
        <v>61</v>
      </c>
      <c r="T218" s="41" t="n">
        <v>64</v>
      </c>
      <c r="U218" s="41"/>
      <c r="V218" s="45"/>
      <c r="W218" s="41"/>
      <c r="X218" s="49" t="n">
        <f aca="false">+IF(ISNUMBER($S218),$S218,MIN($V218,$T218,$U218,$W218))</f>
        <v>61</v>
      </c>
      <c r="Y218" s="48" t="n">
        <v>7.5E-006</v>
      </c>
      <c r="Z218" s="71" t="n">
        <v>1400000</v>
      </c>
      <c r="AA218" s="43" t="n">
        <v>70</v>
      </c>
      <c r="AB218" s="48" t="n">
        <f aca="false">Z218/AA218</f>
        <v>20000</v>
      </c>
      <c r="AC218" s="48"/>
      <c r="AD218" s="51" t="n">
        <f aca="false">Y218/AB218*1000000000000</f>
        <v>375</v>
      </c>
      <c r="AE218" s="49" t="str">
        <f aca="false">IF(ISNUMBER($Q218), $AD218*1000/2^(($Q218-1.76)/6.02), "")</f>
        <v/>
      </c>
      <c r="AF218" s="49" t="n">
        <f aca="false">$AD218*1000/2^(($X218-1.76)/6.02)</f>
        <v>409.012041902648</v>
      </c>
      <c r="AG218" s="31" t="str">
        <f aca="false">IF(ISNUMBER($Q218), $Q218+10*LOG10($AB218/2/$Y218), "")</f>
        <v/>
      </c>
      <c r="AH218" s="31" t="n">
        <f aca="false">$X218+10*LOG10($AB218/2/$Y218)</f>
        <v>152.249387366083</v>
      </c>
      <c r="AI218" s="52" t="n">
        <f aca="false">AF218/AB218</f>
        <v>0.0204506020951324</v>
      </c>
      <c r="AJ218" s="53" t="n">
        <f aca="false">AH218+10*LOG10(AB218)</f>
        <v>195.259687322723</v>
      </c>
    </row>
    <row r="219" customFormat="false" ht="12.75" hidden="false" customHeight="false" outlineLevel="0" collapsed="false">
      <c r="A219" s="50" t="n">
        <v>2011</v>
      </c>
      <c r="B219" s="43" t="n">
        <v>27.5</v>
      </c>
      <c r="C219" s="43" t="s">
        <v>139</v>
      </c>
      <c r="D219" s="50" t="s">
        <v>145</v>
      </c>
      <c r="E219" s="65" t="n">
        <v>0.18</v>
      </c>
      <c r="F219" s="59" t="s">
        <v>1067</v>
      </c>
      <c r="G219" s="57" t="s">
        <v>1068</v>
      </c>
      <c r="H219" s="57" t="s">
        <v>1069</v>
      </c>
      <c r="I219" s="44" t="s">
        <v>1070</v>
      </c>
      <c r="J219" s="46" t="str">
        <f aca="false">IF(I219&lt;&gt;"?", HYPERLINK(CONCATENATE("https://doi.org/",I219)), "")</f>
        <v>https://doi.org/10.1109/ISSCC.2011.5746405</v>
      </c>
      <c r="K219" s="55" t="s">
        <v>1071</v>
      </c>
      <c r="L219" s="41"/>
      <c r="M219" s="41"/>
      <c r="N219" s="41"/>
      <c r="O219" s="34" t="s">
        <v>117</v>
      </c>
      <c r="P219" s="45" t="n">
        <v>0.492</v>
      </c>
      <c r="Q219" s="54"/>
      <c r="R219" s="48" t="n">
        <f aca="false">AB219/2</f>
        <v>50000</v>
      </c>
      <c r="S219" s="41" t="n">
        <v>84</v>
      </c>
      <c r="T219" s="41"/>
      <c r="U219" s="41" t="n">
        <v>88</v>
      </c>
      <c r="V219" s="45"/>
      <c r="W219" s="41"/>
      <c r="X219" s="49" t="n">
        <f aca="false">+IF(ISNUMBER($S219),$S219,MIN($V219,$T219,$U219,$W219))</f>
        <v>84</v>
      </c>
      <c r="Y219" s="48" t="n">
        <v>0.00014</v>
      </c>
      <c r="Z219" s="71" t="n">
        <f aca="false">AA219*AB219</f>
        <v>1600000</v>
      </c>
      <c r="AA219" s="43" t="n">
        <v>16</v>
      </c>
      <c r="AB219" s="48" t="n">
        <v>100000</v>
      </c>
      <c r="AC219" s="48"/>
      <c r="AD219" s="51" t="n">
        <f aca="false">Y219/AB219*1000000000000</f>
        <v>1400</v>
      </c>
      <c r="AE219" s="49" t="str">
        <f aca="false">IF(ISNUMBER($Q219), $AD219*1000/2^(($Q219-1.76)/6.02), "")</f>
        <v/>
      </c>
      <c r="AF219" s="49" t="n">
        <f aca="false">$AD219*1000/2^(($X219-1.76)/6.02)</f>
        <v>108.073262236577</v>
      </c>
      <c r="AG219" s="31" t="str">
        <f aca="false">IF(ISNUMBER($Q219), $Q219+10*LOG10($AB219/2/$Y219), "")</f>
        <v/>
      </c>
      <c r="AH219" s="31" t="n">
        <f aca="false">$X219+10*LOG10($AB219/2/$Y219)</f>
        <v>169.528419686578</v>
      </c>
      <c r="AI219" s="52" t="n">
        <f aca="false">AF219/AB219</f>
        <v>0.00108073262236577</v>
      </c>
      <c r="AJ219" s="53" t="n">
        <f aca="false">AH219+10*LOG10(AB219)</f>
        <v>219.528419686578</v>
      </c>
    </row>
    <row r="220" customFormat="false" ht="12.75" hidden="false" customHeight="false" outlineLevel="0" collapsed="false">
      <c r="A220" s="40" t="n">
        <v>2012</v>
      </c>
      <c r="B220" s="43" t="n">
        <v>8.1</v>
      </c>
      <c r="C220" s="42" t="s">
        <v>139</v>
      </c>
      <c r="D220" s="42" t="s">
        <v>156</v>
      </c>
      <c r="E220" s="65" t="n">
        <v>0.04</v>
      </c>
      <c r="F220" s="45" t="s">
        <v>1072</v>
      </c>
      <c r="G220" s="45" t="s">
        <v>1073</v>
      </c>
      <c r="H220" s="45" t="s">
        <v>1074</v>
      </c>
      <c r="I220" s="44" t="s">
        <v>1075</v>
      </c>
      <c r="J220" s="46" t="str">
        <f aca="false">IF(I220&lt;&gt;"?", HYPERLINK(CONCATENATE("https://doi.org/",I220)), "")</f>
        <v>https://doi.org/10.1109/ISSCC.2012.6176901</v>
      </c>
      <c r="K220" s="45" t="s">
        <v>1076</v>
      </c>
      <c r="L220" s="41"/>
      <c r="M220" s="41"/>
      <c r="N220" s="41"/>
      <c r="O220" s="34" t="s">
        <v>117</v>
      </c>
      <c r="P220" s="45" t="n">
        <v>0.4</v>
      </c>
      <c r="Q220" s="54"/>
      <c r="R220" s="48" t="n">
        <f aca="false">AB220/2</f>
        <v>20000000</v>
      </c>
      <c r="S220" s="41" t="n">
        <v>70</v>
      </c>
      <c r="T220" s="41"/>
      <c r="U220" s="41"/>
      <c r="V220" s="41"/>
      <c r="W220" s="41"/>
      <c r="X220" s="49" t="n">
        <f aca="false">+IF(ISNUMBER($S220),$S220,MIN($V220,$T220,$U220,$W220))</f>
        <v>70</v>
      </c>
      <c r="Y220" s="48" t="n">
        <v>0.02</v>
      </c>
      <c r="Z220" s="48" t="n">
        <v>3200000000</v>
      </c>
      <c r="AA220" s="50" t="n">
        <v>80</v>
      </c>
      <c r="AB220" s="48" t="n">
        <f aca="false">Z220/AA220</f>
        <v>40000000</v>
      </c>
      <c r="AC220" s="48" t="n">
        <v>750000000</v>
      </c>
      <c r="AD220" s="51" t="n">
        <f aca="false">Y220/AB220*1000000000000</f>
        <v>500</v>
      </c>
      <c r="AE220" s="49" t="str">
        <f aca="false">IF(ISNUMBER($Q220), $AD220*1000/2^(($Q220-1.76)/6.02), "")</f>
        <v/>
      </c>
      <c r="AF220" s="49" t="n">
        <f aca="false">$AD220*1000/2^(($X220-1.76)/6.02)</f>
        <v>193.477286152709</v>
      </c>
      <c r="AG220" s="31" t="str">
        <f aca="false">IF(ISNUMBER($Q220), $Q220+10*LOG10($AB220/2/$Y220), "")</f>
        <v/>
      </c>
      <c r="AH220" s="31" t="n">
        <f aca="false">$X220+10*LOG10($AB220/2/$Y220)</f>
        <v>160</v>
      </c>
      <c r="AI220" s="52" t="n">
        <f aca="false">AF220/AB220</f>
        <v>4.83693215381773E-006</v>
      </c>
      <c r="AJ220" s="53" t="n">
        <f aca="false">AH220+10*LOG10(AB220)</f>
        <v>236.02059991328</v>
      </c>
    </row>
    <row r="221" customFormat="false" ht="12.75" hidden="false" customHeight="false" outlineLevel="0" collapsed="false">
      <c r="A221" s="50" t="n">
        <v>2012</v>
      </c>
      <c r="B221" s="43" t="n">
        <v>8.2</v>
      </c>
      <c r="C221" s="42" t="s">
        <v>139</v>
      </c>
      <c r="D221" s="42" t="s">
        <v>156</v>
      </c>
      <c r="E221" s="65" t="n">
        <v>0.065</v>
      </c>
      <c r="F221" s="45" t="s">
        <v>1077</v>
      </c>
      <c r="G221" s="45" t="s">
        <v>1078</v>
      </c>
      <c r="H221" s="45" t="s">
        <v>1079</v>
      </c>
      <c r="I221" s="44" t="s">
        <v>1080</v>
      </c>
      <c r="J221" s="46" t="str">
        <f aca="false">IF(I221&lt;&gt;"?", HYPERLINK(CONCATENATE("https://doi.org/",I221)), "")</f>
        <v>https://doi.org/10.1109/ISSCC.2012.6176940</v>
      </c>
      <c r="K221" s="45" t="s">
        <v>1081</v>
      </c>
      <c r="L221" s="41"/>
      <c r="M221" s="41"/>
      <c r="N221" s="41"/>
      <c r="O221" s="34" t="s">
        <v>117</v>
      </c>
      <c r="P221" s="45" t="n">
        <v>0.2</v>
      </c>
      <c r="Q221" s="54"/>
      <c r="R221" s="48" t="n">
        <f aca="false">AB221/2</f>
        <v>24000960.0384015</v>
      </c>
      <c r="S221" s="41" t="n">
        <v>58</v>
      </c>
      <c r="T221" s="41"/>
      <c r="U221" s="41" t="n">
        <v>60</v>
      </c>
      <c r="V221" s="41"/>
      <c r="W221" s="41"/>
      <c r="X221" s="49" t="n">
        <f aca="false">+IF(ISNUMBER($S221),$S221,MIN($V221,$T221,$U221,$W221))</f>
        <v>58</v>
      </c>
      <c r="Y221" s="48" t="n">
        <v>0.012</v>
      </c>
      <c r="Z221" s="48" t="n">
        <v>800000000</v>
      </c>
      <c r="AA221" s="50" t="n">
        <v>16.666</v>
      </c>
      <c r="AB221" s="48" t="n">
        <f aca="false">Z221/AA221</f>
        <v>48001920.0768031</v>
      </c>
      <c r="AC221" s="48" t="n">
        <v>200000000</v>
      </c>
      <c r="AD221" s="51" t="n">
        <f aca="false">Y221/AB221*1000000000000</f>
        <v>249.99</v>
      </c>
      <c r="AE221" s="49" t="str">
        <f aca="false">IF(ISNUMBER($Q221), $AD221*1000/2^(($Q221-1.76)/6.02), "")</f>
        <v/>
      </c>
      <c r="AF221" s="49" t="n">
        <f aca="false">$AD221*1000/2^(($X221-1.76)/6.02)</f>
        <v>385.161093716207</v>
      </c>
      <c r="AG221" s="31" t="str">
        <f aca="false">IF(ISNUMBER($Q221), $Q221+10*LOG10($AB221/2/$Y221), "")</f>
        <v/>
      </c>
      <c r="AH221" s="31" t="n">
        <f aca="false">$X221+10*LOG10($AB221/2/$Y221)</f>
        <v>151.010473677907</v>
      </c>
      <c r="AI221" s="52" t="n">
        <f aca="false">AF221/AB221</f>
        <v>8.02386848484289E-006</v>
      </c>
      <c r="AJ221" s="53" t="n">
        <f aca="false">AH221+10*LOG10(AB221)</f>
        <v>227.82305977293</v>
      </c>
    </row>
    <row r="222" customFormat="false" ht="12.75" hidden="false" customHeight="false" outlineLevel="0" collapsed="false">
      <c r="A222" s="50" t="n">
        <v>2012</v>
      </c>
      <c r="B222" s="43" t="n">
        <v>8.3</v>
      </c>
      <c r="C222" s="42" t="s">
        <v>139</v>
      </c>
      <c r="D222" s="42" t="s">
        <v>156</v>
      </c>
      <c r="E222" s="65" t="n">
        <v>0.065</v>
      </c>
      <c r="F222" s="45" t="s">
        <v>1082</v>
      </c>
      <c r="G222" s="45" t="s">
        <v>1083</v>
      </c>
      <c r="H222" s="45" t="s">
        <v>1084</v>
      </c>
      <c r="I222" s="44" t="s">
        <v>1085</v>
      </c>
      <c r="J222" s="46" t="str">
        <f aca="false">IF(I222&lt;&gt;"?", HYPERLINK(CONCATENATE("https://doi.org/",I222)), "")</f>
        <v>https://doi.org/10.1109/ISSCC.2012.6176954</v>
      </c>
      <c r="K222" s="45" t="s">
        <v>1086</v>
      </c>
      <c r="L222" s="41"/>
      <c r="M222" s="41"/>
      <c r="N222" s="41"/>
      <c r="O222" s="34" t="s">
        <v>117</v>
      </c>
      <c r="P222" s="45" t="n">
        <v>5.5</v>
      </c>
      <c r="Q222" s="54"/>
      <c r="R222" s="48" t="n">
        <f aca="false">AB222/2</f>
        <v>150000037.500009</v>
      </c>
      <c r="S222" s="41"/>
      <c r="T222" s="41"/>
      <c r="U222" s="41" t="n">
        <v>74</v>
      </c>
      <c r="V222" s="41"/>
      <c r="W222" s="41"/>
      <c r="X222" s="49" t="n">
        <f aca="false">+IF(ISNUMBER($S222),$S222,MIN($V222,$T222,$U222,$W222))</f>
        <v>74</v>
      </c>
      <c r="Y222" s="48" t="n">
        <v>0.55</v>
      </c>
      <c r="Z222" s="48" t="n">
        <v>4000000000</v>
      </c>
      <c r="AA222" s="50" t="n">
        <v>13.33333</v>
      </c>
      <c r="AB222" s="48" t="n">
        <f aca="false">Z222/AA222</f>
        <v>300000075.000019</v>
      </c>
      <c r="AC222" s="48" t="n">
        <v>450000000</v>
      </c>
      <c r="AD222" s="51" t="n">
        <f aca="false">Y222/AB222*1000000000000</f>
        <v>1833.332875</v>
      </c>
      <c r="AE222" s="49" t="str">
        <f aca="false">IF(ISNUMBER($Q222), $AD222*1000/2^(($Q222-1.76)/6.02), "")</f>
        <v/>
      </c>
      <c r="AF222" s="49" t="n">
        <f aca="false">$AD222*1000/2^(($X222-1.76)/6.02)</f>
        <v>447.591033935547</v>
      </c>
      <c r="AG222" s="31" t="str">
        <f aca="false">IF(ISNUMBER($Q222), $Q222+10*LOG10($AB222/2/$Y222), "")</f>
        <v/>
      </c>
      <c r="AH222" s="31" t="n">
        <f aca="false">$X222+10*LOG10($AB222/2/$Y222)</f>
        <v>158.357286781351</v>
      </c>
      <c r="AI222" s="52" t="n">
        <f aca="false">AF222/AB222</f>
        <v>1.49196974012596E-006</v>
      </c>
      <c r="AJ222" s="53" t="n">
        <f aca="false">AH222+10*LOG10(AB222)</f>
        <v>243.128500414284</v>
      </c>
    </row>
    <row r="223" customFormat="false" ht="12.75" hidden="false" customHeight="false" outlineLevel="0" collapsed="false">
      <c r="A223" s="50" t="n">
        <v>2012</v>
      </c>
      <c r="B223" s="43" t="n">
        <v>8.4</v>
      </c>
      <c r="C223" s="42" t="s">
        <v>139</v>
      </c>
      <c r="D223" s="42" t="s">
        <v>173</v>
      </c>
      <c r="E223" s="65" t="n">
        <v>0.09</v>
      </c>
      <c r="F223" s="45" t="s">
        <v>1087</v>
      </c>
      <c r="G223" s="45" t="s">
        <v>1088</v>
      </c>
      <c r="H223" s="45" t="s">
        <v>1089</v>
      </c>
      <c r="I223" s="44" t="s">
        <v>1090</v>
      </c>
      <c r="J223" s="46" t="str">
        <f aca="false">IF(I223&lt;&gt;"?", HYPERLINK(CONCATENATE("https://doi.org/",I223)), "")</f>
        <v>https://doi.org/10.1109/ISSCC.2012.6176955</v>
      </c>
      <c r="K223" s="45" t="s">
        <v>1091</v>
      </c>
      <c r="L223" s="41"/>
      <c r="M223" s="41"/>
      <c r="N223" s="41"/>
      <c r="O223" s="34" t="s">
        <v>117</v>
      </c>
      <c r="P223" s="45" t="n">
        <v>0.36</v>
      </c>
      <c r="Q223" s="54"/>
      <c r="R223" s="48" t="n">
        <v>4000000</v>
      </c>
      <c r="S223" s="41" t="n">
        <v>78</v>
      </c>
      <c r="T223" s="41" t="n">
        <v>79.1</v>
      </c>
      <c r="U223" s="41"/>
      <c r="V223" s="41"/>
      <c r="W223" s="41" t="n">
        <v>88.5</v>
      </c>
      <c r="X223" s="49" t="n">
        <f aca="false">+IF(ISNUMBER($S223),$S223,MIN($V223,$T223,$U223,$W223))</f>
        <v>78</v>
      </c>
      <c r="Y223" s="48" t="n">
        <v>0.016</v>
      </c>
      <c r="Z223" s="48" t="n">
        <v>600000000</v>
      </c>
      <c r="AA223" s="50" t="n">
        <v>30</v>
      </c>
      <c r="AB223" s="48" t="n">
        <f aca="false">Z223/AA223</f>
        <v>20000000</v>
      </c>
      <c r="AC223" s="48"/>
      <c r="AD223" s="51" t="n">
        <f aca="false">Y223/AB223*1000000000000</f>
        <v>800</v>
      </c>
      <c r="AE223" s="49" t="str">
        <f aca="false">IF(ISNUMBER($Q223), $AD223*1000/2^(($Q223-1.76)/6.02), "")</f>
        <v/>
      </c>
      <c r="AF223" s="49" t="n">
        <f aca="false">$AD223*1000/2^(($X223-1.76)/6.02)</f>
        <v>123.228201016517</v>
      </c>
      <c r="AG223" s="31" t="str">
        <f aca="false">IF(ISNUMBER($Q223), $Q223+10*LOG10($AB223/2/$Y223), "")</f>
        <v/>
      </c>
      <c r="AH223" s="31" t="n">
        <f aca="false">$X223+10*LOG10($AB223/2/$Y223)</f>
        <v>165.958800173441</v>
      </c>
      <c r="AI223" s="52" t="n">
        <f aca="false">AF223/AB223</f>
        <v>6.16141005082585E-006</v>
      </c>
      <c r="AJ223" s="53" t="n">
        <f aca="false">AH223+10*LOG10(AB223)</f>
        <v>238.969100130081</v>
      </c>
    </row>
    <row r="224" customFormat="false" ht="12.75" hidden="false" customHeight="false" outlineLevel="0" collapsed="false">
      <c r="A224" s="50" t="n">
        <v>2012</v>
      </c>
      <c r="B224" s="43" t="n">
        <v>8.5</v>
      </c>
      <c r="C224" s="42" t="s">
        <v>139</v>
      </c>
      <c r="D224" s="42" t="s">
        <v>173</v>
      </c>
      <c r="E224" s="65" t="n">
        <v>0.09</v>
      </c>
      <c r="F224" s="45" t="s">
        <v>1092</v>
      </c>
      <c r="G224" s="45" t="s">
        <v>1093</v>
      </c>
      <c r="H224" s="45" t="s">
        <v>1094</v>
      </c>
      <c r="I224" s="44" t="s">
        <v>1095</v>
      </c>
      <c r="J224" s="46" t="str">
        <f aca="false">IF(I224&lt;&gt;"?", HYPERLINK(CONCATENATE("https://doi.org/",I224)), "")</f>
        <v>https://doi.org/10.1109/ISSCC.2012.6176956</v>
      </c>
      <c r="K224" s="45" t="s">
        <v>117</v>
      </c>
      <c r="L224" s="41"/>
      <c r="M224" s="41"/>
      <c r="N224" s="41"/>
      <c r="O224" s="34" t="s">
        <v>117</v>
      </c>
      <c r="P224" s="45" t="n">
        <v>0.23</v>
      </c>
      <c r="Q224" s="54"/>
      <c r="R224" s="48" t="n">
        <f aca="false">AB224/2</f>
        <v>25000000</v>
      </c>
      <c r="S224" s="41" t="n">
        <v>67.5</v>
      </c>
      <c r="T224" s="41" t="n">
        <v>69.1</v>
      </c>
      <c r="U224" s="41" t="n">
        <v>72</v>
      </c>
      <c r="V224" s="41"/>
      <c r="W224" s="41" t="n">
        <v>79</v>
      </c>
      <c r="X224" s="49" t="n">
        <f aca="false">+IF(ISNUMBER($S224),$S224,MIN($V224,$T224,$U224,$W224))</f>
        <v>67.5</v>
      </c>
      <c r="Y224" s="48" t="n">
        <v>0.0085</v>
      </c>
      <c r="Z224" s="48" t="n">
        <v>500000000</v>
      </c>
      <c r="AA224" s="50" t="n">
        <v>10</v>
      </c>
      <c r="AB224" s="48" t="n">
        <f aca="false">Z224/AA224</f>
        <v>50000000</v>
      </c>
      <c r="AC224" s="48"/>
      <c r="AD224" s="51" t="n">
        <f aca="false">Y224/AB224*1000000000000</f>
        <v>170</v>
      </c>
      <c r="AE224" s="49" t="str">
        <f aca="false">IF(ISNUMBER($Q224), $AD224*1000/2^(($Q224-1.76)/6.02), "")</f>
        <v/>
      </c>
      <c r="AF224" s="49" t="n">
        <f aca="false">$AD224*1000/2^(($X224-1.76)/6.02)</f>
        <v>87.724592753796</v>
      </c>
      <c r="AG224" s="31" t="str">
        <f aca="false">IF(ISNUMBER($Q224), $Q224+10*LOG10($AB224/2/$Y224), "")</f>
        <v/>
      </c>
      <c r="AH224" s="31" t="n">
        <f aca="false">$X224+10*LOG10($AB224/2/$Y224)</f>
        <v>162.185210829577</v>
      </c>
      <c r="AI224" s="52" t="n">
        <f aca="false">AF224/AB224</f>
        <v>1.75449185507592E-006</v>
      </c>
      <c r="AJ224" s="53" t="n">
        <f aca="false">AH224+10*LOG10(AB224)</f>
        <v>239.174910872938</v>
      </c>
    </row>
    <row r="225" customFormat="false" ht="12.75" hidden="false" customHeight="false" outlineLevel="0" collapsed="false">
      <c r="A225" s="50" t="n">
        <v>2012</v>
      </c>
      <c r="B225" s="43" t="n">
        <v>8.6</v>
      </c>
      <c r="C225" s="42" t="s">
        <v>139</v>
      </c>
      <c r="D225" s="42" t="s">
        <v>173</v>
      </c>
      <c r="E225" s="65" t="n">
        <v>0.09</v>
      </c>
      <c r="F225" s="45" t="s">
        <v>1096</v>
      </c>
      <c r="G225" s="45" t="s">
        <v>1097</v>
      </c>
      <c r="H225" s="45" t="s">
        <v>1098</v>
      </c>
      <c r="I225" s="44" t="s">
        <v>1099</v>
      </c>
      <c r="J225" s="46" t="str">
        <f aca="false">IF(I225&lt;&gt;"?", HYPERLINK(CONCATENATE("https://doi.org/",I225)), "")</f>
        <v>https://doi.org/10.1109/ISSCC.2012.6176957</v>
      </c>
      <c r="K225" s="45" t="s">
        <v>117</v>
      </c>
      <c r="L225" s="41"/>
      <c r="M225" s="41"/>
      <c r="N225" s="41"/>
      <c r="O225" s="34" t="s">
        <v>117</v>
      </c>
      <c r="P225" s="45" t="n">
        <v>0.12</v>
      </c>
      <c r="Q225" s="54"/>
      <c r="R225" s="48" t="n">
        <f aca="false">AB225/2</f>
        <v>36000000</v>
      </c>
      <c r="S225" s="41" t="n">
        <v>70.9</v>
      </c>
      <c r="T225" s="41" t="n">
        <v>76.4</v>
      </c>
      <c r="U225" s="41" t="n">
        <v>83</v>
      </c>
      <c r="V225" s="41"/>
      <c r="W225" s="41"/>
      <c r="X225" s="49" t="n">
        <f aca="false">+IF(ISNUMBER($S225),$S225,MIN($V225,$T225,$U225,$W225))</f>
        <v>70.9</v>
      </c>
      <c r="Y225" s="48" t="n">
        <v>0.015</v>
      </c>
      <c r="Z225" s="48" t="n">
        <v>3600000000</v>
      </c>
      <c r="AA225" s="50" t="n">
        <v>50</v>
      </c>
      <c r="AB225" s="48" t="n">
        <f aca="false">Z225/AA225</f>
        <v>72000000</v>
      </c>
      <c r="AC225" s="48"/>
      <c r="AD225" s="51" t="n">
        <f aca="false">Y225/AB225*1000000000000</f>
        <v>208.333333333333</v>
      </c>
      <c r="AE225" s="49" t="str">
        <f aca="false">IF(ISNUMBER($Q225), $AD225*1000/2^(($Q225-1.76)/6.02), "")</f>
        <v/>
      </c>
      <c r="AF225" s="49" t="n">
        <f aca="false">$AD225*1000/2^(($X225-1.76)/6.02)</f>
        <v>72.6798899315425</v>
      </c>
      <c r="AG225" s="31" t="str">
        <f aca="false">IF(ISNUMBER($Q225), $Q225+10*LOG10($AB225/2/$Y225), "")</f>
        <v/>
      </c>
      <c r="AH225" s="31" t="n">
        <f aca="false">$X225+10*LOG10($AB225/2/$Y225)</f>
        <v>164.702112417116</v>
      </c>
      <c r="AI225" s="52" t="n">
        <f aca="false">AF225/AB225</f>
        <v>1.00944291571587E-006</v>
      </c>
      <c r="AJ225" s="53" t="n">
        <f aca="false">AH225+10*LOG10(AB225)</f>
        <v>243.275437381429</v>
      </c>
    </row>
    <row r="226" customFormat="false" ht="12.75" hidden="false" customHeight="false" outlineLevel="0" collapsed="false">
      <c r="A226" s="50" t="n">
        <v>2012</v>
      </c>
      <c r="B226" s="43" t="n">
        <v>8.7</v>
      </c>
      <c r="C226" s="42" t="s">
        <v>139</v>
      </c>
      <c r="D226" s="42" t="s">
        <v>173</v>
      </c>
      <c r="E226" s="65" t="n">
        <v>0.045</v>
      </c>
      <c r="F226" s="45" t="s">
        <v>1100</v>
      </c>
      <c r="G226" s="45" t="s">
        <v>1101</v>
      </c>
      <c r="H226" s="45" t="s">
        <v>1102</v>
      </c>
      <c r="I226" s="44" t="s">
        <v>1103</v>
      </c>
      <c r="J226" s="46" t="str">
        <f aca="false">IF(I226&lt;&gt;"?", HYPERLINK(CONCATENATE("https://doi.org/",I226)), "")</f>
        <v>https://doi.org/10.1109/ISSCC.2012.6176958</v>
      </c>
      <c r="K226" s="45" t="s">
        <v>117</v>
      </c>
      <c r="L226" s="41"/>
      <c r="M226" s="41"/>
      <c r="N226" s="41"/>
      <c r="O226" s="34" t="s">
        <v>117</v>
      </c>
      <c r="P226" s="45" t="n">
        <v>0.49</v>
      </c>
      <c r="Q226" s="54"/>
      <c r="R226" s="48" t="n">
        <f aca="false">AB226/2</f>
        <v>60000000</v>
      </c>
      <c r="S226" s="41" t="n">
        <v>60.6</v>
      </c>
      <c r="T226" s="41" t="n">
        <v>61.5</v>
      </c>
      <c r="U226" s="41"/>
      <c r="V226" s="41"/>
      <c r="W226" s="41"/>
      <c r="X226" s="49" t="n">
        <f aca="false">+IF(ISNUMBER($S226),$S226,MIN($V226,$T226,$U226,$W226))</f>
        <v>60.6</v>
      </c>
      <c r="Y226" s="48" t="n">
        <v>0.02</v>
      </c>
      <c r="Z226" s="48" t="n">
        <v>6000000000</v>
      </c>
      <c r="AA226" s="50" t="n">
        <v>50</v>
      </c>
      <c r="AB226" s="48" t="n">
        <f aca="false">Z226/AA226</f>
        <v>120000000</v>
      </c>
      <c r="AC226" s="48"/>
      <c r="AD226" s="51" t="n">
        <f aca="false">Y226/AB226*1000000000000</f>
        <v>166.666666666667</v>
      </c>
      <c r="AE226" s="49" t="str">
        <f aca="false">IF(ISNUMBER($Q226), $AD226*1000/2^(($Q226-1.76)/6.02), "")</f>
        <v/>
      </c>
      <c r="AF226" s="49" t="n">
        <f aca="false">$AD226*1000/2^(($X226-1.76)/6.02)</f>
        <v>190.351178258044</v>
      </c>
      <c r="AG226" s="31" t="str">
        <f aca="false">IF(ISNUMBER($Q226), $Q226+10*LOG10($AB226/2/$Y226), "")</f>
        <v/>
      </c>
      <c r="AH226" s="31" t="n">
        <f aca="false">$X226+10*LOG10($AB226/2/$Y226)</f>
        <v>155.371212547197</v>
      </c>
      <c r="AI226" s="52" t="n">
        <f aca="false">AF226/AB226</f>
        <v>1.58625981881703E-006</v>
      </c>
      <c r="AJ226" s="53" t="n">
        <f aca="false">AH226+10*LOG10(AB226)</f>
        <v>236.163025007673</v>
      </c>
    </row>
    <row r="227" customFormat="false" ht="12.75" hidden="false" customHeight="false" outlineLevel="0" collapsed="false">
      <c r="A227" s="50" t="n">
        <v>2012</v>
      </c>
      <c r="B227" s="43" t="n">
        <v>19.3</v>
      </c>
      <c r="C227" s="43" t="s">
        <v>111</v>
      </c>
      <c r="D227" s="50" t="s">
        <v>463</v>
      </c>
      <c r="E227" s="69" t="n">
        <v>0.04</v>
      </c>
      <c r="F227" s="59" t="s">
        <v>1104</v>
      </c>
      <c r="G227" s="73" t="s">
        <v>1105</v>
      </c>
      <c r="H227" s="48" t="s">
        <v>1106</v>
      </c>
      <c r="I227" s="44" t="s">
        <v>1107</v>
      </c>
      <c r="J227" s="46" t="str">
        <f aca="false">IF(I227&lt;&gt;"?", HYPERLINK(CONCATENATE("https://doi.org/",I227)), "")</f>
        <v>https://doi.org/10.1109/ISSCC.2012.6177033</v>
      </c>
      <c r="K227" s="55" t="s">
        <v>117</v>
      </c>
      <c r="L227" s="41"/>
      <c r="M227" s="41"/>
      <c r="N227" s="41"/>
      <c r="O227" s="34" t="s">
        <v>117</v>
      </c>
      <c r="P227" s="71" t="n">
        <v>0</v>
      </c>
      <c r="Q227" s="54" t="n">
        <f aca="false">5.4*6.02+1.76</f>
        <v>34.268</v>
      </c>
      <c r="R227" s="48" t="n">
        <v>10000000000</v>
      </c>
      <c r="S227" s="41" t="n">
        <f aca="false">4*6.02+1.76</f>
        <v>25.84</v>
      </c>
      <c r="T227" s="41"/>
      <c r="U227" s="41"/>
      <c r="V227" s="45"/>
      <c r="W227" s="49"/>
      <c r="X227" s="49" t="n">
        <f aca="false">+IF(ISNUMBER($S227),$S227,MIN($V227,$T227,$U227,$W227))</f>
        <v>25.84</v>
      </c>
      <c r="Y227" s="48" t="n">
        <v>0.5</v>
      </c>
      <c r="Z227" s="71" t="n">
        <v>25000000000</v>
      </c>
      <c r="AA227" s="43" t="n">
        <v>1</v>
      </c>
      <c r="AB227" s="48" t="n">
        <f aca="false">Z227/AA227</f>
        <v>25000000000</v>
      </c>
      <c r="AC227" s="48"/>
      <c r="AD227" s="51" t="n">
        <f aca="false">Y227/AB227*1000000000000</f>
        <v>20</v>
      </c>
      <c r="AE227" s="49" t="n">
        <f aca="false">IF(ISNUMBER($Q227), $AD227*1000/2^(($Q227-1.76)/6.02), "")</f>
        <v>473.661427034499</v>
      </c>
      <c r="AF227" s="49" t="n">
        <f aca="false">$AD227*1000/2^(($X227-1.76)/6.02)</f>
        <v>1250</v>
      </c>
      <c r="AG227" s="31" t="n">
        <f aca="false">IF(ISNUMBER($Q227), $Q227+10*LOG10($AB227/2/$Y227), "")</f>
        <v>138.24740008672</v>
      </c>
      <c r="AH227" s="31" t="n">
        <f aca="false">$X227+10*LOG10($AB227/2/$Y227)</f>
        <v>129.81940008672</v>
      </c>
      <c r="AI227" s="52" t="n">
        <f aca="false">AF227/AB227</f>
        <v>5E-008</v>
      </c>
      <c r="AJ227" s="53" t="n">
        <f aca="false">AH227+10*LOG10(AB227)</f>
        <v>233.798800173441</v>
      </c>
    </row>
    <row r="228" customFormat="false" ht="12.75" hidden="false" customHeight="false" outlineLevel="0" collapsed="false">
      <c r="A228" s="50" t="n">
        <v>2012</v>
      </c>
      <c r="B228" s="43" t="n">
        <v>27.1</v>
      </c>
      <c r="C228" s="42" t="s">
        <v>111</v>
      </c>
      <c r="D228" s="42" t="s">
        <v>133</v>
      </c>
      <c r="E228" s="65" t="n">
        <v>0.18</v>
      </c>
      <c r="F228" s="45" t="s">
        <v>1108</v>
      </c>
      <c r="G228" s="45" t="s">
        <v>1109</v>
      </c>
      <c r="H228" s="45" t="s">
        <v>1110</v>
      </c>
      <c r="I228" s="44" t="s">
        <v>1111</v>
      </c>
      <c r="J228" s="46" t="str">
        <f aca="false">IF(I228&lt;&gt;"?", HYPERLINK(CONCATENATE("https://doi.org/",I228)), "")</f>
        <v>https://doi.org/10.1109/ISSCC.2012.6177090</v>
      </c>
      <c r="K228" s="45" t="s">
        <v>117</v>
      </c>
      <c r="L228" s="41"/>
      <c r="M228" s="41"/>
      <c r="N228" s="41"/>
      <c r="O228" s="34" t="s">
        <v>117</v>
      </c>
      <c r="P228" s="45" t="n">
        <v>1.98</v>
      </c>
      <c r="Q228" s="54"/>
      <c r="R228" s="48" t="n">
        <f aca="false">AB228/2</f>
        <v>10000000</v>
      </c>
      <c r="S228" s="41" t="n">
        <v>76.8</v>
      </c>
      <c r="T228" s="41" t="n">
        <v>77.2</v>
      </c>
      <c r="U228" s="41"/>
      <c r="V228" s="41"/>
      <c r="W228" s="41" t="n">
        <v>95.4</v>
      </c>
      <c r="X228" s="49" t="n">
        <f aca="false">+IF(ISNUMBER($S228),$S228,MIN($V228,$T228,$U228,$W228))</f>
        <v>76.8</v>
      </c>
      <c r="Y228" s="48" t="n">
        <v>0.0051</v>
      </c>
      <c r="Z228" s="48" t="n">
        <v>20000000</v>
      </c>
      <c r="AA228" s="50" t="n">
        <v>1</v>
      </c>
      <c r="AB228" s="48" t="n">
        <f aca="false">Z228/AA228</f>
        <v>20000000</v>
      </c>
      <c r="AC228" s="48"/>
      <c r="AD228" s="51" t="n">
        <f aca="false">Y228/AB228*1000000000000</f>
        <v>255</v>
      </c>
      <c r="AE228" s="49" t="str">
        <f aca="false">IF(ISNUMBER($Q228), $AD228*1000/2^(($Q228-1.76)/6.02), "")</f>
        <v/>
      </c>
      <c r="AF228" s="49" t="n">
        <f aca="false">$AD228*1000/2^(($X228-1.76)/6.02)</f>
        <v>45.09893445486</v>
      </c>
      <c r="AG228" s="31" t="str">
        <f aca="false">IF(ISNUMBER($Q228), $Q228+10*LOG10($AB228/2/$Y228), "")</f>
        <v/>
      </c>
      <c r="AH228" s="31" t="n">
        <f aca="false">$X228+10*LOG10($AB228/2/$Y228)</f>
        <v>169.724298239021</v>
      </c>
      <c r="AI228" s="52" t="n">
        <f aca="false">AF228/AB228</f>
        <v>2.254946722743E-006</v>
      </c>
      <c r="AJ228" s="53" t="n">
        <f aca="false">AH228+10*LOG10(AB228)</f>
        <v>242.73459819566</v>
      </c>
    </row>
    <row r="229" customFormat="false" ht="12.75" hidden="false" customHeight="false" outlineLevel="0" collapsed="false">
      <c r="A229" s="50" t="n">
        <v>2012</v>
      </c>
      <c r="B229" s="43" t="n">
        <v>27.3</v>
      </c>
      <c r="C229" s="42" t="s">
        <v>111</v>
      </c>
      <c r="D229" s="42" t="s">
        <v>133</v>
      </c>
      <c r="E229" s="65" t="n">
        <v>0.065</v>
      </c>
      <c r="F229" s="45" t="s">
        <v>1112</v>
      </c>
      <c r="G229" s="45" t="s">
        <v>1113</v>
      </c>
      <c r="H229" s="45" t="s">
        <v>1114</v>
      </c>
      <c r="I229" s="44" t="s">
        <v>1115</v>
      </c>
      <c r="J229" s="46" t="str">
        <f aca="false">IF(I229&lt;&gt;"?", HYPERLINK(CONCATENATE("https://doi.org/",I229)), "")</f>
        <v>https://doi.org/10.1109/ISSCC.2012.6177091</v>
      </c>
      <c r="K229" s="45" t="s">
        <v>117</v>
      </c>
      <c r="L229" s="41" t="n">
        <v>1</v>
      </c>
      <c r="M229" s="41"/>
      <c r="N229" s="41"/>
      <c r="O229" s="34" t="s">
        <v>117</v>
      </c>
      <c r="P229" s="45" t="n">
        <v>0.19</v>
      </c>
      <c r="Q229" s="54"/>
      <c r="R229" s="48" t="n">
        <f aca="false">AB229/2</f>
        <v>100000000</v>
      </c>
      <c r="S229" s="41" t="n">
        <v>57</v>
      </c>
      <c r="T229" s="41"/>
      <c r="U229" s="41"/>
      <c r="V229" s="41"/>
      <c r="W229" s="41" t="n">
        <v>64</v>
      </c>
      <c r="X229" s="49" t="n">
        <f aca="false">+IF(ISNUMBER($S229),$S229,MIN($V229,$T229,$U229,$W229))</f>
        <v>57</v>
      </c>
      <c r="Y229" s="48" t="n">
        <v>0.00537</v>
      </c>
      <c r="Z229" s="48" t="n">
        <v>200000000</v>
      </c>
      <c r="AA229" s="50" t="n">
        <v>1</v>
      </c>
      <c r="AB229" s="48" t="n">
        <f aca="false">Z229/AA229</f>
        <v>200000000</v>
      </c>
      <c r="AC229" s="48"/>
      <c r="AD229" s="51" t="n">
        <f aca="false">Y229/AB229*1000000000000</f>
        <v>26.85</v>
      </c>
      <c r="AE229" s="49" t="str">
        <f aca="false">IF(ISNUMBER($Q229), $AD229*1000/2^(($Q229-1.76)/6.02), "")</f>
        <v/>
      </c>
      <c r="AF229" s="49" t="n">
        <f aca="false">$AD229*1000/2^(($X229-1.76)/6.02)</f>
        <v>46.4161427846836</v>
      </c>
      <c r="AG229" s="31" t="str">
        <f aca="false">IF(ISNUMBER($Q229), $Q229+10*LOG10($AB229/2/$Y229), "")</f>
        <v/>
      </c>
      <c r="AH229" s="31" t="n">
        <f aca="false">$X229+10*LOG10($AB229/2/$Y229)</f>
        <v>159.700257143004</v>
      </c>
      <c r="AI229" s="52" t="n">
        <f aca="false">AF229/AB229</f>
        <v>2.32080713923418E-007</v>
      </c>
      <c r="AJ229" s="53" t="n">
        <f aca="false">AH229+10*LOG10(AB229)</f>
        <v>242.710557099644</v>
      </c>
    </row>
    <row r="230" customFormat="false" ht="12.75" hidden="false" customHeight="false" outlineLevel="0" collapsed="false">
      <c r="A230" s="50" t="n">
        <v>2012</v>
      </c>
      <c r="B230" s="43" t="n">
        <v>27.5</v>
      </c>
      <c r="C230" s="42" t="s">
        <v>111</v>
      </c>
      <c r="D230" s="42" t="s">
        <v>133</v>
      </c>
      <c r="E230" s="65" t="n">
        <v>0.04</v>
      </c>
      <c r="F230" s="45" t="s">
        <v>1116</v>
      </c>
      <c r="G230" s="45" t="s">
        <v>1117</v>
      </c>
      <c r="H230" s="45" t="s">
        <v>1118</v>
      </c>
      <c r="I230" s="44" t="s">
        <v>1119</v>
      </c>
      <c r="J230" s="46" t="str">
        <f aca="false">IF(I230&lt;&gt;"?", HYPERLINK(CONCATENATE("https://doi.org/",I230)), "")</f>
        <v>https://doi.org/10.1109/ISSCC.2012.6177093</v>
      </c>
      <c r="K230" s="45" t="s">
        <v>117</v>
      </c>
      <c r="L230" s="41"/>
      <c r="M230" s="41"/>
      <c r="N230" s="41"/>
      <c r="O230" s="34" t="s">
        <v>117</v>
      </c>
      <c r="P230" s="45" t="n">
        <v>0.066</v>
      </c>
      <c r="Q230" s="54"/>
      <c r="R230" s="48" t="n">
        <f aca="false">AB230/2</f>
        <v>125000000</v>
      </c>
      <c r="S230" s="41" t="n">
        <v>56</v>
      </c>
      <c r="T230" s="41"/>
      <c r="U230" s="41"/>
      <c r="V230" s="41"/>
      <c r="W230" s="41"/>
      <c r="X230" s="49" t="n">
        <f aca="false">+IF(ISNUMBER($S230),$S230,MIN($V230,$T230,$U230,$W230))</f>
        <v>56</v>
      </c>
      <c r="Y230" s="48" t="n">
        <v>0.0017</v>
      </c>
      <c r="Z230" s="48" t="n">
        <v>250000000</v>
      </c>
      <c r="AA230" s="50" t="n">
        <v>1</v>
      </c>
      <c r="AB230" s="48" t="n">
        <f aca="false">Z230/AA230</f>
        <v>250000000</v>
      </c>
      <c r="AC230" s="48"/>
      <c r="AD230" s="51" t="n">
        <f aca="false">Y230/AB230*1000000000000</f>
        <v>6.8</v>
      </c>
      <c r="AE230" s="49" t="str">
        <f aca="false">IF(ISNUMBER($Q230), $AD230*1000/2^(($Q230-1.76)/6.02), "")</f>
        <v/>
      </c>
      <c r="AF230" s="49" t="n">
        <f aca="false">$AD230*1000/2^(($X230-1.76)/6.02)</f>
        <v>13.1898134384693</v>
      </c>
      <c r="AG230" s="31" t="str">
        <f aca="false">IF(ISNUMBER($Q230), $Q230+10*LOG10($AB230/2/$Y230), "")</f>
        <v/>
      </c>
      <c r="AH230" s="31" t="n">
        <f aca="false">$X230+10*LOG10($AB230/2/$Y230)</f>
        <v>164.664610916298</v>
      </c>
      <c r="AI230" s="52" t="n">
        <f aca="false">AF230/AB230</f>
        <v>5.27592537538773E-008</v>
      </c>
      <c r="AJ230" s="53" t="n">
        <f aca="false">AH230+10*LOG10(AB230)</f>
        <v>248.644011003018</v>
      </c>
    </row>
    <row r="231" customFormat="false" ht="12.75" hidden="false" customHeight="false" outlineLevel="0" collapsed="false">
      <c r="A231" s="50" t="n">
        <v>2012</v>
      </c>
      <c r="B231" s="43" t="n">
        <v>27.6</v>
      </c>
      <c r="C231" s="42" t="s">
        <v>139</v>
      </c>
      <c r="D231" s="42" t="s">
        <v>112</v>
      </c>
      <c r="E231" s="65" t="n">
        <v>0.065</v>
      </c>
      <c r="F231" s="45" t="s">
        <v>1120</v>
      </c>
      <c r="G231" s="45" t="s">
        <v>1121</v>
      </c>
      <c r="H231" s="45" t="s">
        <v>1122</v>
      </c>
      <c r="I231" s="44" t="s">
        <v>1123</v>
      </c>
      <c r="J231" s="46" t="str">
        <f aca="false">IF(I231&lt;&gt;"?", HYPERLINK(CONCATENATE("https://doi.org/",I231)), "")</f>
        <v>https://doi.org/10.1109/ISSCC.2012.6177094</v>
      </c>
      <c r="K231" s="45" t="s">
        <v>117</v>
      </c>
      <c r="L231" s="41"/>
      <c r="M231" s="41"/>
      <c r="N231" s="41"/>
      <c r="O231" s="34" t="s">
        <v>117</v>
      </c>
      <c r="P231" s="45" t="n">
        <f aca="false">0.231*0.2</f>
        <v>0.0462</v>
      </c>
      <c r="Q231" s="54"/>
      <c r="R231" s="48" t="n">
        <f aca="false">AB231/2</f>
        <v>11000000</v>
      </c>
      <c r="S231" s="41" t="n">
        <f aca="false">10*6.02+1.76</f>
        <v>61.96</v>
      </c>
      <c r="T231" s="41"/>
      <c r="U231" s="41"/>
      <c r="V231" s="41"/>
      <c r="W231" s="41"/>
      <c r="X231" s="49" t="n">
        <f aca="false">+IF(ISNUMBER($S231),$S231,MIN($V231,$T231,$U231,$W231))</f>
        <v>61.96</v>
      </c>
      <c r="Y231" s="48" t="n">
        <v>0.000806</v>
      </c>
      <c r="Z231" s="48" t="n">
        <v>88000000</v>
      </c>
      <c r="AA231" s="50" t="n">
        <v>4</v>
      </c>
      <c r="AB231" s="48" t="n">
        <f aca="false">Z231/AA231</f>
        <v>22000000</v>
      </c>
      <c r="AC231" s="48"/>
      <c r="AD231" s="51" t="n">
        <f aca="false">Y231/AB231*1000000000000</f>
        <v>36.6363636363636</v>
      </c>
      <c r="AE231" s="49" t="str">
        <f aca="false">IF(ISNUMBER($Q231), $AD231*1000/2^(($Q231-1.76)/6.02), "")</f>
        <v/>
      </c>
      <c r="AF231" s="49" t="n">
        <f aca="false">$AD231*1000/2^(($X231-1.76)/6.02)</f>
        <v>35.7776988636364</v>
      </c>
      <c r="AG231" s="31" t="str">
        <f aca="false">IF(ISNUMBER($Q231), $Q231+10*LOG10($AB231/2/$Y231), "")</f>
        <v/>
      </c>
      <c r="AH231" s="31" t="n">
        <f aca="false">$X231+10*LOG10($AB231/2/$Y231)</f>
        <v>163.310576433531</v>
      </c>
      <c r="AI231" s="52" t="n">
        <f aca="false">AF231/AB231</f>
        <v>1.6262590392562E-006</v>
      </c>
      <c r="AJ231" s="53" t="n">
        <f aca="false">AH231+10*LOG10(AB231)</f>
        <v>236.734803241753</v>
      </c>
    </row>
    <row r="232" customFormat="false" ht="12.75" hidden="false" customHeight="false" outlineLevel="0" collapsed="false">
      <c r="A232" s="50" t="n">
        <v>2012</v>
      </c>
      <c r="B232" s="43" t="n">
        <v>27.7</v>
      </c>
      <c r="C232" s="42" t="s">
        <v>111</v>
      </c>
      <c r="D232" s="42" t="s">
        <v>112</v>
      </c>
      <c r="E232" s="43" t="n">
        <v>0.04</v>
      </c>
      <c r="F232" s="45" t="s">
        <v>1124</v>
      </c>
      <c r="G232" s="45" t="s">
        <v>1125</v>
      </c>
      <c r="H232" s="45" t="s">
        <v>1126</v>
      </c>
      <c r="I232" s="44" t="s">
        <v>1127</v>
      </c>
      <c r="J232" s="46" t="str">
        <f aca="false">IF(I232&lt;&gt;"?", HYPERLINK(CONCATENATE("https://doi.org/",I232)), "")</f>
        <v>https://doi.org/10.1109/ISSCC.2012.6177095</v>
      </c>
      <c r="K232" s="45" t="s">
        <v>1128</v>
      </c>
      <c r="L232" s="41" t="n">
        <v>1.1</v>
      </c>
      <c r="M232" s="41"/>
      <c r="N232" s="41"/>
      <c r="O232" s="34" t="s">
        <v>117</v>
      </c>
      <c r="P232" s="56" t="n">
        <f aca="false">0.175*0.455</f>
        <v>0.079625</v>
      </c>
      <c r="Q232" s="54"/>
      <c r="R232" s="48" t="n">
        <f aca="false">AB232/2</f>
        <v>40000000</v>
      </c>
      <c r="S232" s="41" t="n">
        <v>54.2</v>
      </c>
      <c r="T232" s="41"/>
      <c r="U232" s="41" t="n">
        <v>70</v>
      </c>
      <c r="V232" s="41"/>
      <c r="W232" s="41"/>
      <c r="X232" s="49" t="n">
        <f aca="false">+IF(ISNUMBER($S232),$S232,MIN($V232,$T232,$U232,$W232))</f>
        <v>54.2</v>
      </c>
      <c r="Y232" s="48" t="n">
        <f aca="false">0.00545*1.1</f>
        <v>0.005995</v>
      </c>
      <c r="Z232" s="48" t="n">
        <v>80000000</v>
      </c>
      <c r="AA232" s="50" t="n">
        <v>1</v>
      </c>
      <c r="AB232" s="48" t="n">
        <f aca="false">Z232/AA232</f>
        <v>80000000</v>
      </c>
      <c r="AC232" s="48"/>
      <c r="AD232" s="51" t="n">
        <f aca="false">Y232/AB232*1000000000000</f>
        <v>74.9375</v>
      </c>
      <c r="AE232" s="49" t="str">
        <f aca="false">IF(ISNUMBER($Q232), $AD232*1000/2^(($Q232-1.76)/6.02), "")</f>
        <v/>
      </c>
      <c r="AF232" s="49" t="n">
        <f aca="false">$AD232*1000/2^(($X232-1.76)/6.02)</f>
        <v>178.828984064707</v>
      </c>
      <c r="AG232" s="31" t="str">
        <f aca="false">IF(ISNUMBER($Q232), $Q232+10*LOG10($AB232/2/$Y232), "")</f>
        <v/>
      </c>
      <c r="AH232" s="31" t="n">
        <f aca="false">$X232+10*LOG10($AB232/2/$Y232)</f>
        <v>152.442708038931</v>
      </c>
      <c r="AI232" s="52" t="n">
        <f aca="false">AF232/AB232</f>
        <v>2.23536230080884E-006</v>
      </c>
      <c r="AJ232" s="53" t="n">
        <f aca="false">AH232+10*LOG10(AB232)</f>
        <v>231.47360790885</v>
      </c>
    </row>
    <row r="233" customFormat="false" ht="12.75" hidden="false" customHeight="false" outlineLevel="0" collapsed="false">
      <c r="A233" s="50" t="n">
        <v>2012</v>
      </c>
      <c r="B233" s="43" t="n">
        <v>27.8</v>
      </c>
      <c r="C233" s="42" t="s">
        <v>111</v>
      </c>
      <c r="D233" s="42" t="s">
        <v>112</v>
      </c>
      <c r="E233" s="43" t="n">
        <v>0.09</v>
      </c>
      <c r="F233" s="45" t="s">
        <v>1129</v>
      </c>
      <c r="G233" s="45" t="s">
        <v>1130</v>
      </c>
      <c r="H233" s="45" t="s">
        <v>1131</v>
      </c>
      <c r="I233" s="44" t="s">
        <v>1132</v>
      </c>
      <c r="J233" s="46" t="str">
        <f aca="false">IF(I233&lt;&gt;"?", HYPERLINK(CONCATENATE("https://doi.org/",I233)), "")</f>
        <v>https://doi.org/10.1109/ISSCC.2012.6177096</v>
      </c>
      <c r="K233" s="45" t="s">
        <v>1050</v>
      </c>
      <c r="L233" s="41" t="n">
        <v>1.1</v>
      </c>
      <c r="M233" s="41"/>
      <c r="N233" s="41"/>
      <c r="O233" s="34" t="s">
        <v>117</v>
      </c>
      <c r="P233" s="45" t="n">
        <v>0.047</v>
      </c>
      <c r="Q233" s="54"/>
      <c r="R233" s="48" t="n">
        <f aca="false">AB233/2</f>
        <v>2000000</v>
      </c>
      <c r="S233" s="41" t="n">
        <f aca="false">9.4*6.02+1.76</f>
        <v>58.348</v>
      </c>
      <c r="T233" s="41"/>
      <c r="U233" s="41"/>
      <c r="V233" s="41"/>
      <c r="W233" s="41"/>
      <c r="X233" s="49" t="n">
        <f aca="false">+IF(ISNUMBER($S233),$S233,MIN($V233,$T233,$U233,$W233))</f>
        <v>58.348</v>
      </c>
      <c r="Y233" s="48" t="n">
        <v>1.744E-005</v>
      </c>
      <c r="Z233" s="48" t="n">
        <v>4000000</v>
      </c>
      <c r="AA233" s="50" t="n">
        <v>1</v>
      </c>
      <c r="AB233" s="48" t="n">
        <f aca="false">Z233/AA233</f>
        <v>4000000</v>
      </c>
      <c r="AC233" s="48"/>
      <c r="AD233" s="51" t="n">
        <f aca="false">Y233/AB233*1000000000000</f>
        <v>4.36</v>
      </c>
      <c r="AE233" s="49" t="str">
        <f aca="false">IF(ISNUMBER($Q233), $AD233*1000/2^(($Q233-1.76)/6.02), "")</f>
        <v/>
      </c>
      <c r="AF233" s="49" t="n">
        <f aca="false">$AD233*1000/2^(($X233-1.76)/6.02)</f>
        <v>6.45363694334505</v>
      </c>
      <c r="AG233" s="31" t="str">
        <f aca="false">IF(ISNUMBER($Q233), $Q233+10*LOG10($AB233/2/$Y233), "")</f>
        <v/>
      </c>
      <c r="AH233" s="31" t="n">
        <f aca="false">$X233+10*LOG10($AB233/2/$Y233)</f>
        <v>168.942835150674</v>
      </c>
      <c r="AI233" s="52" t="n">
        <f aca="false">AF233/AB233</f>
        <v>1.61340923583626E-006</v>
      </c>
      <c r="AJ233" s="53" t="n">
        <f aca="false">AH233+10*LOG10(AB233)</f>
        <v>234.963435063954</v>
      </c>
    </row>
    <row r="234" customFormat="false" ht="12.75" hidden="false" customHeight="false" outlineLevel="0" collapsed="false">
      <c r="A234" s="50" t="n">
        <v>2012</v>
      </c>
      <c r="B234" s="43" t="n">
        <v>27.9</v>
      </c>
      <c r="C234" s="42" t="s">
        <v>111</v>
      </c>
      <c r="D234" s="42" t="s">
        <v>133</v>
      </c>
      <c r="E234" s="65" t="n">
        <v>0.13</v>
      </c>
      <c r="F234" s="45" t="s">
        <v>1133</v>
      </c>
      <c r="G234" s="45" t="s">
        <v>1134</v>
      </c>
      <c r="H234" s="45" t="s">
        <v>1135</v>
      </c>
      <c r="I234" s="44" t="s">
        <v>1136</v>
      </c>
      <c r="J234" s="46" t="str">
        <f aca="false">IF(I234&lt;&gt;"?", HYPERLINK(CONCATENATE("https://doi.org/",I234)), "")</f>
        <v>https://doi.org/10.1109/ISSCC.2012.6177097</v>
      </c>
      <c r="K234" s="45" t="s">
        <v>117</v>
      </c>
      <c r="L234" s="41"/>
      <c r="M234" s="41"/>
      <c r="N234" s="41"/>
      <c r="O234" s="34" t="s">
        <v>117</v>
      </c>
      <c r="P234" s="45" t="n">
        <v>0.24</v>
      </c>
      <c r="Q234" s="54"/>
      <c r="R234" s="48" t="n">
        <f aca="false">AB234/2</f>
        <v>15000000</v>
      </c>
      <c r="S234" s="41" t="n">
        <v>70.4</v>
      </c>
      <c r="T234" s="41"/>
      <c r="U234" s="41"/>
      <c r="V234" s="41"/>
      <c r="W234" s="41" t="n">
        <v>79.6</v>
      </c>
      <c r="X234" s="49" t="n">
        <f aca="false">+IF(ISNUMBER($S234),$S234,MIN($V234,$T234,$U234,$W234))</f>
        <v>70.4</v>
      </c>
      <c r="Y234" s="48" t="n">
        <v>0.00254</v>
      </c>
      <c r="Z234" s="48" t="n">
        <v>30000000</v>
      </c>
      <c r="AA234" s="50" t="n">
        <v>1</v>
      </c>
      <c r="AB234" s="48" t="n">
        <f aca="false">Z234/AA234</f>
        <v>30000000</v>
      </c>
      <c r="AC234" s="48"/>
      <c r="AD234" s="51" t="n">
        <f aca="false">Y234/AB234*1000000000000</f>
        <v>84.6666666666667</v>
      </c>
      <c r="AE234" s="49" t="str">
        <f aca="false">IF(ISNUMBER($Q234), $AD234*1000/2^(($Q234-1.76)/6.02), "")</f>
        <v/>
      </c>
      <c r="AF234" s="49" t="n">
        <f aca="false">$AD234*1000/2^(($X234-1.76)/6.02)</f>
        <v>31.2874703851213</v>
      </c>
      <c r="AG234" s="31" t="str">
        <f aca="false">IF(ISNUMBER($Q234), $Q234+10*LOG10($AB234/2/$Y234), "")</f>
        <v/>
      </c>
      <c r="AH234" s="31" t="n">
        <f aca="false">$X234+10*LOG10($AB234/2/$Y234)</f>
        <v>168.112575424357</v>
      </c>
      <c r="AI234" s="52" t="n">
        <f aca="false">AF234/AB234</f>
        <v>1.04291567950404E-006</v>
      </c>
      <c r="AJ234" s="53" t="n">
        <f aca="false">AH234+10*LOG10(AB234)</f>
        <v>242.883787971554</v>
      </c>
    </row>
    <row r="235" customFormat="false" ht="12.75" hidden="false" customHeight="false" outlineLevel="0" collapsed="false">
      <c r="A235" s="74" t="n">
        <v>2013</v>
      </c>
      <c r="B235" s="22" t="n">
        <v>2.4</v>
      </c>
      <c r="C235" s="34" t="s">
        <v>111</v>
      </c>
      <c r="D235" s="23" t="s">
        <v>463</v>
      </c>
      <c r="E235" s="24" t="n">
        <v>0.04</v>
      </c>
      <c r="F235" s="75" t="s">
        <v>1137</v>
      </c>
      <c r="G235" s="17" t="s">
        <v>1138</v>
      </c>
      <c r="H235" s="52" t="s">
        <v>1139</v>
      </c>
      <c r="I235" s="76" t="s">
        <v>1140</v>
      </c>
      <c r="J235" s="46" t="str">
        <f aca="false">IF(I235&lt;&gt;"?", HYPERLINK(CONCATENATE("https://doi.org/",I235)), "")</f>
        <v>https://doi.org/10.1109/ISSCC.2013.6487625</v>
      </c>
      <c r="K235" s="77" t="s">
        <v>117</v>
      </c>
      <c r="L235" s="30"/>
      <c r="M235" s="30"/>
      <c r="N235" s="30"/>
      <c r="O235" s="34" t="s">
        <v>117</v>
      </c>
      <c r="P235" s="28" t="n">
        <v>0</v>
      </c>
      <c r="Q235" s="54"/>
      <c r="R235" s="48" t="n">
        <f aca="false">AB235/2</f>
        <v>5000000000</v>
      </c>
      <c r="S235" s="30" t="n">
        <v>29.2</v>
      </c>
      <c r="T235" s="30"/>
      <c r="W235" s="31"/>
      <c r="X235" s="49" t="n">
        <f aca="false">+IF(ISNUMBER($S235),$S235,MIN($V235,$T235,$U235,$W235))</f>
        <v>29.2</v>
      </c>
      <c r="Y235" s="26" t="n">
        <v>0.139</v>
      </c>
      <c r="Z235" s="26" t="n">
        <v>10000000000</v>
      </c>
      <c r="AA235" s="34" t="n">
        <v>1</v>
      </c>
      <c r="AB235" s="48" t="n">
        <f aca="false">Z235/AA235</f>
        <v>10000000000</v>
      </c>
      <c r="AC235" s="48"/>
      <c r="AD235" s="51" t="n">
        <f aca="false">Y235/AB235*1000000000000</f>
        <v>13.9</v>
      </c>
      <c r="AE235" s="49" t="str">
        <f aca="false">IF(ISNUMBER($Q235), $AD235*1000/2^(($Q235-1.76)/6.02), "")</f>
        <v/>
      </c>
      <c r="AF235" s="49" t="n">
        <f aca="false">$AD235*1000/2^(($X235-1.76)/6.02)</f>
        <v>590.035409921725</v>
      </c>
      <c r="AG235" s="31" t="str">
        <f aca="false">IF(ISNUMBER($Q235), $Q235+10*LOG10($AB235/2/$Y235), "")</f>
        <v/>
      </c>
      <c r="AH235" s="31" t="n">
        <f aca="false">$X235+10*LOG10($AB235/2/$Y235)</f>
        <v>134.759552040819</v>
      </c>
      <c r="AI235" s="52" t="n">
        <f aca="false">AF235/AB235</f>
        <v>5.90035409921725E-008</v>
      </c>
      <c r="AJ235" s="53" t="n">
        <f aca="false">AH235+10*LOG10(AB235)</f>
        <v>234.759552040819</v>
      </c>
    </row>
    <row r="236" customFormat="false" ht="12.75" hidden="false" customHeight="false" outlineLevel="0" collapsed="false">
      <c r="A236" s="23" t="n">
        <v>2013</v>
      </c>
      <c r="B236" s="34" t="n">
        <v>15.1</v>
      </c>
      <c r="C236" s="78" t="s">
        <v>139</v>
      </c>
      <c r="D236" s="34" t="s">
        <v>173</v>
      </c>
      <c r="E236" s="79" t="n">
        <v>0.028</v>
      </c>
      <c r="F236" s="17" t="s">
        <v>1141</v>
      </c>
      <c r="G236" s="17" t="s">
        <v>1142</v>
      </c>
      <c r="H236" s="17" t="s">
        <v>1143</v>
      </c>
      <c r="I236" s="76" t="s">
        <v>1144</v>
      </c>
      <c r="J236" s="46" t="str">
        <f aca="false">IF(I236&lt;&gt;"?", HYPERLINK(CONCATENATE("https://doi.org/",I236)), "")</f>
        <v>https://doi.org/10.1109/ISSCC.2013.6487729</v>
      </c>
      <c r="K236" s="45" t="s">
        <v>117</v>
      </c>
      <c r="L236" s="54"/>
      <c r="M236" s="54"/>
      <c r="N236" s="54"/>
      <c r="O236" s="34" t="s">
        <v>117</v>
      </c>
      <c r="P236" s="2" t="n">
        <v>0.08</v>
      </c>
      <c r="Q236" s="54"/>
      <c r="R236" s="48" t="n">
        <f aca="false">AB236/2</f>
        <v>18000000</v>
      </c>
      <c r="S236" s="54" t="n">
        <v>73.6</v>
      </c>
      <c r="T236" s="54"/>
      <c r="U236" s="54" t="n">
        <v>78.1</v>
      </c>
      <c r="V236" s="54"/>
      <c r="W236" s="54"/>
      <c r="X236" s="49" t="n">
        <f aca="false">+IF(ISNUMBER($S236),$S236,MIN($V236,$T236,$U236,$W236))</f>
        <v>73.6</v>
      </c>
      <c r="Y236" s="52" t="n">
        <v>0.0039</v>
      </c>
      <c r="Z236" s="52" t="n">
        <v>640000000</v>
      </c>
      <c r="AA236" s="23" t="n">
        <f aca="false">Z236/2/18000000</f>
        <v>17.7777777777778</v>
      </c>
      <c r="AB236" s="48" t="n">
        <f aca="false">Z236/AA236</f>
        <v>36000000</v>
      </c>
      <c r="AC236" s="48"/>
      <c r="AD236" s="51" t="n">
        <f aca="false">Y236/AB236*1000000000000</f>
        <v>108.333333333333</v>
      </c>
      <c r="AE236" s="49" t="str">
        <f aca="false">IF(ISNUMBER($Q236), $AD236*1000/2^(($Q236-1.76)/6.02), "")</f>
        <v/>
      </c>
      <c r="AF236" s="49" t="n">
        <f aca="false">$AD236*1000/2^(($X236-1.76)/6.02)</f>
        <v>27.6951774010696</v>
      </c>
      <c r="AG236" s="31" t="str">
        <f aca="false">IF(ISNUMBER($Q236), $Q236+10*LOG10($AB236/2/$Y236), "")</f>
        <v/>
      </c>
      <c r="AH236" s="31" t="n">
        <f aca="false">$X236+10*LOG10($AB236/2/$Y236)</f>
        <v>170.242078980768</v>
      </c>
      <c r="AI236" s="52" t="n">
        <f aca="false">AF236/AB236</f>
        <v>7.69310483363044E-007</v>
      </c>
      <c r="AJ236" s="53" t="n">
        <f aca="false">AH236+10*LOG10(AB236)</f>
        <v>245.805103988441</v>
      </c>
    </row>
    <row r="237" customFormat="false" ht="12.75" hidden="false" customHeight="false" outlineLevel="0" collapsed="false">
      <c r="A237" s="23" t="n">
        <v>2013</v>
      </c>
      <c r="B237" s="34" t="n">
        <v>15.2</v>
      </c>
      <c r="C237" s="78" t="s">
        <v>111</v>
      </c>
      <c r="D237" s="34" t="s">
        <v>112</v>
      </c>
      <c r="E237" s="79" t="n">
        <v>0.065</v>
      </c>
      <c r="F237" s="17" t="s">
        <v>1145</v>
      </c>
      <c r="G237" s="17" t="s">
        <v>1146</v>
      </c>
      <c r="H237" s="17" t="s">
        <v>1131</v>
      </c>
      <c r="I237" s="76" t="s">
        <v>1147</v>
      </c>
      <c r="J237" s="46" t="str">
        <f aca="false">IF(I237&lt;&gt;"?", HYPERLINK(CONCATENATE("https://doi.org/",I237)), "")</f>
        <v>https://doi.org/10.1109/ISSCC.2013.6487730</v>
      </c>
      <c r="K237" s="17" t="s">
        <v>1148</v>
      </c>
      <c r="L237" s="54" t="n">
        <v>0.6</v>
      </c>
      <c r="M237" s="54"/>
      <c r="N237" s="54"/>
      <c r="O237" s="34" t="s">
        <v>117</v>
      </c>
      <c r="P237" s="2" t="n">
        <v>0.076</v>
      </c>
      <c r="Q237" s="54"/>
      <c r="R237" s="48" t="n">
        <f aca="false">AB237/2</f>
        <v>20000</v>
      </c>
      <c r="S237" s="54" t="n">
        <f aca="false">10.1*6.02+1.76</f>
        <v>62.562</v>
      </c>
      <c r="T237" s="54"/>
      <c r="U237" s="54"/>
      <c r="V237" s="54"/>
      <c r="W237" s="54"/>
      <c r="X237" s="49" t="n">
        <f aca="false">+IF(ISNUMBER($S237),$S237,MIN($V237,$T237,$U237,$W237))</f>
        <v>62.562</v>
      </c>
      <c r="Y237" s="52" t="n">
        <v>9.7E-008</v>
      </c>
      <c r="Z237" s="52" t="n">
        <v>40000</v>
      </c>
      <c r="AA237" s="23" t="n">
        <v>1</v>
      </c>
      <c r="AB237" s="48" t="n">
        <f aca="false">Z237/AA237</f>
        <v>40000</v>
      </c>
      <c r="AC237" s="48"/>
      <c r="AD237" s="51" t="n">
        <f aca="false">Y237/AB237*1000000000000</f>
        <v>2.425</v>
      </c>
      <c r="AE237" s="49" t="str">
        <f aca="false">IF(ISNUMBER($Q237), $AD237*1000/2^(($Q237-1.76)/6.02), "")</f>
        <v/>
      </c>
      <c r="AF237" s="49" t="n">
        <f aca="false">$AD237*1000/2^(($X237-1.76)/6.02)</f>
        <v>2.20957519968433</v>
      </c>
      <c r="AG237" s="31" t="str">
        <f aca="false">IF(ISNUMBER($Q237), $Q237+10*LOG10($AB237/2/$Y237), "")</f>
        <v/>
      </c>
      <c r="AH237" s="31" t="n">
        <f aca="false">$X237+10*LOG10($AB237/2/$Y237)</f>
        <v>175.704582613977</v>
      </c>
      <c r="AI237" s="52" t="n">
        <f aca="false">AF237/AB237</f>
        <v>5.52393799921084E-005</v>
      </c>
      <c r="AJ237" s="53" t="n">
        <f aca="false">AH237+10*LOG10(AB237)</f>
        <v>221.725182527257</v>
      </c>
    </row>
    <row r="238" customFormat="false" ht="12.75" hidden="false" customHeight="false" outlineLevel="0" collapsed="false">
      <c r="A238" s="23" t="n">
        <v>2013</v>
      </c>
      <c r="B238" s="34" t="n">
        <v>15.3</v>
      </c>
      <c r="C238" s="78" t="s">
        <v>111</v>
      </c>
      <c r="D238" s="34" t="s">
        <v>112</v>
      </c>
      <c r="E238" s="79" t="n">
        <v>0.09</v>
      </c>
      <c r="F238" s="17" t="s">
        <v>1149</v>
      </c>
      <c r="G238" s="17" t="s">
        <v>1150</v>
      </c>
      <c r="H238" s="17" t="s">
        <v>1151</v>
      </c>
      <c r="I238" s="76" t="s">
        <v>1152</v>
      </c>
      <c r="J238" s="46" t="str">
        <f aca="false">IF(I238&lt;&gt;"?", HYPERLINK(CONCATENATE("https://doi.org/",I238)), "")</f>
        <v>https://doi.org/10.1109/ISSCC.2013.6487731</v>
      </c>
      <c r="K238" s="17" t="s">
        <v>117</v>
      </c>
      <c r="L238" s="54"/>
      <c r="M238" s="54"/>
      <c r="N238" s="54"/>
      <c r="O238" s="34" t="s">
        <v>117</v>
      </c>
      <c r="P238" s="2" t="n">
        <v>0.097</v>
      </c>
      <c r="Q238" s="54"/>
      <c r="R238" s="48" t="n">
        <f aca="false">AB238/2</f>
        <v>25000000</v>
      </c>
      <c r="S238" s="54" t="n">
        <v>69.1</v>
      </c>
      <c r="T238" s="54"/>
      <c r="U238" s="54"/>
      <c r="V238" s="54"/>
      <c r="W238" s="54" t="n">
        <v>84</v>
      </c>
      <c r="X238" s="49" t="n">
        <f aca="false">+IF(ISNUMBER($S238),$S238,MIN($V238,$T238,$U238,$W238))</f>
        <v>69.1</v>
      </c>
      <c r="Y238" s="52" t="n">
        <v>0.0042</v>
      </c>
      <c r="Z238" s="52" t="n">
        <v>50000000</v>
      </c>
      <c r="AA238" s="23" t="n">
        <v>1</v>
      </c>
      <c r="AB238" s="48" t="n">
        <f aca="false">Z238/AA238</f>
        <v>50000000</v>
      </c>
      <c r="AC238" s="48"/>
      <c r="AD238" s="51" t="n">
        <f aca="false">Y238/AB238*1000000000000</f>
        <v>84</v>
      </c>
      <c r="AE238" s="49" t="str">
        <f aca="false">IF(ISNUMBER($Q238), $AD238*1000/2^(($Q238-1.76)/6.02), "")</f>
        <v/>
      </c>
      <c r="AF238" s="49" t="n">
        <f aca="false">$AD238*1000/2^(($X238-1.76)/6.02)</f>
        <v>36.0531946382876</v>
      </c>
      <c r="AG238" s="31" t="str">
        <f aca="false">IF(ISNUMBER($Q238), $Q238+10*LOG10($AB238/2/$Y238), "")</f>
        <v/>
      </c>
      <c r="AH238" s="31" t="n">
        <f aca="false">$X238+10*LOG10($AB238/2/$Y238)</f>
        <v>166.846907182741</v>
      </c>
      <c r="AI238" s="52" t="n">
        <f aca="false">AF238/AB238</f>
        <v>7.21063892765752E-007</v>
      </c>
      <c r="AJ238" s="53" t="n">
        <f aca="false">AH238+10*LOG10(AB238)</f>
        <v>243.836607226102</v>
      </c>
    </row>
    <row r="239" customFormat="false" ht="12.75" hidden="false" customHeight="false" outlineLevel="0" collapsed="false">
      <c r="A239" s="23" t="n">
        <v>2013</v>
      </c>
      <c r="B239" s="43" t="n">
        <v>15.4</v>
      </c>
      <c r="C239" s="78" t="s">
        <v>139</v>
      </c>
      <c r="D239" s="34" t="s">
        <v>1153</v>
      </c>
      <c r="E239" s="79" t="n">
        <v>0.16</v>
      </c>
      <c r="F239" s="17" t="s">
        <v>1154</v>
      </c>
      <c r="G239" s="17" t="s">
        <v>1155</v>
      </c>
      <c r="H239" s="17" t="s">
        <v>1156</v>
      </c>
      <c r="I239" s="76" t="s">
        <v>1157</v>
      </c>
      <c r="J239" s="46" t="str">
        <f aca="false">IF(I239&lt;&gt;"?", HYPERLINK(CONCATENATE("https://doi.org/",I239)), "")</f>
        <v>https://doi.org/10.1109/ISSCC.2013.6487732</v>
      </c>
      <c r="K239" s="17" t="s">
        <v>117</v>
      </c>
      <c r="L239" s="54" t="n">
        <v>1</v>
      </c>
      <c r="M239" s="54"/>
      <c r="N239" s="54"/>
      <c r="O239" s="34" t="s">
        <v>117</v>
      </c>
      <c r="P239" s="2" t="n">
        <v>0.45</v>
      </c>
      <c r="Q239" s="54"/>
      <c r="R239" s="48" t="n">
        <f aca="false">AB239/2</f>
        <v>666.666666666667</v>
      </c>
      <c r="S239" s="54"/>
      <c r="T239" s="54" t="n">
        <f aca="false">20*LOG10(0.7/(2*SQRT(2)*0.0000199))</f>
        <v>81.8939994021716</v>
      </c>
      <c r="U239" s="54"/>
      <c r="V239" s="54"/>
      <c r="W239" s="54"/>
      <c r="X239" s="49" t="n">
        <f aca="false">+IF(ISNUMBER($S239),$S239,MIN($V239,$T239,$U239,$W239))</f>
        <v>81.8939994021716</v>
      </c>
      <c r="Y239" s="52" t="n">
        <v>2E-005</v>
      </c>
      <c r="Z239" s="52" t="n">
        <f aca="false">1/0.00075</f>
        <v>1333.33333333333</v>
      </c>
      <c r="AA239" s="23" t="n">
        <v>1</v>
      </c>
      <c r="AB239" s="48" t="n">
        <f aca="false">Z239/AA239</f>
        <v>1333.33333333333</v>
      </c>
      <c r="AC239" s="48"/>
      <c r="AD239" s="51" t="n">
        <f aca="false">Y239/AB239*1000000000000</f>
        <v>15000</v>
      </c>
      <c r="AE239" s="49" t="str">
        <f aca="false">IF(ISNUMBER($Q239), $AD239*1000/2^(($Q239-1.76)/6.02), "")</f>
        <v/>
      </c>
      <c r="AF239" s="49" t="n">
        <f aca="false">$AD239*1000/2^(($X239-1.76)/6.02)</f>
        <v>1475.67937650289</v>
      </c>
      <c r="AG239" s="31" t="str">
        <f aca="false">IF(ISNUMBER($Q239), $Q239+10*LOG10($AB239/2/$Y239), "")</f>
        <v/>
      </c>
      <c r="AH239" s="31" t="n">
        <f aca="false">$X239+10*LOG10($AB239/2/$Y239)</f>
        <v>157.122786854975</v>
      </c>
      <c r="AI239" s="52" t="n">
        <f aca="false">AF239/AB239</f>
        <v>1.10675953237717</v>
      </c>
      <c r="AJ239" s="53" t="n">
        <f aca="false">AH239+10*LOG10(AB239)</f>
        <v>188.372174221058</v>
      </c>
    </row>
    <row r="240" customFormat="false" ht="12.75" hidden="false" customHeight="false" outlineLevel="0" collapsed="false">
      <c r="A240" s="23" t="n">
        <v>2013</v>
      </c>
      <c r="B240" s="43" t="n">
        <v>15.5</v>
      </c>
      <c r="C240" s="78" t="s">
        <v>139</v>
      </c>
      <c r="D240" s="34" t="s">
        <v>1153</v>
      </c>
      <c r="E240" s="79" t="n">
        <v>0.16</v>
      </c>
      <c r="F240" s="17" t="s">
        <v>1158</v>
      </c>
      <c r="G240" s="17" t="s">
        <v>1159</v>
      </c>
      <c r="H240" s="17" t="s">
        <v>1160</v>
      </c>
      <c r="I240" s="76" t="s">
        <v>1161</v>
      </c>
      <c r="J240" s="46" t="str">
        <f aca="false">IF(I240&lt;&gt;"?", HYPERLINK(CONCATENATE("https://doi.org/",I240)), "")</f>
        <v>https://doi.org/10.1109/ISSCC.2013.6487733</v>
      </c>
      <c r="K240" s="17" t="s">
        <v>117</v>
      </c>
      <c r="L240" s="54"/>
      <c r="M240" s="54"/>
      <c r="N240" s="54"/>
      <c r="O240" s="34" t="s">
        <v>117</v>
      </c>
      <c r="P240" s="2" t="n">
        <v>0.375</v>
      </c>
      <c r="Q240" s="54"/>
      <c r="R240" s="48" t="n">
        <f aca="false">AB240/2</f>
        <v>12.5</v>
      </c>
      <c r="S240" s="54"/>
      <c r="T240" s="54" t="n">
        <f aca="false">20*LOG10(1.8/(2*SQRT(2)*0.00000065))</f>
        <v>119.81628309929</v>
      </c>
      <c r="U240" s="54"/>
      <c r="V240" s="54"/>
      <c r="W240" s="54"/>
      <c r="X240" s="49" t="n">
        <f aca="false">+IF(ISNUMBER($S240),$S240,MIN($V240,$T240,$U240,$W240))</f>
        <v>119.81628309929</v>
      </c>
      <c r="Y240" s="52" t="n">
        <f aca="false">0.0000035*1.8</f>
        <v>6.3E-006</v>
      </c>
      <c r="Z240" s="52" t="n">
        <f aca="false">1/0.04*2000</f>
        <v>50000</v>
      </c>
      <c r="AA240" s="23" t="n">
        <v>2000</v>
      </c>
      <c r="AB240" s="48" t="n">
        <f aca="false">Z240/AA240</f>
        <v>25</v>
      </c>
      <c r="AC240" s="48"/>
      <c r="AD240" s="51" t="n">
        <f aca="false">Y240/AB240*1000000000000</f>
        <v>252000</v>
      </c>
      <c r="AE240" s="49" t="str">
        <f aca="false">IF(ISNUMBER($Q240), $AD240*1000/2^(($Q240-1.76)/6.02), "")</f>
        <v/>
      </c>
      <c r="AF240" s="49" t="n">
        <f aca="false">$AD240*1000/2^(($X240-1.76)/6.02)</f>
        <v>314.773490904296</v>
      </c>
      <c r="AG240" s="31" t="str">
        <f aca="false">IF(ISNUMBER($Q240), $Q240+10*LOG10($AB240/2/$Y240), "")</f>
        <v/>
      </c>
      <c r="AH240" s="31" t="n">
        <f aca="false">$X240+10*LOG10($AB240/2/$Y240)</f>
        <v>182.791977734834</v>
      </c>
      <c r="AI240" s="52" t="n">
        <f aca="false">AF240/AB240</f>
        <v>12.5909396361718</v>
      </c>
      <c r="AJ240" s="53" t="n">
        <f aca="false">AH240+10*LOG10(AB240)</f>
        <v>196.771377821555</v>
      </c>
    </row>
    <row r="241" customFormat="false" ht="12.75" hidden="false" customHeight="false" outlineLevel="0" collapsed="false">
      <c r="A241" s="23" t="n">
        <v>2013</v>
      </c>
      <c r="B241" s="34" t="n">
        <v>15.7</v>
      </c>
      <c r="C241" s="78" t="s">
        <v>111</v>
      </c>
      <c r="D241" s="34" t="s">
        <v>112</v>
      </c>
      <c r="E241" s="79" t="n">
        <v>0.09</v>
      </c>
      <c r="F241" s="17" t="s">
        <v>1162</v>
      </c>
      <c r="G241" s="17" t="s">
        <v>1163</v>
      </c>
      <c r="H241" s="17" t="s">
        <v>1164</v>
      </c>
      <c r="I241" s="76" t="s">
        <v>1165</v>
      </c>
      <c r="J241" s="46" t="str">
        <f aca="false">IF(I241&lt;&gt;"?", HYPERLINK(CONCATENATE("https://doi.org/",I241)), "")</f>
        <v>https://doi.org/10.1109/ISSCC.2013.6487735</v>
      </c>
      <c r="K241" s="17" t="s">
        <v>1166</v>
      </c>
      <c r="L241" s="54" t="n">
        <v>0.4</v>
      </c>
      <c r="M241" s="54"/>
      <c r="N241" s="54"/>
      <c r="O241" s="34" t="s">
        <v>117</v>
      </c>
      <c r="P241" s="2" t="n">
        <v>0.042</v>
      </c>
      <c r="Q241" s="54"/>
      <c r="R241" s="48" t="n">
        <f aca="false">AB241/2</f>
        <v>250000</v>
      </c>
      <c r="S241" s="54" t="n">
        <v>54.3</v>
      </c>
      <c r="T241" s="54"/>
      <c r="U241" s="54"/>
      <c r="V241" s="54"/>
      <c r="W241" s="54"/>
      <c r="X241" s="49" t="n">
        <f aca="false">+IF(ISNUMBER($S241),$S241,MIN($V241,$T241,$U241,$W241))</f>
        <v>54.3</v>
      </c>
      <c r="Y241" s="52" t="n">
        <v>5E-007</v>
      </c>
      <c r="Z241" s="52" t="n">
        <v>500000</v>
      </c>
      <c r="AA241" s="23" t="n">
        <v>1</v>
      </c>
      <c r="AB241" s="48" t="n">
        <f aca="false">Z241/AA241</f>
        <v>500000</v>
      </c>
      <c r="AC241" s="48"/>
      <c r="AD241" s="51" t="n">
        <f aca="false">Y241/AB241*1000000000000</f>
        <v>1</v>
      </c>
      <c r="AE241" s="49" t="str">
        <f aca="false">IF(ISNUMBER($Q241), $AD241*1000/2^(($Q241-1.76)/6.02), "")</f>
        <v/>
      </c>
      <c r="AF241" s="49" t="n">
        <f aca="false">$AD241*1000/2^(($X241-1.76)/6.02)</f>
        <v>2.35905578367831</v>
      </c>
      <c r="AG241" s="31" t="str">
        <f aca="false">IF(ISNUMBER($Q241), $Q241+10*LOG10($AB241/2/$Y241), "")</f>
        <v/>
      </c>
      <c r="AH241" s="31" t="n">
        <f aca="false">$X241+10*LOG10($AB241/2/$Y241)</f>
        <v>171.28970004336</v>
      </c>
      <c r="AI241" s="52" t="n">
        <f aca="false">AF241/AB241</f>
        <v>4.71811156735663E-006</v>
      </c>
      <c r="AJ241" s="53" t="n">
        <f aca="false">AH241+10*LOG10(AB241)</f>
        <v>228.27940008672</v>
      </c>
    </row>
    <row r="242" customFormat="false" ht="12.75" hidden="false" customHeight="false" outlineLevel="0" collapsed="false">
      <c r="A242" s="23" t="n">
        <v>2013</v>
      </c>
      <c r="B242" s="34" t="n">
        <v>15.8</v>
      </c>
      <c r="C242" s="78" t="s">
        <v>111</v>
      </c>
      <c r="D242" s="34" t="s">
        <v>133</v>
      </c>
      <c r="E242" s="79" t="n">
        <v>0.18</v>
      </c>
      <c r="F242" s="17" t="s">
        <v>1167</v>
      </c>
      <c r="G242" s="17" t="s">
        <v>1168</v>
      </c>
      <c r="H242" s="17" t="s">
        <v>1169</v>
      </c>
      <c r="I242" s="76" t="s">
        <v>1170</v>
      </c>
      <c r="J242" s="46" t="str">
        <f aca="false">IF(I242&lt;&gt;"?", HYPERLINK(CONCATENATE("https://doi.org/",I242)), "")</f>
        <v>https://doi.org/10.1109/ISSCC.2013.6487736</v>
      </c>
      <c r="K242" s="17" t="s">
        <v>117</v>
      </c>
      <c r="L242" s="54"/>
      <c r="M242" s="54"/>
      <c r="N242" s="54"/>
      <c r="O242" s="34" t="s">
        <v>117</v>
      </c>
      <c r="P242" s="2" t="n">
        <f aca="false">2.2*0.65</f>
        <v>1.43</v>
      </c>
      <c r="Q242" s="54"/>
      <c r="R242" s="48" t="n">
        <f aca="false">AB242/2</f>
        <v>30000000</v>
      </c>
      <c r="S242" s="54" t="n">
        <v>73.3</v>
      </c>
      <c r="T242" s="54" t="n">
        <v>75.5</v>
      </c>
      <c r="U242" s="54"/>
      <c r="V242" s="54"/>
      <c r="W242" s="54" t="n">
        <v>84</v>
      </c>
      <c r="X242" s="49" t="n">
        <f aca="false">+IF(ISNUMBER($S242),$S242,MIN($V242,$T242,$U242,$W242))</f>
        <v>73.3</v>
      </c>
      <c r="Y242" s="52" t="n">
        <v>0.068</v>
      </c>
      <c r="Z242" s="52" t="n">
        <v>60000000</v>
      </c>
      <c r="AA242" s="23" t="n">
        <v>1</v>
      </c>
      <c r="AB242" s="48" t="n">
        <f aca="false">Z242/AA242</f>
        <v>60000000</v>
      </c>
      <c r="AC242" s="48"/>
      <c r="AD242" s="51" t="n">
        <f aca="false">Y242/AB242*1000000000000</f>
        <v>1133.33333333333</v>
      </c>
      <c r="AE242" s="49" t="str">
        <f aca="false">IF(ISNUMBER($Q242), $AD242*1000/2^(($Q242-1.76)/6.02), "")</f>
        <v/>
      </c>
      <c r="AF242" s="49" t="n">
        <f aca="false">$AD242*1000/2^(($X242-1.76)/6.02)</f>
        <v>299.917082134117</v>
      </c>
      <c r="AG242" s="31" t="str">
        <f aca="false">IF(ISNUMBER($Q242), $Q242+10*LOG10($AB242/2/$Y242), "")</f>
        <v/>
      </c>
      <c r="AH242" s="31" t="n">
        <f aca="false">$X242+10*LOG10($AB242/2/$Y242)</f>
        <v>159.746123420134</v>
      </c>
      <c r="AI242" s="52" t="n">
        <f aca="false">AF242/AB242</f>
        <v>4.99861803556862E-006</v>
      </c>
      <c r="AJ242" s="53" t="n">
        <f aca="false">AH242+10*LOG10(AB242)</f>
        <v>237.527635923971</v>
      </c>
    </row>
    <row r="243" customFormat="false" ht="12.75" hidden="false" customHeight="false" outlineLevel="0" collapsed="false">
      <c r="A243" s="23" t="n">
        <v>2013</v>
      </c>
      <c r="B243" s="22" t="n">
        <v>16.3</v>
      </c>
      <c r="C243" s="22" t="s">
        <v>111</v>
      </c>
      <c r="D243" s="23" t="s">
        <v>112</v>
      </c>
      <c r="E243" s="24" t="n">
        <v>0.18</v>
      </c>
      <c r="F243" s="75" t="s">
        <v>1171</v>
      </c>
      <c r="G243" s="17" t="s">
        <v>1172</v>
      </c>
      <c r="H243" s="80" t="s">
        <v>1173</v>
      </c>
      <c r="I243" s="27" t="s">
        <v>1174</v>
      </c>
      <c r="J243" s="46" t="str">
        <f aca="false">IF(I243&lt;&gt;"?", HYPERLINK(CONCATENATE("https://doi.org/",I243)), "")</f>
        <v>https://doi.org/10.1109/ISSCC.2013.6487739</v>
      </c>
      <c r="K243" s="77" t="s">
        <v>117</v>
      </c>
      <c r="L243" s="30"/>
      <c r="M243" s="30"/>
      <c r="N243" s="30"/>
      <c r="O243" s="34" t="s">
        <v>117</v>
      </c>
      <c r="P243" s="28" t="n">
        <v>0</v>
      </c>
      <c r="Q243" s="54"/>
      <c r="R243" s="48" t="n">
        <f aca="false">AB243/2</f>
        <v>100000</v>
      </c>
      <c r="S243" s="30" t="n">
        <f aca="false">6.02*8.27+1.76</f>
        <v>51.5454</v>
      </c>
      <c r="T243" s="30"/>
      <c r="W243" s="31"/>
      <c r="X243" s="49" t="n">
        <f aca="false">+IF(ISNUMBER($S243),$S243,MIN($V243,$T243,$U243,$W243))</f>
        <v>51.5454</v>
      </c>
      <c r="Y243" s="26" t="n">
        <f aca="false">0.00000135*1.8</f>
        <v>2.43E-006</v>
      </c>
      <c r="Z243" s="52" t="n">
        <v>200000</v>
      </c>
      <c r="AA243" s="34" t="n">
        <v>1</v>
      </c>
      <c r="AB243" s="48" t="n">
        <f aca="false">Z243/AA243</f>
        <v>200000</v>
      </c>
      <c r="AC243" s="48"/>
      <c r="AD243" s="51" t="n">
        <f aca="false">Y243/AB243*1000000000000</f>
        <v>12.15</v>
      </c>
      <c r="AE243" s="49" t="str">
        <f aca="false">IF(ISNUMBER($Q243), $AD243*1000/2^(($Q243-1.76)/6.02), "")</f>
        <v/>
      </c>
      <c r="AF243" s="49" t="n">
        <f aca="false">$AD243*1000/2^(($X243-1.76)/6.02)</f>
        <v>39.3602831314276</v>
      </c>
      <c r="AG243" s="31" t="str">
        <f aca="false">IF(ISNUMBER($Q243), $Q243+10*LOG10($AB243/2/$Y243), "")</f>
        <v/>
      </c>
      <c r="AH243" s="31" t="n">
        <f aca="false">$X243+10*LOG10($AB243/2/$Y243)</f>
        <v>157.689337264017</v>
      </c>
      <c r="AI243" s="52" t="n">
        <f aca="false">AF243/AB243</f>
        <v>0.000196801415657138</v>
      </c>
      <c r="AJ243" s="53" t="n">
        <f aca="false">AH243+10*LOG10(AB243)</f>
        <v>210.699637220657</v>
      </c>
    </row>
    <row r="244" customFormat="false" ht="12.75" hidden="false" customHeight="false" outlineLevel="0" collapsed="false">
      <c r="A244" s="23" t="n">
        <v>2013</v>
      </c>
      <c r="B244" s="43" t="n">
        <v>26.1</v>
      </c>
      <c r="C244" s="78" t="s">
        <v>111</v>
      </c>
      <c r="D244" s="34" t="s">
        <v>463</v>
      </c>
      <c r="E244" s="79" t="n">
        <v>0.04</v>
      </c>
      <c r="F244" s="17" t="s">
        <v>1175</v>
      </c>
      <c r="G244" s="17" t="s">
        <v>1176</v>
      </c>
      <c r="H244" s="17" t="s">
        <v>1177</v>
      </c>
      <c r="I244" s="76" t="s">
        <v>1178</v>
      </c>
      <c r="J244" s="46" t="str">
        <f aca="false">IF(I244&lt;&gt;"?", HYPERLINK(CONCATENATE("https://doi.org/",I244)), "")</f>
        <v>https://doi.org/10.1109/ISSCC.2013.6487815</v>
      </c>
      <c r="K244" s="17" t="s">
        <v>117</v>
      </c>
      <c r="L244" s="54"/>
      <c r="M244" s="54"/>
      <c r="N244" s="54"/>
      <c r="O244" s="34" t="s">
        <v>117</v>
      </c>
      <c r="P244" s="2" t="n">
        <v>0.27</v>
      </c>
      <c r="Q244" s="54"/>
      <c r="R244" s="48" t="n">
        <f aca="false">AB244/2</f>
        <v>5000000000</v>
      </c>
      <c r="S244" s="54" t="n">
        <f aca="false">5.1*6.02+1.76</f>
        <v>32.462</v>
      </c>
      <c r="T244" s="54"/>
      <c r="U244" s="54"/>
      <c r="V244" s="54"/>
      <c r="W244" s="54"/>
      <c r="X244" s="49" t="n">
        <f aca="false">+IF(ISNUMBER($S244),$S244,MIN($V244,$T244,$U244,$W244))</f>
        <v>32.462</v>
      </c>
      <c r="Y244" s="52" t="n">
        <v>0.24</v>
      </c>
      <c r="Z244" s="52" t="n">
        <v>10000000000</v>
      </c>
      <c r="AA244" s="23" t="n">
        <v>1</v>
      </c>
      <c r="AB244" s="48" t="n">
        <f aca="false">Z244/AA244</f>
        <v>10000000000</v>
      </c>
      <c r="AC244" s="48"/>
      <c r="AD244" s="51" t="n">
        <f aca="false">Y244/AB244*1000000000000</f>
        <v>24</v>
      </c>
      <c r="AE244" s="49" t="str">
        <f aca="false">IF(ISNUMBER($Q244), $AD244*1000/2^(($Q244-1.76)/6.02), "")</f>
        <v/>
      </c>
      <c r="AF244" s="49" t="n">
        <f aca="false">$AD244*1000/2^(($X244-1.76)/6.02)</f>
        <v>699.774743652606</v>
      </c>
      <c r="AG244" s="31" t="str">
        <f aca="false">IF(ISNUMBER($Q244), $Q244+10*LOG10($AB244/2/$Y244), "")</f>
        <v/>
      </c>
      <c r="AH244" s="31" t="n">
        <f aca="false">$X244+10*LOG10($AB244/2/$Y244)</f>
        <v>135.649587626244</v>
      </c>
      <c r="AI244" s="52" t="n">
        <f aca="false">AF244/AB244</f>
        <v>6.99774743652606E-008</v>
      </c>
      <c r="AJ244" s="53" t="n">
        <f aca="false">AH244+10*LOG10(AB244)</f>
        <v>235.649587626244</v>
      </c>
    </row>
    <row r="245" customFormat="false" ht="12.75" hidden="false" customHeight="false" outlineLevel="0" collapsed="false">
      <c r="A245" s="23" t="n">
        <v>2013</v>
      </c>
      <c r="B245" s="34" t="n">
        <v>26.2</v>
      </c>
      <c r="C245" s="78" t="s">
        <v>111</v>
      </c>
      <c r="D245" s="34" t="s">
        <v>548</v>
      </c>
      <c r="E245" s="79" t="n">
        <v>0.065</v>
      </c>
      <c r="F245" s="17" t="s">
        <v>1179</v>
      </c>
      <c r="G245" s="17" t="s">
        <v>1180</v>
      </c>
      <c r="H245" s="17" t="s">
        <v>1181</v>
      </c>
      <c r="I245" s="76" t="s">
        <v>1182</v>
      </c>
      <c r="J245" s="46" t="str">
        <f aca="false">IF(I245&lt;&gt;"?", HYPERLINK(CONCATENATE("https://doi.org/",I245)), "")</f>
        <v>https://doi.org/10.1109/ISSCC.2013.6487816</v>
      </c>
      <c r="K245" s="17" t="s">
        <v>117</v>
      </c>
      <c r="L245" s="54" t="n">
        <v>2.5</v>
      </c>
      <c r="M245" s="54" t="n">
        <v>1.2</v>
      </c>
      <c r="N245" s="54"/>
      <c r="O245" s="34" t="s">
        <v>117</v>
      </c>
      <c r="P245" s="2" t="n">
        <v>7.4</v>
      </c>
      <c r="Q245" s="54" t="n">
        <v>54</v>
      </c>
      <c r="R245" s="48" t="n">
        <f aca="false">AB245/2</f>
        <v>1800000000</v>
      </c>
      <c r="S245" s="54" t="n">
        <v>50</v>
      </c>
      <c r="T245" s="54"/>
      <c r="U245" s="54"/>
      <c r="V245" s="54"/>
      <c r="W245" s="54"/>
      <c r="X245" s="49" t="n">
        <f aca="false">+IF(ISNUMBER($S245),$S245,MIN($V245,$T245,$U245,$W245))</f>
        <v>50</v>
      </c>
      <c r="Y245" s="52" t="n">
        <v>0.795</v>
      </c>
      <c r="Z245" s="52" t="n">
        <v>3600000000</v>
      </c>
      <c r="AA245" s="23" t="n">
        <v>1</v>
      </c>
      <c r="AB245" s="48" t="n">
        <f aca="false">Z245/AA245</f>
        <v>3600000000</v>
      </c>
      <c r="AC245" s="48"/>
      <c r="AD245" s="51" t="n">
        <f aca="false">Y245/AB245*1000000000000</f>
        <v>220.833333333333</v>
      </c>
      <c r="AE245" s="49" t="n">
        <f aca="false">IF(ISNUMBER($Q245), $AD245*1000/2^(($Q245-1.76)/6.02), "")</f>
        <v>539.267606552457</v>
      </c>
      <c r="AF245" s="49" t="n">
        <f aca="false">$AD245*1000/2^(($X245-1.76)/6.02)</f>
        <v>854.720782547651</v>
      </c>
      <c r="AG245" s="31" t="n">
        <f aca="false">IF(ISNUMBER($Q245), $Q245+10*LOG10($AB245/2/$Y245), "")</f>
        <v>147.549053764468</v>
      </c>
      <c r="AH245" s="31" t="n">
        <f aca="false">$X245+10*LOG10($AB245/2/$Y245)</f>
        <v>143.549053764468</v>
      </c>
      <c r="AI245" s="52" t="n">
        <f aca="false">AF245/AB245</f>
        <v>2.3742243959657E-007</v>
      </c>
      <c r="AJ245" s="53" t="n">
        <f aca="false">AH245+10*LOG10(AB245)</f>
        <v>239.112078772141</v>
      </c>
    </row>
    <row r="246" customFormat="false" ht="12.75" hidden="false" customHeight="false" outlineLevel="0" collapsed="false">
      <c r="A246" s="23" t="n">
        <v>2013</v>
      </c>
      <c r="B246" s="43" t="n">
        <v>26.3</v>
      </c>
      <c r="C246" s="78" t="s">
        <v>111</v>
      </c>
      <c r="D246" s="34" t="s">
        <v>191</v>
      </c>
      <c r="E246" s="79" t="s">
        <v>737</v>
      </c>
      <c r="F246" s="17" t="s">
        <v>1183</v>
      </c>
      <c r="G246" s="17" t="s">
        <v>1184</v>
      </c>
      <c r="H246" s="17" t="s">
        <v>1185</v>
      </c>
      <c r="I246" s="76" t="s">
        <v>1186</v>
      </c>
      <c r="J246" s="46" t="str">
        <f aca="false">IF(I246&lt;&gt;"?", HYPERLINK(CONCATENATE("https://doi.org/",I246)), "")</f>
        <v>https://doi.org/10.1109/ISSCC.2013.6487817</v>
      </c>
      <c r="K246" s="17" t="s">
        <v>117</v>
      </c>
      <c r="L246" s="54"/>
      <c r="M246" s="54"/>
      <c r="N246" s="54"/>
      <c r="O246" s="34" t="s">
        <v>117</v>
      </c>
      <c r="P246" s="2" t="n">
        <f aca="false">7.4*14</f>
        <v>103.6</v>
      </c>
      <c r="Q246" s="54"/>
      <c r="R246" s="48" t="n">
        <v>1000000000</v>
      </c>
      <c r="S246" s="54"/>
      <c r="T246" s="54" t="n">
        <v>61</v>
      </c>
      <c r="U246" s="54"/>
      <c r="V246" s="54"/>
      <c r="W246" s="54" t="n">
        <v>78</v>
      </c>
      <c r="X246" s="49" t="n">
        <f aca="false">+IF(ISNUMBER($S246),$S246,MIN($V246,$T246,$U246,$W246))</f>
        <v>61</v>
      </c>
      <c r="Y246" s="52" t="n">
        <v>23.9</v>
      </c>
      <c r="Z246" s="52" t="n">
        <v>2500000000</v>
      </c>
      <c r="AA246" s="23" t="n">
        <v>1</v>
      </c>
      <c r="AB246" s="48" t="n">
        <f aca="false">Z246/AA246</f>
        <v>2500000000</v>
      </c>
      <c r="AC246" s="48"/>
      <c r="AD246" s="51" t="n">
        <f aca="false">Y246/AB246*1000000000000</f>
        <v>9560</v>
      </c>
      <c r="AE246" s="49" t="str">
        <f aca="false">IF(ISNUMBER($Q246), $AD246*1000/2^(($Q246-1.76)/6.02), "")</f>
        <v/>
      </c>
      <c r="AF246" s="49" t="n">
        <f aca="false">$AD246*1000/2^(($X246-1.76)/6.02)</f>
        <v>10427.0803215715</v>
      </c>
      <c r="AG246" s="31" t="str">
        <f aca="false">IF(ISNUMBER($Q246), $Q246+10*LOG10($AB246/2/$Y246), "")</f>
        <v/>
      </c>
      <c r="AH246" s="31" t="n">
        <f aca="false">$X246+10*LOG10($AB246/2/$Y246)</f>
        <v>138.185121120599</v>
      </c>
      <c r="AI246" s="52" t="n">
        <f aca="false">AF246/AB246</f>
        <v>4.1708321286286E-006</v>
      </c>
      <c r="AJ246" s="53" t="n">
        <f aca="false">AH246+10*LOG10(AB246)</f>
        <v>232.16452120732</v>
      </c>
    </row>
    <row r="247" customFormat="false" ht="12.75" hidden="false" customHeight="false" outlineLevel="0" collapsed="false">
      <c r="A247" s="23" t="n">
        <v>2013</v>
      </c>
      <c r="B247" s="43" t="n">
        <v>26.4</v>
      </c>
      <c r="C247" s="78" t="s">
        <v>111</v>
      </c>
      <c r="D247" s="34" t="s">
        <v>112</v>
      </c>
      <c r="E247" s="79" t="n">
        <v>0.032</v>
      </c>
      <c r="F247" s="17" t="s">
        <v>1187</v>
      </c>
      <c r="G247" s="17" t="s">
        <v>1188</v>
      </c>
      <c r="H247" s="17" t="s">
        <v>1189</v>
      </c>
      <c r="I247" s="76" t="s">
        <v>1190</v>
      </c>
      <c r="J247" s="46" t="str">
        <f aca="false">IF(I247&lt;&gt;"?", HYPERLINK(CONCATENATE("https://doi.org/",I247)), "")</f>
        <v>https://doi.org/10.1109/ISSCC.2013.6487818</v>
      </c>
      <c r="K247" s="17" t="s">
        <v>1191</v>
      </c>
      <c r="L247" s="54" t="n">
        <v>1</v>
      </c>
      <c r="M247" s="54"/>
      <c r="N247" s="54"/>
      <c r="O247" s="34" t="s">
        <v>117</v>
      </c>
      <c r="P247" s="81" t="n">
        <v>0.0015</v>
      </c>
      <c r="Q247" s="54"/>
      <c r="R247" s="48" t="n">
        <f aca="false">AB247/2</f>
        <v>600000000</v>
      </c>
      <c r="S247" s="54" t="n">
        <v>39.3</v>
      </c>
      <c r="T247" s="54"/>
      <c r="U247" s="54"/>
      <c r="V247" s="54"/>
      <c r="W247" s="54" t="n">
        <v>50</v>
      </c>
      <c r="X247" s="49" t="n">
        <f aca="false">+IF(ISNUMBER($S247),$S247,MIN($V247,$T247,$U247,$W247))</f>
        <v>39.3</v>
      </c>
      <c r="Y247" s="52" t="n">
        <v>0.00306</v>
      </c>
      <c r="Z247" s="52" t="n">
        <v>1200000000</v>
      </c>
      <c r="AA247" s="23" t="n">
        <v>1</v>
      </c>
      <c r="AB247" s="48" t="n">
        <f aca="false">Z247/AA247</f>
        <v>1200000000</v>
      </c>
      <c r="AC247" s="48"/>
      <c r="AD247" s="51" t="n">
        <f aca="false">Y247/AB247*1000000000000</f>
        <v>2.55</v>
      </c>
      <c r="AE247" s="49" t="str">
        <f aca="false">IF(ISNUMBER($Q247), $AD247*1000/2^(($Q247-1.76)/6.02), "")</f>
        <v/>
      </c>
      <c r="AF247" s="49" t="n">
        <f aca="false">$AD247*1000/2^(($X247-1.76)/6.02)</f>
        <v>33.8339833351172</v>
      </c>
      <c r="AG247" s="31" t="str">
        <f aca="false">IF(ISNUMBER($Q247), $Q247+10*LOG10($AB247/2/$Y247), "")</f>
        <v/>
      </c>
      <c r="AH247" s="31" t="n">
        <f aca="false">$X247+10*LOG10($AB247/2/$Y247)</f>
        <v>152.224298239021</v>
      </c>
      <c r="AI247" s="52" t="n">
        <f aca="false">AF247/AB247</f>
        <v>2.81949861125977E-008</v>
      </c>
      <c r="AJ247" s="53" t="n">
        <f aca="false">AH247+10*LOG10(AB247)</f>
        <v>243.016110699497</v>
      </c>
    </row>
    <row r="248" customFormat="false" ht="12.75" hidden="false" customHeight="false" outlineLevel="0" collapsed="false">
      <c r="A248" s="23" t="n">
        <v>2013</v>
      </c>
      <c r="B248" s="34" t="n">
        <v>26.5</v>
      </c>
      <c r="C248" s="78" t="s">
        <v>111</v>
      </c>
      <c r="D248" s="34" t="s">
        <v>548</v>
      </c>
      <c r="E248" s="79" t="n">
        <v>0.045</v>
      </c>
      <c r="F248" s="17" t="s">
        <v>1192</v>
      </c>
      <c r="G248" s="17" t="s">
        <v>1193</v>
      </c>
      <c r="H248" s="17" t="s">
        <v>1194</v>
      </c>
      <c r="I248" s="76" t="s">
        <v>1195</v>
      </c>
      <c r="J248" s="46" t="str">
        <f aca="false">IF(I248&lt;&gt;"?", HYPERLINK(CONCATENATE("https://doi.org/",I248)), "")</f>
        <v>https://doi.org/10.1109/ISSCC.2013.6487819</v>
      </c>
      <c r="K248" s="17" t="s">
        <v>117</v>
      </c>
      <c r="L248" s="54"/>
      <c r="M248" s="54"/>
      <c r="N248" s="54"/>
      <c r="O248" s="34" t="s">
        <v>117</v>
      </c>
      <c r="P248" s="2" t="n">
        <v>0.038</v>
      </c>
      <c r="Q248" s="54"/>
      <c r="R248" s="48" t="n">
        <f aca="false">AB248/2</f>
        <v>450000000</v>
      </c>
      <c r="S248" s="54" t="n">
        <v>51.2</v>
      </c>
      <c r="T248" s="54"/>
      <c r="U248" s="54"/>
      <c r="V248" s="54"/>
      <c r="W248" s="54" t="n">
        <v>61.6</v>
      </c>
      <c r="X248" s="49" t="n">
        <f aca="false">+IF(ISNUMBER($S248),$S248,MIN($V248,$T248,$U248,$W248))</f>
        <v>51.2</v>
      </c>
      <c r="Y248" s="52" t="n">
        <v>0.0108</v>
      </c>
      <c r="Z248" s="52" t="n">
        <v>900000000</v>
      </c>
      <c r="AA248" s="23" t="n">
        <v>1</v>
      </c>
      <c r="AB248" s="48" t="n">
        <f aca="false">Z248/AA248</f>
        <v>900000000</v>
      </c>
      <c r="AC248" s="48"/>
      <c r="AD248" s="51" t="n">
        <f aca="false">Y248/AB248*1000000000000</f>
        <v>12</v>
      </c>
      <c r="AE248" s="49" t="str">
        <f aca="false">IF(ISNUMBER($Q248), $AD248*1000/2^(($Q248-1.76)/6.02), "")</f>
        <v/>
      </c>
      <c r="AF248" s="49" t="n">
        <f aca="false">$AD248*1000/2^(($X248-1.76)/6.02)</f>
        <v>40.4515253728307</v>
      </c>
      <c r="AG248" s="31" t="str">
        <f aca="false">IF(ISNUMBER($Q248), $Q248+10*LOG10($AB248/2/$Y248), "")</f>
        <v/>
      </c>
      <c r="AH248" s="31" t="n">
        <f aca="false">$X248+10*LOG10($AB248/2/$Y248)</f>
        <v>157.397887582884</v>
      </c>
      <c r="AI248" s="52" t="n">
        <f aca="false">AF248/AB248</f>
        <v>4.49461393031452E-008</v>
      </c>
      <c r="AJ248" s="53" t="n">
        <f aca="false">AH248+10*LOG10(AB248)</f>
        <v>246.940312677277</v>
      </c>
    </row>
    <row r="249" customFormat="false" ht="12.75" hidden="false" customHeight="false" outlineLevel="0" collapsed="false">
      <c r="A249" s="23" t="n">
        <v>2013</v>
      </c>
      <c r="B249" s="43" t="n">
        <v>26.6</v>
      </c>
      <c r="C249" s="78" t="s">
        <v>111</v>
      </c>
      <c r="D249" s="34" t="s">
        <v>548</v>
      </c>
      <c r="E249" s="79" t="n">
        <v>0.065</v>
      </c>
      <c r="F249" s="17" t="s">
        <v>1196</v>
      </c>
      <c r="G249" s="17" t="s">
        <v>1197</v>
      </c>
      <c r="H249" s="17" t="s">
        <v>1198</v>
      </c>
      <c r="I249" s="76" t="s">
        <v>1199</v>
      </c>
      <c r="J249" s="46" t="str">
        <f aca="false">IF(I249&lt;&gt;"?", HYPERLINK(CONCATENATE("https://doi.org/",I249)), "")</f>
        <v>https://doi.org/10.1109/ISSCC.2013.6487820</v>
      </c>
      <c r="K249" s="17" t="s">
        <v>117</v>
      </c>
      <c r="L249" s="54" t="n">
        <v>1.2</v>
      </c>
      <c r="M249" s="54"/>
      <c r="N249" s="54"/>
      <c r="O249" s="34" t="n">
        <v>4</v>
      </c>
      <c r="P249" s="2" t="n">
        <v>0.55</v>
      </c>
      <c r="Q249" s="54" t="n">
        <v>73.6</v>
      </c>
      <c r="R249" s="48" t="n">
        <f aca="false">AB249/2</f>
        <v>40000000</v>
      </c>
      <c r="S249" s="54" t="n">
        <v>71.3</v>
      </c>
      <c r="T249" s="54"/>
      <c r="U249" s="54"/>
      <c r="V249" s="54"/>
      <c r="W249" s="54" t="n">
        <v>80.3</v>
      </c>
      <c r="X249" s="49" t="n">
        <f aca="false">+IF(ISNUMBER($S249),$S249,MIN($V249,$T249,$U249,$W249))</f>
        <v>71.3</v>
      </c>
      <c r="Y249" s="52" t="n">
        <v>0.0311</v>
      </c>
      <c r="Z249" s="52" t="n">
        <v>80000000</v>
      </c>
      <c r="AA249" s="23" t="n">
        <v>1</v>
      </c>
      <c r="AB249" s="48" t="n">
        <f aca="false">Z249/AA249</f>
        <v>80000000</v>
      </c>
      <c r="AC249" s="48"/>
      <c r="AD249" s="51" t="n">
        <f aca="false">Y249/AB249*1000000000000</f>
        <v>388.75</v>
      </c>
      <c r="AE249" s="49" t="n">
        <f aca="false">IF(ISNUMBER($Q249), $AD249*1000/2^(($Q249-1.76)/6.02), "")</f>
        <v>99.3830789046074</v>
      </c>
      <c r="AF249" s="49" t="n">
        <f aca="false">$AD249*1000/2^(($X249-1.76)/6.02)</f>
        <v>129.516144388143</v>
      </c>
      <c r="AG249" s="31" t="n">
        <f aca="false">IF(ISNUMBER($Q249), $Q249+10*LOG10($AB249/2/$Y249), "")</f>
        <v>164.692996023011</v>
      </c>
      <c r="AH249" s="31" t="n">
        <f aca="false">$X249+10*LOG10($AB249/2/$Y249)</f>
        <v>162.392996023011</v>
      </c>
      <c r="AI249" s="52" t="n">
        <f aca="false">AF249/AB249</f>
        <v>1.61895180485179E-006</v>
      </c>
      <c r="AJ249" s="53" t="n">
        <f aca="false">AH249+10*LOG10(AB249)</f>
        <v>241.423895892931</v>
      </c>
    </row>
    <row r="250" customFormat="false" ht="12.75" hidden="false" customHeight="false" outlineLevel="0" collapsed="false">
      <c r="A250" s="74" t="n">
        <v>2014</v>
      </c>
      <c r="B250" s="22" t="n">
        <v>11.1</v>
      </c>
      <c r="C250" s="42" t="s">
        <v>1200</v>
      </c>
      <c r="D250" s="34" t="s">
        <v>112</v>
      </c>
      <c r="E250" s="43" t="n">
        <v>0.065</v>
      </c>
      <c r="F250" s="17" t="s">
        <v>1201</v>
      </c>
      <c r="G250" s="17" t="s">
        <v>1202</v>
      </c>
      <c r="H250" s="29" t="s">
        <v>1203</v>
      </c>
      <c r="I250" s="27" t="s">
        <v>1204</v>
      </c>
      <c r="J250" s="46" t="str">
        <f aca="false">IF(I250&lt;&gt;"?", HYPERLINK(CONCATENATE("https://doi.org/",I250)), "")</f>
        <v>https://doi.org/10.1109/ISSCC.2014.6757396</v>
      </c>
      <c r="K250" s="17" t="s">
        <v>1205</v>
      </c>
      <c r="L250" s="54" t="n">
        <v>0.8</v>
      </c>
      <c r="M250" s="54"/>
      <c r="N250" s="54"/>
      <c r="O250" s="34" t="n">
        <v>9</v>
      </c>
      <c r="P250" s="45" t="n">
        <v>0.18</v>
      </c>
      <c r="Q250" s="54"/>
      <c r="R250" s="48" t="n">
        <v>16000</v>
      </c>
      <c r="S250" s="41" t="n">
        <v>69.7</v>
      </c>
      <c r="T250" s="41"/>
      <c r="U250" s="41"/>
      <c r="V250" s="41"/>
      <c r="W250" s="41" t="n">
        <v>78.5</v>
      </c>
      <c r="X250" s="49" t="n">
        <f aca="false">+IF(ISNUMBER($S250),$S250,MIN($V250,$T250,$U250,$W250))</f>
        <v>69.7</v>
      </c>
      <c r="Y250" s="48" t="n">
        <v>3.52E-007</v>
      </c>
      <c r="Z250" s="48" t="n">
        <v>32000</v>
      </c>
      <c r="AA250" s="50" t="n">
        <v>1</v>
      </c>
      <c r="AB250" s="48" t="n">
        <f aca="false">Z250/AA250</f>
        <v>32000</v>
      </c>
      <c r="AC250" s="48"/>
      <c r="AD250" s="51" t="n">
        <f aca="false">IF(AB250&gt;0, Y250/AB250*1000000000000, 0)</f>
        <v>11</v>
      </c>
      <c r="AE250" s="49" t="str">
        <f aca="false">IF(ISNUMBER($Q250), $AD250*1000/2^(($Q250-1.76)/6.02), "")</f>
        <v/>
      </c>
      <c r="AF250" s="49" t="n">
        <f aca="false">$AD250*1000/2^(($X250-1.76)/6.02)</f>
        <v>4.40609810355665</v>
      </c>
      <c r="AG250" s="31" t="str">
        <f aca="false">IF(ISNUMBER($Q250), $Q250+10*LOG10($AB250/2/$Y250), "")</f>
        <v/>
      </c>
      <c r="AH250" s="31" t="n">
        <f aca="false">IF($Y250&gt;0, $X250+10*LOG10($AB250/2/$Y250), 0)</f>
        <v>176.275773191778</v>
      </c>
      <c r="AI250" s="52" t="n">
        <f aca="false">AF250/AB250</f>
        <v>0.000137690565736145</v>
      </c>
      <c r="AJ250" s="53" t="n">
        <f aca="false">AH250+10*LOG10(AB250)</f>
        <v>221.327272974977</v>
      </c>
    </row>
    <row r="251" customFormat="false" ht="12.75" hidden="false" customHeight="false" outlineLevel="0" collapsed="false">
      <c r="A251" s="23" t="n">
        <v>2014</v>
      </c>
      <c r="B251" s="22" t="n">
        <v>11.2</v>
      </c>
      <c r="C251" s="42" t="s">
        <v>111</v>
      </c>
      <c r="D251" s="34" t="s">
        <v>112</v>
      </c>
      <c r="E251" s="43" t="n">
        <v>0.04</v>
      </c>
      <c r="F251" s="17" t="s">
        <v>1206</v>
      </c>
      <c r="G251" s="17" t="s">
        <v>1207</v>
      </c>
      <c r="H251" s="29" t="s">
        <v>1208</v>
      </c>
      <c r="I251" s="27" t="s">
        <v>1209</v>
      </c>
      <c r="J251" s="46" t="str">
        <f aca="false">IF(I251&lt;&gt;"?", HYPERLINK(CONCATENATE("https://doi.org/",I251)), "")</f>
        <v>https://doi.org/10.1109/ISSCC.2014.6757397</v>
      </c>
      <c r="K251" s="17" t="s">
        <v>117</v>
      </c>
      <c r="L251" s="54"/>
      <c r="M251" s="54"/>
      <c r="N251" s="54"/>
      <c r="O251" s="34" t="n">
        <f aca="false">(33+528)*0.0015</f>
        <v>0.8415</v>
      </c>
      <c r="P251" s="45" t="n">
        <v>0.065</v>
      </c>
      <c r="Q251" s="54"/>
      <c r="R251" s="48" t="n">
        <v>100000</v>
      </c>
      <c r="S251" s="41" t="n">
        <v>55.63</v>
      </c>
      <c r="T251" s="41" t="n">
        <v>55.75</v>
      </c>
      <c r="U251" s="41"/>
      <c r="V251" s="41" t="n">
        <v>71.3</v>
      </c>
      <c r="W251" s="41" t="n">
        <v>76.25</v>
      </c>
      <c r="X251" s="49" t="n">
        <f aca="false">+IF(ISNUMBER($S251),$S251,MIN($V251,$T251,$U251,$W251))</f>
        <v>55.63</v>
      </c>
      <c r="Y251" s="48" t="n">
        <v>8.4E-008</v>
      </c>
      <c r="Z251" s="48" t="n">
        <v>200000</v>
      </c>
      <c r="AA251" s="50" t="n">
        <f aca="false">IF(EXACT(C251,"NQ"), 1, 0.0001)</f>
        <v>1</v>
      </c>
      <c r="AB251" s="48" t="n">
        <f aca="false">Z251/AA251</f>
        <v>200000</v>
      </c>
      <c r="AC251" s="48"/>
      <c r="AD251" s="51" t="n">
        <f aca="false">IF(AB251&gt;0, Y251/AB251*1000000000000, 0)</f>
        <v>0.42</v>
      </c>
      <c r="AE251" s="49" t="str">
        <f aca="false">IF(ISNUMBER($Q251), $AD251*1000/2^(($Q251-1.76)/6.02), "")</f>
        <v/>
      </c>
      <c r="AF251" s="49" t="n">
        <f aca="false">$AD251*1000/2^(($X251-1.76)/6.02)</f>
        <v>0.850121253763477</v>
      </c>
      <c r="AG251" s="31" t="str">
        <f aca="false">IF(ISNUMBER($Q251), $Q251+10*LOG10($AB251/2/$Y251), "")</f>
        <v/>
      </c>
      <c r="AH251" s="31" t="n">
        <f aca="false">IF($Y251&gt;0, $X251+10*LOG10($AB251/2/$Y251), 0)</f>
        <v>176.387207139381</v>
      </c>
      <c r="AI251" s="52" t="n">
        <f aca="false">AF251/AB251</f>
        <v>4.25060626881739E-006</v>
      </c>
      <c r="AJ251" s="53" t="n">
        <f aca="false">AH251+10*LOG10(AB251)</f>
        <v>229.397507096021</v>
      </c>
    </row>
    <row r="252" customFormat="false" ht="12.75" hidden="false" customHeight="false" outlineLevel="0" collapsed="false">
      <c r="A252" s="23" t="n">
        <v>2014</v>
      </c>
      <c r="B252" s="22" t="n">
        <v>11.3</v>
      </c>
      <c r="C252" s="42" t="s">
        <v>111</v>
      </c>
      <c r="D252" s="34" t="s">
        <v>112</v>
      </c>
      <c r="E252" s="43" t="n">
        <v>0.18</v>
      </c>
      <c r="F252" s="17" t="s">
        <v>1210</v>
      </c>
      <c r="G252" s="17" t="s">
        <v>1211</v>
      </c>
      <c r="H252" s="29" t="s">
        <v>1212</v>
      </c>
      <c r="I252" s="27" t="s">
        <v>1213</v>
      </c>
      <c r="J252" s="46" t="str">
        <f aca="false">IF(I252&lt;&gt;"?", HYPERLINK(CONCATENATE("https://doi.org/",I252)), "")</f>
        <v>https://doi.org/10.1109/ISSCC.2014.6757398</v>
      </c>
      <c r="K252" s="17" t="s">
        <v>1214</v>
      </c>
      <c r="L252" s="54" t="n">
        <v>0.5</v>
      </c>
      <c r="M252" s="54"/>
      <c r="N252" s="54"/>
      <c r="O252" s="34" t="n">
        <f aca="false">0.072*32</f>
        <v>2.304</v>
      </c>
      <c r="P252" s="45" t="n">
        <v>0.12</v>
      </c>
      <c r="Q252" s="54"/>
      <c r="R252" s="48" t="n">
        <v>2000</v>
      </c>
      <c r="S252" s="41" t="n">
        <f aca="false">9.55*6.02+1.76</f>
        <v>59.251</v>
      </c>
      <c r="T252" s="41"/>
      <c r="U252" s="41"/>
      <c r="V252" s="41"/>
      <c r="W252" s="41"/>
      <c r="X252" s="49" t="n">
        <f aca="false">+IF(ISNUMBER($S252),$S252,MIN($V252,$T252,$U252,$W252))</f>
        <v>59.251</v>
      </c>
      <c r="Y252" s="48" t="n">
        <v>3.1E-008</v>
      </c>
      <c r="Z252" s="48" t="n">
        <v>4000</v>
      </c>
      <c r="AA252" s="50" t="n">
        <f aca="false">IF(EXACT(C252,"NQ"), 1, 0.0001)</f>
        <v>1</v>
      </c>
      <c r="AB252" s="48" t="n">
        <f aca="false">Z252/AA252</f>
        <v>4000</v>
      </c>
      <c r="AC252" s="48"/>
      <c r="AD252" s="51" t="n">
        <f aca="false">IF(AB252&gt;0, Y252/AB252*1000000000000, 0)</f>
        <v>7.75</v>
      </c>
      <c r="AE252" s="49" t="str">
        <f aca="false">IF(ISNUMBER($Q252), $AD252*1000/2^(($Q252-1.76)/6.02), "")</f>
        <v/>
      </c>
      <c r="AF252" s="49" t="n">
        <f aca="false">$AD252*1000/2^(($X252-1.76)/6.02)</f>
        <v>10.3386835838345</v>
      </c>
      <c r="AG252" s="31" t="str">
        <f aca="false">IF(ISNUMBER($Q252), $Q252+10*LOG10($AB252/2/$Y252), "")</f>
        <v/>
      </c>
      <c r="AH252" s="31" t="n">
        <f aca="false">IF($Y252&gt;0, $X252+10*LOG10($AB252/2/$Y252), 0)</f>
        <v>167.347683018297</v>
      </c>
      <c r="AI252" s="52" t="n">
        <f aca="false">AF252/AB252</f>
        <v>0.00258467089595863</v>
      </c>
      <c r="AJ252" s="53" t="n">
        <f aca="false">AH252+10*LOG10(AB252)</f>
        <v>203.368282931577</v>
      </c>
    </row>
    <row r="253" customFormat="false" ht="12.75" hidden="false" customHeight="false" outlineLevel="0" collapsed="false">
      <c r="A253" s="23" t="n">
        <v>2014</v>
      </c>
      <c r="B253" s="22" t="n">
        <v>11.4</v>
      </c>
      <c r="C253" s="42" t="s">
        <v>111</v>
      </c>
      <c r="D253" s="34" t="s">
        <v>1215</v>
      </c>
      <c r="E253" s="43" t="n">
        <v>0.028</v>
      </c>
      <c r="F253" s="17" t="s">
        <v>1216</v>
      </c>
      <c r="G253" s="17" t="s">
        <v>1217</v>
      </c>
      <c r="H253" s="29" t="s">
        <v>1218</v>
      </c>
      <c r="I253" s="27" t="s">
        <v>1219</v>
      </c>
      <c r="J253" s="46" t="str">
        <f aca="false">IF(I253&lt;&gt;"?", HYPERLINK(CONCATENATE("https://doi.org/",I253)), "")</f>
        <v>https://doi.org/10.1109/ISSCC.2014.6757399</v>
      </c>
      <c r="K253" s="17" t="s">
        <v>1220</v>
      </c>
      <c r="L253" s="54"/>
      <c r="M253" s="54"/>
      <c r="N253" s="54"/>
      <c r="O253" s="34" t="n">
        <v>1.4</v>
      </c>
      <c r="P253" s="45" t="n">
        <f aca="false">0.37*0.37</f>
        <v>0.1369</v>
      </c>
      <c r="Q253" s="54"/>
      <c r="R253" s="48" t="n">
        <v>40000000</v>
      </c>
      <c r="S253" s="41" t="n">
        <v>66</v>
      </c>
      <c r="T253" s="41"/>
      <c r="U253" s="41"/>
      <c r="V253" s="41"/>
      <c r="W253" s="41"/>
      <c r="X253" s="49" t="n">
        <f aca="false">+IF(ISNUMBER($S253),$S253,MIN($V253,$T253,$U253,$W253))</f>
        <v>66</v>
      </c>
      <c r="Y253" s="48" t="n">
        <v>0.0015</v>
      </c>
      <c r="Z253" s="48" t="n">
        <v>80000000</v>
      </c>
      <c r="AA253" s="50" t="n">
        <f aca="false">IF(EXACT(C253,"NQ"), 1, 0.0001)</f>
        <v>1</v>
      </c>
      <c r="AB253" s="48" t="n">
        <f aca="false">Z253/AA253</f>
        <v>80000000</v>
      </c>
      <c r="AC253" s="48"/>
      <c r="AD253" s="51" t="n">
        <f aca="false">IF(AB253&gt;0, Y253/AB253*1000000000000, 0)</f>
        <v>18.75</v>
      </c>
      <c r="AE253" s="49" t="str">
        <f aca="false">IF(ISNUMBER($Q253), $AD253*1000/2^(($Q253-1.76)/6.02), "")</f>
        <v/>
      </c>
      <c r="AF253" s="49" t="n">
        <f aca="false">$AD253*1000/2^(($X253-1.76)/6.02)</f>
        <v>11.4995589909557</v>
      </c>
      <c r="AG253" s="31" t="str">
        <f aca="false">IF(ISNUMBER($Q253), $Q253+10*LOG10($AB253/2/$Y253), "")</f>
        <v/>
      </c>
      <c r="AH253" s="31" t="n">
        <f aca="false">IF($Y253&gt;0, $X253+10*LOG10($AB253/2/$Y253), 0)</f>
        <v>170.259687322723</v>
      </c>
      <c r="AI253" s="52" t="n">
        <f aca="false">AF253/AB253</f>
        <v>1.43744487386947E-007</v>
      </c>
      <c r="AJ253" s="53" t="n">
        <f aca="false">AH253+10*LOG10(AB253)</f>
        <v>249.290587192642</v>
      </c>
    </row>
    <row r="254" customFormat="false" ht="12.75" hidden="false" customHeight="false" outlineLevel="0" collapsed="false">
      <c r="A254" s="23" t="n">
        <v>2014</v>
      </c>
      <c r="B254" s="22" t="n">
        <v>11.5</v>
      </c>
      <c r="C254" s="42" t="s">
        <v>111</v>
      </c>
      <c r="D254" s="34" t="s">
        <v>133</v>
      </c>
      <c r="E254" s="43" t="n">
        <v>0.065</v>
      </c>
      <c r="F254" s="17" t="s">
        <v>1221</v>
      </c>
      <c r="G254" s="17" t="s">
        <v>1222</v>
      </c>
      <c r="H254" s="17" t="s">
        <v>1223</v>
      </c>
      <c r="I254" s="76" t="s">
        <v>1224</v>
      </c>
      <c r="J254" s="46" t="str">
        <f aca="false">IF(I254&lt;&gt;"?", HYPERLINK(CONCATENATE("https://doi.org/",I254)), "")</f>
        <v>https://doi.org/10.1109/ISSCC.2014.6757400</v>
      </c>
      <c r="K254" s="17" t="s">
        <v>117</v>
      </c>
      <c r="L254" s="54"/>
      <c r="M254" s="54"/>
      <c r="N254" s="54"/>
      <c r="O254" s="34" t="n">
        <v>0.4</v>
      </c>
      <c r="P254" s="45" t="n">
        <v>0.1</v>
      </c>
      <c r="Q254" s="54"/>
      <c r="R254" s="48" t="n">
        <v>50000000</v>
      </c>
      <c r="S254" s="41" t="n">
        <v>56.3</v>
      </c>
      <c r="T254" s="41" t="n">
        <v>56.7</v>
      </c>
      <c r="U254" s="41"/>
      <c r="V254" s="41"/>
      <c r="W254" s="41" t="n">
        <v>67.6</v>
      </c>
      <c r="X254" s="49" t="n">
        <f aca="false">+IF(ISNUMBER($S254),$S254,MIN($V254,$T254,$U254,$W254))</f>
        <v>56.3</v>
      </c>
      <c r="Y254" s="48" t="n">
        <v>0.00246</v>
      </c>
      <c r="Z254" s="48" t="n">
        <v>100000000</v>
      </c>
      <c r="AA254" s="50" t="n">
        <f aca="false">IF(EXACT(C254,"NQ"), 1, 0.0001)</f>
        <v>1</v>
      </c>
      <c r="AB254" s="48" t="n">
        <f aca="false">Z254/AA254</f>
        <v>100000000</v>
      </c>
      <c r="AC254" s="48"/>
      <c r="AD254" s="51" t="n">
        <f aca="false">IF(AB254&gt;0, Y254/AB254*1000000000000, 0)</f>
        <v>24.6</v>
      </c>
      <c r="AE254" s="49" t="str">
        <f aca="false">IF(ISNUMBER($Q254), $AD254*1000/2^(($Q254-1.76)/6.02), "")</f>
        <v/>
      </c>
      <c r="AF254" s="49" t="n">
        <f aca="false">$AD254*1000/2^(($X254-1.76)/6.02)</f>
        <v>46.0960118272384</v>
      </c>
      <c r="AG254" s="31" t="str">
        <f aca="false">IF(ISNUMBER($Q254), $Q254+10*LOG10($AB254/2/$Y254), "")</f>
        <v/>
      </c>
      <c r="AH254" s="31" t="n">
        <f aca="false">IF($Y254&gt;0, $X254+10*LOG10($AB254/2/$Y254), 0)</f>
        <v>159.380348972326</v>
      </c>
      <c r="AI254" s="52" t="n">
        <f aca="false">AF254/AB254</f>
        <v>4.60960118272384E-007</v>
      </c>
      <c r="AJ254" s="53" t="n">
        <f aca="false">AH254+10*LOG10(AB254)</f>
        <v>239.380348972326</v>
      </c>
    </row>
    <row r="255" customFormat="false" ht="14.25" hidden="false" customHeight="true" outlineLevel="0" collapsed="false">
      <c r="A255" s="23" t="n">
        <v>2014</v>
      </c>
      <c r="B255" s="22" t="n">
        <v>11.6</v>
      </c>
      <c r="C255" s="42" t="s">
        <v>111</v>
      </c>
      <c r="D255" s="34" t="s">
        <v>133</v>
      </c>
      <c r="E255" s="43" t="n">
        <v>0.13</v>
      </c>
      <c r="F255" s="17" t="s">
        <v>1225</v>
      </c>
      <c r="G255" s="17" t="s">
        <v>1226</v>
      </c>
      <c r="H255" s="29" t="s">
        <v>1227</v>
      </c>
      <c r="I255" s="27" t="s">
        <v>1228</v>
      </c>
      <c r="J255" s="46" t="str">
        <f aca="false">IF(I255&lt;&gt;"?", HYPERLINK(CONCATENATE("https://doi.org/",I255)), "")</f>
        <v>https://doi.org/10.1109/ISSCC.2014.6757401</v>
      </c>
      <c r="K255" s="17" t="s">
        <v>1229</v>
      </c>
      <c r="L255" s="54"/>
      <c r="M255" s="54"/>
      <c r="N255" s="54"/>
      <c r="O255" s="34" t="n">
        <v>2</v>
      </c>
      <c r="P255" s="45" t="n">
        <f aca="false">1.1*0.875</f>
        <v>0.9625</v>
      </c>
      <c r="Q255" s="54" t="n">
        <v>74.5</v>
      </c>
      <c r="R255" s="48" t="n">
        <v>25000000</v>
      </c>
      <c r="S255" s="41" t="n">
        <v>73.1</v>
      </c>
      <c r="T255" s="41"/>
      <c r="U255" s="41"/>
      <c r="V255" s="41"/>
      <c r="W255" s="41" t="n">
        <v>84.2</v>
      </c>
      <c r="X255" s="49" t="n">
        <f aca="false">+IF(ISNUMBER($S255),$S255,MIN($V255,$T255,$U255,$W255))</f>
        <v>73.1</v>
      </c>
      <c r="Y255" s="48" t="n">
        <v>0.0216</v>
      </c>
      <c r="Z255" s="48" t="n">
        <v>48000000</v>
      </c>
      <c r="AA255" s="50" t="n">
        <f aca="false">IF(EXACT(C255,"NQ"), 1, 0.0001)</f>
        <v>1</v>
      </c>
      <c r="AB255" s="48" t="n">
        <f aca="false">Z255/AA255</f>
        <v>48000000</v>
      </c>
      <c r="AC255" s="48"/>
      <c r="AD255" s="51" t="n">
        <f aca="false">IF(AB255&gt;0, Y255/AB255*1000000000000, 0)</f>
        <v>450</v>
      </c>
      <c r="AE255" s="49" t="n">
        <f aca="false">IF(ISNUMBER($Q255), $AD255*1000/2^(($Q255-1.76)/6.02), "")</f>
        <v>103.717030593133</v>
      </c>
      <c r="AF255" s="49" t="n">
        <f aca="false">$AD255*1000/2^(($X255-1.76)/6.02)</f>
        <v>121.85884295793</v>
      </c>
      <c r="AG255" s="31" t="n">
        <f aca="false">IF(ISNUMBER($Q255), $Q255+10*LOG10($AB255/2/$Y255), "")</f>
        <v>164.957574905607</v>
      </c>
      <c r="AH255" s="31" t="n">
        <f aca="false">IF($Y255&gt;0, $X255+10*LOG10($AB255/2/$Y255), 0)</f>
        <v>163.557574905607</v>
      </c>
      <c r="AI255" s="52" t="n">
        <f aca="false">AF255/AB255</f>
        <v>2.53872589495687E-006</v>
      </c>
      <c r="AJ255" s="53" t="n">
        <f aca="false">AH255+10*LOG10(AB255)</f>
        <v>240.369987279363</v>
      </c>
    </row>
    <row r="256" customFormat="false" ht="12.75" hidden="false" customHeight="false" outlineLevel="0" collapsed="false">
      <c r="A256" s="23" t="n">
        <v>2014</v>
      </c>
      <c r="B256" s="22" t="n">
        <v>22.1</v>
      </c>
      <c r="C256" s="42" t="s">
        <v>111</v>
      </c>
      <c r="D256" s="34" t="s">
        <v>548</v>
      </c>
      <c r="E256" s="43" t="n">
        <v>0.032</v>
      </c>
      <c r="F256" s="17" t="s">
        <v>1230</v>
      </c>
      <c r="G256" s="17" t="s">
        <v>1231</v>
      </c>
      <c r="H256" s="29" t="s">
        <v>1232</v>
      </c>
      <c r="I256" s="27" t="s">
        <v>1233</v>
      </c>
      <c r="J256" s="46" t="str">
        <f aca="false">IF(I256&lt;&gt;"?", HYPERLINK(CONCATENATE("https://doi.org/",I256)), "")</f>
        <v>https://doi.org/10.1109/ISSCC.2014.6757477</v>
      </c>
      <c r="K256" s="82" t="s">
        <v>117</v>
      </c>
      <c r="L256" s="83"/>
      <c r="M256" s="83"/>
      <c r="N256" s="83"/>
      <c r="O256" s="34"/>
      <c r="P256" s="45" t="n">
        <v>0.45</v>
      </c>
      <c r="Q256" s="54" t="n">
        <v>36</v>
      </c>
      <c r="R256" s="48" t="n">
        <v>19900000000</v>
      </c>
      <c r="S256" s="41" t="n">
        <v>33</v>
      </c>
      <c r="T256" s="41"/>
      <c r="U256" s="41"/>
      <c r="V256" s="41"/>
      <c r="W256" s="41"/>
      <c r="X256" s="49" t="n">
        <f aca="false">+IF(ISNUMBER($S256),$S256,MIN($V256,$T256,$U256,$W256))</f>
        <v>33</v>
      </c>
      <c r="Y256" s="48" t="n">
        <v>0.667</v>
      </c>
      <c r="Z256" s="48" t="n">
        <v>90000000000</v>
      </c>
      <c r="AA256" s="50" t="n">
        <f aca="false">IF(EXACT(C256,"NQ"), 1, 0.0001)</f>
        <v>1</v>
      </c>
      <c r="AB256" s="48" t="n">
        <f aca="false">Z256/AA256</f>
        <v>90000000000</v>
      </c>
      <c r="AC256" s="48"/>
      <c r="AD256" s="51" t="n">
        <f aca="false">IF(AB256&gt;0, Y256/AB256*1000000000000, 0)</f>
        <v>7.41111111111111</v>
      </c>
      <c r="AE256" s="49" t="n">
        <f aca="false">IF(ISNUMBER($Q256), $AD256*1000/2^(($Q256-1.76)/6.02), "")</f>
        <v>143.784714000548</v>
      </c>
      <c r="AF256" s="49" t="n">
        <f aca="false">$AD256*1000/2^(($X256-1.76)/6.02)</f>
        <v>203.108297543811</v>
      </c>
      <c r="AG256" s="31" t="n">
        <f aca="false">IF(ISNUMBER($Q256), $Q256+10*LOG10($AB256/2/$Y256), "")</f>
        <v>144.290866798588</v>
      </c>
      <c r="AH256" s="31" t="n">
        <f aca="false">IF($Y256&gt;0, $X256+10*LOG10($AB256/2/$Y256), 0)</f>
        <v>141.290866798588</v>
      </c>
      <c r="AI256" s="52" t="n">
        <f aca="false">AF256/AB256</f>
        <v>2.2567588615979E-009</v>
      </c>
      <c r="AJ256" s="53" t="n">
        <f aca="false">AH256+10*LOG10(AB256)</f>
        <v>250.833291892981</v>
      </c>
    </row>
    <row r="257" customFormat="false" ht="12.75" hidden="false" customHeight="false" outlineLevel="0" collapsed="false">
      <c r="A257" s="23" t="n">
        <v>2014</v>
      </c>
      <c r="B257" s="22" t="n">
        <v>22.2</v>
      </c>
      <c r="C257" s="42" t="s">
        <v>111</v>
      </c>
      <c r="D257" s="34" t="s">
        <v>463</v>
      </c>
      <c r="E257" s="43" t="n">
        <v>0.032</v>
      </c>
      <c r="F257" s="17" t="s">
        <v>1234</v>
      </c>
      <c r="G257" s="17" t="s">
        <v>1235</v>
      </c>
      <c r="H257" s="29" t="s">
        <v>1236</v>
      </c>
      <c r="I257" s="27" t="s">
        <v>1237</v>
      </c>
      <c r="J257" s="46" t="str">
        <f aca="false">IF(I257&lt;&gt;"?", HYPERLINK(CONCATENATE("https://doi.org/",I257)), "")</f>
        <v>https://doi.org/10.1109/ISSCC.2014.6757478</v>
      </c>
      <c r="K257" s="17" t="s">
        <v>117</v>
      </c>
      <c r="L257" s="54"/>
      <c r="M257" s="54"/>
      <c r="N257" s="54"/>
      <c r="O257" s="34" t="n">
        <v>1</v>
      </c>
      <c r="P257" s="45" t="n">
        <v>0.25</v>
      </c>
      <c r="Q257" s="54" t="n">
        <v>35</v>
      </c>
      <c r="R257" s="48" t="n">
        <v>10000000000</v>
      </c>
      <c r="S257" s="41" t="n">
        <v>30.7</v>
      </c>
      <c r="T257" s="41"/>
      <c r="U257" s="41"/>
      <c r="V257" s="41"/>
      <c r="W257" s="41" t="n">
        <v>39</v>
      </c>
      <c r="X257" s="49" t="n">
        <f aca="false">+IF(ISNUMBER($S257),$S257,MIN($V257,$T257,$U257,$W257))</f>
        <v>30.7</v>
      </c>
      <c r="Y257" s="48" t="n">
        <v>0.0695</v>
      </c>
      <c r="Z257" s="48" t="n">
        <v>20000000000</v>
      </c>
      <c r="AA257" s="50" t="n">
        <f aca="false">IF(EXACT(C257,"NQ"), 1, 0.0001)</f>
        <v>1</v>
      </c>
      <c r="AB257" s="48" t="n">
        <f aca="false">Z257/AA257</f>
        <v>20000000000</v>
      </c>
      <c r="AC257" s="48"/>
      <c r="AD257" s="51" t="n">
        <f aca="false">IF(AB257&gt;0, Y257/AB257*1000000000000, 0)</f>
        <v>3.475</v>
      </c>
      <c r="AE257" s="49" t="n">
        <f aca="false">IF(ISNUMBER($Q257), $AD257*1000/2^(($Q257-1.76)/6.02), "")</f>
        <v>75.6465602793611</v>
      </c>
      <c r="AF257" s="49" t="n">
        <f aca="false">$AD257*1000/2^(($X257-1.76)/6.02)</f>
        <v>124.111095915046</v>
      </c>
      <c r="AG257" s="31" t="n">
        <f aca="false">IF(ISNUMBER($Q257), $Q257+10*LOG10($AB257/2/$Y257), "")</f>
        <v>146.580151954099</v>
      </c>
      <c r="AH257" s="31" t="n">
        <f aca="false">IF($Y257&gt;0, $X257+10*LOG10($AB257/2/$Y257), 0)</f>
        <v>142.280151954099</v>
      </c>
      <c r="AI257" s="52" t="n">
        <f aca="false">AF257/AB257</f>
        <v>6.20555479575229E-009</v>
      </c>
      <c r="AJ257" s="53" t="n">
        <f aca="false">AH257+10*LOG10(AB257)</f>
        <v>245.290451910739</v>
      </c>
    </row>
    <row r="258" customFormat="false" ht="12.75" hidden="false" customHeight="false" outlineLevel="0" collapsed="false">
      <c r="A258" s="23" t="n">
        <v>2014</v>
      </c>
      <c r="B258" s="22" t="n">
        <v>22.3</v>
      </c>
      <c r="C258" s="42" t="s">
        <v>111</v>
      </c>
      <c r="D258" s="34" t="s">
        <v>548</v>
      </c>
      <c r="E258" s="43" t="n">
        <v>0.028</v>
      </c>
      <c r="F258" s="17" t="s">
        <v>1238</v>
      </c>
      <c r="G258" s="17" t="s">
        <v>1239</v>
      </c>
      <c r="H258" s="29" t="s">
        <v>1240</v>
      </c>
      <c r="I258" s="27" t="s">
        <v>1241</v>
      </c>
      <c r="J258" s="46" t="str">
        <f aca="false">IF(I258&lt;&gt;"?", HYPERLINK(CONCATENATE("https://doi.org/",I258)), "")</f>
        <v>https://doi.org/10.1109/ISSCC.2014.6757479</v>
      </c>
      <c r="K258" s="82" t="s">
        <v>117</v>
      </c>
      <c r="L258" s="83"/>
      <c r="M258" s="83"/>
      <c r="N258" s="83"/>
      <c r="O258" s="34"/>
      <c r="P258" s="45" t="n">
        <v>0.009</v>
      </c>
      <c r="Q258" s="54"/>
      <c r="R258" s="48" t="n">
        <v>4800000000</v>
      </c>
      <c r="S258" s="41" t="n">
        <v>33.75</v>
      </c>
      <c r="T258" s="41" t="n">
        <v>34.27</v>
      </c>
      <c r="U258" s="41"/>
      <c r="V258" s="41" t="n">
        <v>40.9</v>
      </c>
      <c r="W258" s="41" t="n">
        <v>41.1</v>
      </c>
      <c r="X258" s="49" t="n">
        <f aca="false">+IF(ISNUMBER($S258),$S258,MIN($V258,$T258,$U258,$W258))</f>
        <v>33.75</v>
      </c>
      <c r="Y258" s="48" t="n">
        <v>0.032</v>
      </c>
      <c r="Z258" s="48" t="n">
        <v>10000000000</v>
      </c>
      <c r="AA258" s="50" t="n">
        <f aca="false">IF(EXACT(C258,"NQ"), 1, 0.0001)</f>
        <v>1</v>
      </c>
      <c r="AB258" s="48" t="n">
        <f aca="false">Z258/AA258</f>
        <v>10000000000</v>
      </c>
      <c r="AC258" s="48"/>
      <c r="AD258" s="51" t="n">
        <f aca="false">IF(AB258&gt;0, Y258/AB258*1000000000000, 0)</f>
        <v>3.2</v>
      </c>
      <c r="AE258" s="49" t="str">
        <f aca="false">IF(ISNUMBER($Q258), $AD258*1000/2^(($Q258-1.76)/6.02), "")</f>
        <v/>
      </c>
      <c r="AF258" s="49" t="n">
        <f aca="false">$AD258*1000/2^(($X258-1.76)/6.02)</f>
        <v>80.4434305006211</v>
      </c>
      <c r="AG258" s="31" t="str">
        <f aca="false">IF(ISNUMBER($Q258), $Q258+10*LOG10($AB258/2/$Y258), "")</f>
        <v/>
      </c>
      <c r="AH258" s="31" t="n">
        <f aca="false">IF($Y258&gt;0, $X258+10*LOG10($AB258/2/$Y258), 0)</f>
        <v>145.688200260161</v>
      </c>
      <c r="AI258" s="52" t="n">
        <f aca="false">AF258/AB258</f>
        <v>8.04434305006211E-009</v>
      </c>
      <c r="AJ258" s="53" t="n">
        <f aca="false">AH258+10*LOG10(AB258)</f>
        <v>245.688200260161</v>
      </c>
    </row>
    <row r="259" customFormat="false" ht="12.75" hidden="false" customHeight="false" outlineLevel="0" collapsed="false">
      <c r="A259" s="23" t="n">
        <v>2014</v>
      </c>
      <c r="B259" s="22" t="n">
        <v>22.4</v>
      </c>
      <c r="C259" s="42" t="s">
        <v>111</v>
      </c>
      <c r="D259" s="34" t="s">
        <v>548</v>
      </c>
      <c r="E259" s="43" t="n">
        <v>0.065</v>
      </c>
      <c r="F259" s="17" t="s">
        <v>1242</v>
      </c>
      <c r="G259" s="17" t="s">
        <v>1243</v>
      </c>
      <c r="H259" s="29" t="s">
        <v>1244</v>
      </c>
      <c r="I259" s="27" t="s">
        <v>1245</v>
      </c>
      <c r="J259" s="46" t="str">
        <f aca="false">IF(I259&lt;&gt;"?", HYPERLINK(CONCATENATE("https://doi.org/",I259)), "")</f>
        <v>https://doi.org/10.1109/ISSCC.2014.6757480</v>
      </c>
      <c r="K259" s="82" t="s">
        <v>117</v>
      </c>
      <c r="L259" s="83"/>
      <c r="M259" s="83"/>
      <c r="N259" s="83"/>
      <c r="O259" s="34" t="n">
        <v>1.024</v>
      </c>
      <c r="P259" s="45" t="n">
        <v>0.78</v>
      </c>
      <c r="Q259" s="54" t="n">
        <v>53</v>
      </c>
      <c r="R259" s="48" t="n">
        <v>500000000</v>
      </c>
      <c r="S259" s="41" t="n">
        <v>51.4</v>
      </c>
      <c r="T259" s="41"/>
      <c r="U259" s="41"/>
      <c r="V259" s="41"/>
      <c r="W259" s="41" t="n">
        <v>60</v>
      </c>
      <c r="X259" s="49" t="n">
        <f aca="false">+IF(ISNUMBER($S259),$S259,MIN($V259,$T259,$U259,$W259))</f>
        <v>51.4</v>
      </c>
      <c r="Y259" s="48" t="n">
        <v>0.0189</v>
      </c>
      <c r="Z259" s="48" t="n">
        <v>1000000000</v>
      </c>
      <c r="AA259" s="50" t="n">
        <f aca="false">IF(EXACT(C259,"NQ"), 1, 0.0001)</f>
        <v>1</v>
      </c>
      <c r="AB259" s="48" t="n">
        <f aca="false">Z259/AA259</f>
        <v>1000000000</v>
      </c>
      <c r="AC259" s="48"/>
      <c r="AD259" s="51" t="n">
        <f aca="false">IF(AB259&gt;0, Y259/AB259*1000000000000, 0)</f>
        <v>18.9</v>
      </c>
      <c r="AE259" s="49" t="n">
        <f aca="false">IF(ISNUMBER($Q259), $AD259*1000/2^(($Q259-1.76)/6.02), "")</f>
        <v>51.7852994896061</v>
      </c>
      <c r="AF259" s="49" t="n">
        <f aca="false">$AD259*1000/2^(($X259-1.76)/6.02)</f>
        <v>62.2607667121164</v>
      </c>
      <c r="AG259" s="31" t="n">
        <f aca="false">IF(ISNUMBER($Q259), $Q259+10*LOG10($AB259/2/$Y259), "")</f>
        <v>157.225082001628</v>
      </c>
      <c r="AH259" s="31" t="n">
        <f aca="false">IF($Y259&gt;0, $X259+10*LOG10($AB259/2/$Y259), 0)</f>
        <v>155.625082001628</v>
      </c>
      <c r="AI259" s="52" t="n">
        <f aca="false">AF259/AB259</f>
        <v>6.22607667121164E-008</v>
      </c>
      <c r="AJ259" s="53" t="n">
        <f aca="false">AH259+10*LOG10(AB259)</f>
        <v>245.625082001628</v>
      </c>
    </row>
    <row r="260" customFormat="false" ht="12.75" hidden="false" customHeight="false" outlineLevel="0" collapsed="false">
      <c r="A260" s="23" t="n">
        <v>2014</v>
      </c>
      <c r="B260" s="22" t="n">
        <v>22.5</v>
      </c>
      <c r="C260" s="42" t="s">
        <v>111</v>
      </c>
      <c r="D260" s="34" t="s">
        <v>548</v>
      </c>
      <c r="E260" s="43" t="n">
        <v>0.04</v>
      </c>
      <c r="F260" s="17" t="s">
        <v>1246</v>
      </c>
      <c r="G260" s="17" t="s">
        <v>1247</v>
      </c>
      <c r="H260" s="29" t="s">
        <v>1248</v>
      </c>
      <c r="I260" s="27" t="s">
        <v>1249</v>
      </c>
      <c r="J260" s="46" t="str">
        <f aca="false">IF(I260&lt;&gt;"?", HYPERLINK(CONCATENATE("https://doi.org/",I260)), "")</f>
        <v>https://doi.org/10.1109/ISSCC.2014.6757481</v>
      </c>
      <c r="K260" s="82" t="s">
        <v>117</v>
      </c>
      <c r="L260" s="83"/>
      <c r="M260" s="83"/>
      <c r="N260" s="83"/>
      <c r="O260" s="34"/>
      <c r="P260" s="45" t="n">
        <v>0.83</v>
      </c>
      <c r="Q260" s="54" t="n">
        <v>50</v>
      </c>
      <c r="R260" s="48" t="n">
        <v>750000000</v>
      </c>
      <c r="S260" s="41" t="n">
        <v>48</v>
      </c>
      <c r="T260" s="41"/>
      <c r="U260" s="41"/>
      <c r="V260" s="41" t="n">
        <v>58</v>
      </c>
      <c r="W260" s="41" t="n">
        <v>61</v>
      </c>
      <c r="X260" s="49" t="n">
        <f aca="false">+IF(ISNUMBER($S260),$S260,MIN($V260,$T260,$U260,$W260))</f>
        <v>48</v>
      </c>
      <c r="Y260" s="48" t="n">
        <v>0.093</v>
      </c>
      <c r="Z260" s="48" t="n">
        <v>1620000000</v>
      </c>
      <c r="AA260" s="50" t="n">
        <f aca="false">IF(EXACT(C260,"NQ"), 1, 0.0001)</f>
        <v>1</v>
      </c>
      <c r="AB260" s="48" t="n">
        <f aca="false">Z260/AA260</f>
        <v>1620000000</v>
      </c>
      <c r="AC260" s="48"/>
      <c r="AD260" s="51" t="n">
        <f aca="false">IF(AB260&gt;0, Y260/AB260*1000000000000, 0)</f>
        <v>57.4074074074074</v>
      </c>
      <c r="AE260" s="49" t="n">
        <f aca="false">IF(ISNUMBER($Q260), $AD260*1000/2^(($Q260-1.76)/6.02), "")</f>
        <v>222.191566113016</v>
      </c>
      <c r="AF260" s="49" t="n">
        <f aca="false">$AD260*1000/2^(($X260-1.76)/6.02)</f>
        <v>279.729027464749</v>
      </c>
      <c r="AG260" s="31" t="n">
        <f aca="false">IF(ISNUMBER($Q260), $Q260+10*LOG10($AB260/2/$Y260), "")</f>
        <v>149.400020703247</v>
      </c>
      <c r="AH260" s="31" t="n">
        <f aca="false">IF($Y260&gt;0, $X260+10*LOG10($AB260/2/$Y260), 0)</f>
        <v>147.400020703247</v>
      </c>
      <c r="AI260" s="52" t="n">
        <f aca="false">AF260/AB260</f>
        <v>1.72672239175771E-007</v>
      </c>
      <c r="AJ260" s="53" t="n">
        <f aca="false">AH260+10*LOG10(AB260)</f>
        <v>239.495170848673</v>
      </c>
    </row>
    <row r="261" customFormat="false" ht="12.75" hidden="false" customHeight="false" outlineLevel="0" collapsed="false">
      <c r="A261" s="23" t="n">
        <v>2014</v>
      </c>
      <c r="B261" s="22" t="n">
        <v>22.6</v>
      </c>
      <c r="C261" s="42" t="s">
        <v>111</v>
      </c>
      <c r="D261" s="34" t="s">
        <v>1250</v>
      </c>
      <c r="E261" s="43" t="n">
        <v>0.04</v>
      </c>
      <c r="F261" s="17" t="s">
        <v>1251</v>
      </c>
      <c r="G261" s="17" t="s">
        <v>1252</v>
      </c>
      <c r="H261" s="29" t="s">
        <v>1253</v>
      </c>
      <c r="I261" s="27" t="s">
        <v>1254</v>
      </c>
      <c r="J261" s="46" t="str">
        <f aca="false">IF(I261&lt;&gt;"?", HYPERLINK(CONCATENATE("https://doi.org/",I261)), "")</f>
        <v>https://doi.org/10.1109/ISSCC.2014.6757482</v>
      </c>
      <c r="K261" s="17" t="s">
        <v>117</v>
      </c>
      <c r="L261" s="54"/>
      <c r="M261" s="54"/>
      <c r="N261" s="54"/>
      <c r="O261" s="34" t="n">
        <v>0.3</v>
      </c>
      <c r="P261" s="45" t="n">
        <v>0.052</v>
      </c>
      <c r="Q261" s="54" t="n">
        <v>37.4</v>
      </c>
      <c r="R261" s="48" t="n">
        <f aca="false">1100000000</f>
        <v>1100000000</v>
      </c>
      <c r="S261" s="41" t="n">
        <v>37.4</v>
      </c>
      <c r="T261" s="41" t="n">
        <v>36</v>
      </c>
      <c r="U261" s="41"/>
      <c r="V261" s="41"/>
      <c r="W261" s="41" t="n">
        <v>44</v>
      </c>
      <c r="X261" s="49" t="n">
        <f aca="false">+IF(ISNUMBER($S261),$S261,MIN($V261,$T261,$U261,$W261))</f>
        <v>37.4</v>
      </c>
      <c r="Y261" s="48" t="n">
        <v>0.0274</v>
      </c>
      <c r="Z261" s="48" t="n">
        <v>2200000000</v>
      </c>
      <c r="AA261" s="50" t="n">
        <f aca="false">IF(EXACT(C261,"NQ"), 1, 0.0001)</f>
        <v>1</v>
      </c>
      <c r="AB261" s="48" t="n">
        <f aca="false">Z261/AA261</f>
        <v>2200000000</v>
      </c>
      <c r="AC261" s="48"/>
      <c r="AD261" s="51" t="n">
        <f aca="false">IF(AB261&gt;0, Y261/AB261*1000000000000, 0)</f>
        <v>12.4545454545455</v>
      </c>
      <c r="AE261" s="49" t="n">
        <f aca="false">IF(ISNUMBER($Q261), $AD261*1000/2^(($Q261-1.76)/6.02), "")</f>
        <v>205.660221728685</v>
      </c>
      <c r="AF261" s="49" t="n">
        <f aca="false">$AD261*1000/2^(($X261-1.76)/6.02)</f>
        <v>205.660221728685</v>
      </c>
      <c r="AG261" s="31" t="n">
        <f aca="false">IF(ISNUMBER($Q261), $Q261+10*LOG10($AB261/2/$Y261), "")</f>
        <v>143.436421223378</v>
      </c>
      <c r="AH261" s="31" t="n">
        <f aca="false">IF($Y261&gt;0, $X261+10*LOG10($AB261/2/$Y261), 0)</f>
        <v>143.436421223378</v>
      </c>
      <c r="AI261" s="52" t="n">
        <f aca="false">AF261/AB261</f>
        <v>9.34819189675843E-008</v>
      </c>
      <c r="AJ261" s="53" t="n">
        <f aca="false">AH261+10*LOG10(AB261)</f>
        <v>236.8606480316</v>
      </c>
    </row>
    <row r="262" customFormat="false" ht="12.75" hidden="false" customHeight="false" outlineLevel="0" collapsed="false">
      <c r="A262" s="23" t="n">
        <v>2014</v>
      </c>
      <c r="B262" s="22" t="n">
        <v>29.1</v>
      </c>
      <c r="C262" s="42" t="s">
        <v>139</v>
      </c>
      <c r="D262" s="34" t="s">
        <v>173</v>
      </c>
      <c r="E262" s="43" t="n">
        <v>0.13</v>
      </c>
      <c r="F262" s="17" t="s">
        <v>1255</v>
      </c>
      <c r="G262" s="17" t="s">
        <v>1256</v>
      </c>
      <c r="H262" s="29" t="s">
        <v>1257</v>
      </c>
      <c r="I262" s="27" t="s">
        <v>1258</v>
      </c>
      <c r="J262" s="46" t="str">
        <f aca="false">IF(I262&lt;&gt;"?", HYPERLINK(CONCATENATE("https://doi.org/",I262)), "")</f>
        <v>https://doi.org/10.1109/ISSCC.2014.6757520</v>
      </c>
      <c r="K262" s="17" t="s">
        <v>1259</v>
      </c>
      <c r="L262" s="54"/>
      <c r="M262" s="54"/>
      <c r="N262" s="54"/>
      <c r="O262" s="34" t="s">
        <v>117</v>
      </c>
      <c r="P262" s="45" t="n">
        <v>0.33</v>
      </c>
      <c r="Q262" s="54"/>
      <c r="R262" s="48" t="n">
        <v>2000000</v>
      </c>
      <c r="S262" s="41" t="n">
        <v>74.4</v>
      </c>
      <c r="T262" s="41" t="n">
        <v>80.5</v>
      </c>
      <c r="U262" s="41" t="n">
        <v>82</v>
      </c>
      <c r="V262" s="41"/>
      <c r="W262" s="41"/>
      <c r="X262" s="49" t="n">
        <f aca="false">+IF(ISNUMBER($S262),$S262,MIN($V262,$T262,$U262,$W262))</f>
        <v>74.4</v>
      </c>
      <c r="Y262" s="48" t="n">
        <v>0.005</v>
      </c>
      <c r="Z262" s="48" t="n">
        <v>256000000</v>
      </c>
      <c r="AA262" s="50" t="n">
        <v>64</v>
      </c>
      <c r="AB262" s="48" t="n">
        <f aca="false">Z262/AA262</f>
        <v>4000000</v>
      </c>
      <c r="AC262" s="48"/>
      <c r="AD262" s="51" t="n">
        <f aca="false">IF(AB262&gt;0, Y262/AB262*1000000000000, 0)</f>
        <v>1250</v>
      </c>
      <c r="AE262" s="49" t="str">
        <f aca="false">IF(ISNUMBER($Q262), $AD262*1000/2^(($Q262-1.76)/6.02), "")</f>
        <v/>
      </c>
      <c r="AF262" s="49" t="n">
        <f aca="false">$AD262*1000/2^(($X262-1.76)/6.02)</f>
        <v>291.439271048772</v>
      </c>
      <c r="AG262" s="31" t="str">
        <f aca="false">IF(ISNUMBER($Q262), $Q262+10*LOG10($AB262/2/$Y262), "")</f>
        <v/>
      </c>
      <c r="AH262" s="31" t="n">
        <f aca="false">IF($Y262&gt;0, $X262+10*LOG10($AB262/2/$Y262), 0)</f>
        <v>160.42059991328</v>
      </c>
      <c r="AI262" s="52" t="n">
        <f aca="false">AF262/AB262</f>
        <v>7.2859817762193E-005</v>
      </c>
      <c r="AJ262" s="53" t="n">
        <f aca="false">AH262+10*LOG10(AB262)</f>
        <v>226.441199826559</v>
      </c>
    </row>
    <row r="263" customFormat="false" ht="12.75" hidden="false" customHeight="false" outlineLevel="0" collapsed="false">
      <c r="A263" s="23" t="n">
        <v>2014</v>
      </c>
      <c r="B263" s="22" t="n">
        <v>29.2</v>
      </c>
      <c r="C263" s="42" t="s">
        <v>139</v>
      </c>
      <c r="D263" s="34" t="s">
        <v>173</v>
      </c>
      <c r="E263" s="43" t="n">
        <v>0.028</v>
      </c>
      <c r="F263" s="17" t="s">
        <v>1260</v>
      </c>
      <c r="G263" s="17" t="s">
        <v>1261</v>
      </c>
      <c r="H263" s="17" t="s">
        <v>1262</v>
      </c>
      <c r="I263" s="76" t="s">
        <v>1263</v>
      </c>
      <c r="J263" s="46" t="str">
        <f aca="false">IF(I263&lt;&gt;"?", HYPERLINK(CONCATENATE("https://doi.org/",I263)), "")</f>
        <v>https://doi.org/10.1109/ISSCC.2014.6757521</v>
      </c>
      <c r="K263" s="17" t="s">
        <v>1264</v>
      </c>
      <c r="L263" s="54"/>
      <c r="M263" s="54"/>
      <c r="N263" s="54"/>
      <c r="O263" s="34" t="s">
        <v>117</v>
      </c>
      <c r="P263" s="45" t="n">
        <v>0.9</v>
      </c>
      <c r="Q263" s="54"/>
      <c r="R263" s="48" t="n">
        <v>45700000</v>
      </c>
      <c r="S263" s="41" t="n">
        <v>72.6</v>
      </c>
      <c r="T263" s="41" t="n">
        <v>84.6</v>
      </c>
      <c r="U263" s="41" t="n">
        <v>90</v>
      </c>
      <c r="V263" s="41"/>
      <c r="W263" s="41"/>
      <c r="X263" s="49" t="n">
        <f aca="false">+IF(ISNUMBER($S263),$S263,MIN($V263,$T263,$U263,$W263))</f>
        <v>72.6</v>
      </c>
      <c r="Y263" s="48" t="n">
        <v>0.235</v>
      </c>
      <c r="Z263" s="48" t="n">
        <v>3200000000</v>
      </c>
      <c r="AA263" s="50" t="n">
        <v>35</v>
      </c>
      <c r="AB263" s="48" t="n">
        <f aca="false">Z263/AA263</f>
        <v>91428571.4285714</v>
      </c>
      <c r="AC263" s="48"/>
      <c r="AD263" s="51" t="n">
        <f aca="false">IF(AB263&gt;0, Y263/AB263*1000000000000, 0)</f>
        <v>2570.3125</v>
      </c>
      <c r="AE263" s="49" t="str">
        <f aca="false">IF(ISNUMBER($Q263), $AD263*1000/2^(($Q263-1.76)/6.02), "")</f>
        <v/>
      </c>
      <c r="AF263" s="49" t="n">
        <f aca="false">$AD263*1000/2^(($X263-1.76)/6.02)</f>
        <v>737.280853916819</v>
      </c>
      <c r="AG263" s="31" t="str">
        <f aca="false">IF(ISNUMBER($Q263), $Q263+10*LOG10($AB263/2/$Y263), "")</f>
        <v/>
      </c>
      <c r="AH263" s="31" t="n">
        <f aca="false">IF($Y263&gt;0, $X263+10*LOG10($AB263/2/$Y263), 0)</f>
        <v>155.489840760339</v>
      </c>
      <c r="AI263" s="52" t="n">
        <f aca="false">AF263/AB263</f>
        <v>8.0640093397152E-006</v>
      </c>
      <c r="AJ263" s="53" t="n">
        <f aca="false">AH263+10*LOG10(AB263)</f>
        <v>235.100660100035</v>
      </c>
    </row>
    <row r="264" customFormat="false" ht="12.75" hidden="false" customHeight="false" outlineLevel="0" collapsed="false">
      <c r="A264" s="23" t="n">
        <v>2014</v>
      </c>
      <c r="B264" s="22" t="n">
        <v>29.3</v>
      </c>
      <c r="C264" s="42" t="s">
        <v>111</v>
      </c>
      <c r="D264" s="34" t="s">
        <v>133</v>
      </c>
      <c r="E264" s="43" t="n">
        <v>0.065</v>
      </c>
      <c r="F264" s="17" t="s">
        <v>1265</v>
      </c>
      <c r="G264" s="17" t="s">
        <v>1266</v>
      </c>
      <c r="H264" s="84" t="s">
        <v>1267</v>
      </c>
      <c r="I264" s="85" t="s">
        <v>1268</v>
      </c>
      <c r="J264" s="46" t="str">
        <f aca="false">IF(I264&lt;&gt;"?", HYPERLINK(CONCATENATE("https://doi.org/",I264)), "")</f>
        <v>https://doi.org/10.1109/ISSCC.2014.6757522</v>
      </c>
      <c r="K264" s="17" t="s">
        <v>1269</v>
      </c>
      <c r="L264" s="54"/>
      <c r="M264" s="54"/>
      <c r="N264" s="54"/>
      <c r="O264" s="34" t="n">
        <v>1.5</v>
      </c>
      <c r="P264" s="45" t="n">
        <v>18</v>
      </c>
      <c r="Q264" s="54" t="n">
        <v>69</v>
      </c>
      <c r="R264" s="48" t="n">
        <v>500000000</v>
      </c>
      <c r="S264" s="41" t="n">
        <v>68</v>
      </c>
      <c r="T264" s="41"/>
      <c r="U264" s="41"/>
      <c r="V264" s="41"/>
      <c r="W264" s="41" t="n">
        <v>82</v>
      </c>
      <c r="X264" s="49" t="n">
        <f aca="false">+IF(ISNUMBER($S264),$S264,MIN($V264,$T264,$U264,$W264))</f>
        <v>68</v>
      </c>
      <c r="Y264" s="48" t="n">
        <v>1.2</v>
      </c>
      <c r="Z264" s="48" t="n">
        <v>1000000000</v>
      </c>
      <c r="AA264" s="50" t="n">
        <f aca="false">IF(EXACT(C264,"NQ"), 1, 0.0001)</f>
        <v>1</v>
      </c>
      <c r="AB264" s="48" t="n">
        <f aca="false">Z264/AA264</f>
        <v>1000000000</v>
      </c>
      <c r="AC264" s="48"/>
      <c r="AD264" s="51" t="n">
        <f aca="false">IF(AB264&gt;0, Y264/AB264*1000000000000, 0)</f>
        <v>1200</v>
      </c>
      <c r="AE264" s="49" t="n">
        <f aca="false">IF(ISNUMBER($Q264), $AD264*1000/2^(($Q264-1.76)/6.02), "")</f>
        <v>521.010182848792</v>
      </c>
      <c r="AF264" s="49" t="n">
        <f aca="false">$AD264*1000/2^(($X264-1.76)/6.02)</f>
        <v>584.589747005838</v>
      </c>
      <c r="AG264" s="31" t="n">
        <f aca="false">IF(ISNUMBER($Q264), $Q264+10*LOG10($AB264/2/$Y264), "")</f>
        <v>155.197887582884</v>
      </c>
      <c r="AH264" s="31" t="n">
        <f aca="false">IF($Y264&gt;0, $X264+10*LOG10($AB264/2/$Y264), 0)</f>
        <v>154.197887582884</v>
      </c>
      <c r="AI264" s="52" t="n">
        <f aca="false">AF264/AB264</f>
        <v>5.84589747005838E-007</v>
      </c>
      <c r="AJ264" s="53" t="n">
        <f aca="false">AH264+10*LOG10(AB264)</f>
        <v>244.197887582884</v>
      </c>
    </row>
    <row r="265" customFormat="false" ht="12.75" hidden="false" customHeight="false" outlineLevel="0" collapsed="false">
      <c r="A265" s="74" t="n">
        <v>2015</v>
      </c>
      <c r="B265" s="22" t="n">
        <v>3.6</v>
      </c>
      <c r="C265" s="22" t="s">
        <v>111</v>
      </c>
      <c r="D265" s="23" t="s">
        <v>548</v>
      </c>
      <c r="E265" s="43" t="n">
        <v>0.065</v>
      </c>
      <c r="F265" s="75" t="s">
        <v>1270</v>
      </c>
      <c r="G265" s="86" t="s">
        <v>1271</v>
      </c>
      <c r="H265" s="80" t="s">
        <v>1272</v>
      </c>
      <c r="I265" s="27" t="s">
        <v>1273</v>
      </c>
      <c r="J265" s="46" t="str">
        <f aca="false">IF(I265&lt;&gt;"?", HYPERLINK(CONCATENATE("https://doi.org/",I265)), "")</f>
        <v>https://doi.org/10.1109/ISSCC.2015.7062926</v>
      </c>
      <c r="K265" s="28" t="s">
        <v>1274</v>
      </c>
      <c r="L265" s="30"/>
      <c r="M265" s="30"/>
      <c r="N265" s="30"/>
      <c r="O265" s="22" t="s">
        <v>117</v>
      </c>
      <c r="P265" s="29" t="n">
        <v>0.38</v>
      </c>
      <c r="R265" s="26" t="n">
        <v>5000000000</v>
      </c>
      <c r="S265" s="30" t="n">
        <f aca="false">4.74*6.02+1.76</f>
        <v>30.2948</v>
      </c>
      <c r="T265" s="41"/>
      <c r="X265" s="49" t="n">
        <f aca="false">+IF(ISNUMBER($S265),$S265,MIN($V265,$T265,$U265,$W265))</f>
        <v>30.2948</v>
      </c>
      <c r="Y265" s="48" t="n">
        <v>0.079</v>
      </c>
      <c r="Z265" s="71" t="n">
        <v>10000000000</v>
      </c>
      <c r="AA265" s="87" t="n">
        <v>1</v>
      </c>
      <c r="AB265" s="48" t="n">
        <f aca="false">Z265/AA265</f>
        <v>10000000000</v>
      </c>
      <c r="AC265" s="48"/>
      <c r="AD265" s="51" t="n">
        <f aca="false">IF(AB265&gt;0, Y265/AB265*1000000000000, 0)</f>
        <v>7.9</v>
      </c>
      <c r="AE265" s="49" t="str">
        <f aca="false">IF(ISNUMBER($Q265), $AD265*1000/2^(($Q265-1.76)/6.02), "")</f>
        <v/>
      </c>
      <c r="AF265" s="49" t="n">
        <f aca="false">$AD265*1000/2^(($X265-1.76)/6.02)</f>
        <v>295.627555202798</v>
      </c>
      <c r="AG265" s="31" t="str">
        <f aca="false">IF(ISNUMBER($Q265), $Q265+10*LOG10($AB265/2/$Y265), "")</f>
        <v/>
      </c>
      <c r="AH265" s="31" t="n">
        <f aca="false">IF($Y265&gt;0, $X265+10*LOG10($AB265/2/$Y265), 0)</f>
        <v>138.308229130456</v>
      </c>
      <c r="AI265" s="26" t="n">
        <f aca="false">AF265/AB265</f>
        <v>2.95627555202798E-008</v>
      </c>
      <c r="AJ265" s="53" t="n">
        <f aca="false">AH265+10*LOG10(AB265)</f>
        <v>238.308229130456</v>
      </c>
    </row>
    <row r="266" customFormat="false" ht="12.75" hidden="false" customHeight="false" outlineLevel="0" collapsed="false">
      <c r="A266" s="50" t="n">
        <v>2015</v>
      </c>
      <c r="B266" s="43" t="n">
        <v>5.2</v>
      </c>
      <c r="C266" s="42" t="s">
        <v>139</v>
      </c>
      <c r="D266" s="34" t="s">
        <v>145</v>
      </c>
      <c r="E266" s="43" t="n">
        <v>0.18</v>
      </c>
      <c r="F266" s="17" t="s">
        <v>1275</v>
      </c>
      <c r="G266" s="17" t="s">
        <v>1276</v>
      </c>
      <c r="H266" s="29" t="s">
        <v>1277</v>
      </c>
      <c r="I266" s="27" t="s">
        <v>1278</v>
      </c>
      <c r="J266" s="46" t="str">
        <f aca="false">IF(I266&lt;&gt;"?", HYPERLINK(CONCATENATE("https://doi.org/",I266)), "")</f>
        <v>https://doi.org/10.1109/ISSCC.2015.7062940</v>
      </c>
      <c r="K266" s="82" t="s">
        <v>117</v>
      </c>
      <c r="L266" s="83"/>
      <c r="M266" s="83"/>
      <c r="N266" s="83"/>
      <c r="O266" s="34" t="n">
        <v>5</v>
      </c>
      <c r="P266" s="56" t="n">
        <v>0.8</v>
      </c>
      <c r="Q266" s="54"/>
      <c r="R266" s="48" t="n">
        <f aca="false">AB266/2</f>
        <v>100</v>
      </c>
      <c r="S266" s="41" t="n">
        <v>100.6</v>
      </c>
      <c r="T266" s="41" t="n">
        <v>110</v>
      </c>
      <c r="U266" s="41"/>
      <c r="V266" s="41"/>
      <c r="W266" s="41" t="n">
        <v>100.8</v>
      </c>
      <c r="X266" s="49" t="n">
        <f aca="false">+IF(ISNUMBER($S266),$S266,MIN($V266,$T266,$U266,$W266))</f>
        <v>100.6</v>
      </c>
      <c r="Y266" s="48" t="n">
        <v>0.000505</v>
      </c>
      <c r="Z266" s="88" t="n">
        <v>150000</v>
      </c>
      <c r="AA266" s="87" t="n">
        <f aca="false">Z266/AB266</f>
        <v>750</v>
      </c>
      <c r="AB266" s="48" t="n">
        <v>200</v>
      </c>
      <c r="AC266" s="48"/>
      <c r="AD266" s="51" t="n">
        <f aca="false">IF(AB266&gt;0, Y266/AB266*1000000000000, 0)</f>
        <v>2525000</v>
      </c>
      <c r="AE266" s="49" t="str">
        <f aca="false">IF(ISNUMBER($Q266), $AD266*1000/2^(($Q266-1.76)/6.02), "")</f>
        <v/>
      </c>
      <c r="AF266" s="49" t="n">
        <f aca="false">$AD266*1000/2^(($X266-1.76)/6.02)</f>
        <v>28824.9720932218</v>
      </c>
      <c r="AG266" s="31" t="str">
        <f aca="false">IF(ISNUMBER($Q266), $Q266+10*LOG10($AB266/2/$Y266), "")</f>
        <v/>
      </c>
      <c r="AH266" s="31" t="n">
        <f aca="false">IF($Y266&gt;0, $X266+10*LOG10($AB266/2/$Y266), 0)</f>
        <v>153.567086218813</v>
      </c>
      <c r="AI266" s="26" t="n">
        <f aca="false">AF266/AB266</f>
        <v>144.124860466109</v>
      </c>
      <c r="AJ266" s="53" t="n">
        <f aca="false">AH266+10*LOG10(AB266)</f>
        <v>176.577386175453</v>
      </c>
    </row>
    <row r="267" customFormat="false" ht="12.75" hidden="false" customHeight="false" outlineLevel="0" collapsed="false">
      <c r="A267" s="50" t="n">
        <v>2015</v>
      </c>
      <c r="B267" s="43" t="n">
        <v>15.1</v>
      </c>
      <c r="C267" s="42" t="s">
        <v>139</v>
      </c>
      <c r="D267" s="34" t="s">
        <v>1279</v>
      </c>
      <c r="E267" s="43" t="n">
        <v>0.028</v>
      </c>
      <c r="F267" s="17" t="s">
        <v>1280</v>
      </c>
      <c r="G267" s="17" t="s">
        <v>1281</v>
      </c>
      <c r="H267" s="17" t="s">
        <v>1282</v>
      </c>
      <c r="I267" s="76" t="s">
        <v>1283</v>
      </c>
      <c r="J267" s="46" t="str">
        <f aca="false">IF(I267&lt;&gt;"?", HYPERLINK(CONCATENATE("https://doi.org/",I267)), "")</f>
        <v>https://doi.org/10.1109/ISSCC.2015.7063031</v>
      </c>
      <c r="K267" s="45" t="s">
        <v>117</v>
      </c>
      <c r="L267" s="41"/>
      <c r="M267" s="41"/>
      <c r="N267" s="41"/>
      <c r="O267" s="34" t="s">
        <v>1284</v>
      </c>
      <c r="P267" s="45" t="n">
        <v>0.34</v>
      </c>
      <c r="Q267" s="54"/>
      <c r="R267" s="48" t="n">
        <f aca="false">AB267/2</f>
        <v>50000000</v>
      </c>
      <c r="S267" s="41" t="n">
        <v>74.6</v>
      </c>
      <c r="T267" s="41" t="n">
        <v>76.1</v>
      </c>
      <c r="U267" s="41" t="n">
        <v>85</v>
      </c>
      <c r="V267" s="41"/>
      <c r="W267" s="41"/>
      <c r="X267" s="49" t="n">
        <f aca="false">+IF(ISNUMBER($S267),$S267,MIN($V267,$T267,$U267,$W267))</f>
        <v>74.6</v>
      </c>
      <c r="Y267" s="48" t="n">
        <v>0.078</v>
      </c>
      <c r="Z267" s="88" t="n">
        <v>1800000000</v>
      </c>
      <c r="AA267" s="87" t="n">
        <v>18</v>
      </c>
      <c r="AB267" s="48" t="n">
        <f aca="false">Z267/AA267</f>
        <v>100000000</v>
      </c>
      <c r="AC267" s="48"/>
      <c r="AD267" s="51" t="n">
        <f aca="false">IF(AB267&gt;0, Y267/AB267*1000000000000, 0)</f>
        <v>780</v>
      </c>
      <c r="AE267" s="49" t="str">
        <f aca="false">IF(ISNUMBER($Q267), $AD267*1000/2^(($Q267-1.76)/6.02), "")</f>
        <v/>
      </c>
      <c r="AF267" s="49" t="n">
        <f aca="false">$AD267*1000/2^(($X267-1.76)/6.02)</f>
        <v>177.718101476798</v>
      </c>
      <c r="AG267" s="31" t="str">
        <f aca="false">IF(ISNUMBER($Q267), $Q267+10*LOG10($AB267/2/$Y267), "")</f>
        <v/>
      </c>
      <c r="AH267" s="31" t="n">
        <f aca="false">IF($Y267&gt;0, $X267+10*LOG10($AB267/2/$Y267), 0)</f>
        <v>162.668754016455</v>
      </c>
      <c r="AI267" s="26" t="n">
        <f aca="false">AF267/AB267</f>
        <v>1.77718101476798E-006</v>
      </c>
      <c r="AJ267" s="53" t="n">
        <f aca="false">AH267+10*LOG10(AB267)</f>
        <v>242.668754016455</v>
      </c>
    </row>
    <row r="268" customFormat="false" ht="12.75" hidden="false" customHeight="false" outlineLevel="0" collapsed="false">
      <c r="A268" s="50" t="n">
        <v>2015</v>
      </c>
      <c r="B268" s="43" t="n">
        <v>15.2</v>
      </c>
      <c r="C268" s="42" t="s">
        <v>139</v>
      </c>
      <c r="D268" s="34" t="s">
        <v>173</v>
      </c>
      <c r="E268" s="43" t="n">
        <v>0.055</v>
      </c>
      <c r="F268" s="17" t="s">
        <v>1285</v>
      </c>
      <c r="G268" s="17" t="s">
        <v>1286</v>
      </c>
      <c r="H268" s="17" t="s">
        <v>1287</v>
      </c>
      <c r="I268" s="76" t="s">
        <v>1288</v>
      </c>
      <c r="J268" s="46" t="str">
        <f aca="false">IF(I268&lt;&gt;"?", HYPERLINK(CONCATENATE("https://doi.org/",I268)), "")</f>
        <v>https://doi.org/10.1109/ISSCC.2015.7063032</v>
      </c>
      <c r="K268" s="29" t="s">
        <v>117</v>
      </c>
      <c r="L268" s="30"/>
      <c r="M268" s="30"/>
      <c r="N268" s="30"/>
      <c r="O268" s="34" t="s">
        <v>1284</v>
      </c>
      <c r="P268" s="45" t="n">
        <v>0.09</v>
      </c>
      <c r="Q268" s="54"/>
      <c r="R268" s="48" t="n">
        <f aca="false">AB268/2</f>
        <v>2200000</v>
      </c>
      <c r="S268" s="41" t="n">
        <v>90.4</v>
      </c>
      <c r="T268" s="41"/>
      <c r="U268" s="41" t="n">
        <v>92</v>
      </c>
      <c r="V268" s="41"/>
      <c r="W268" s="41"/>
      <c r="X268" s="49" t="n">
        <f aca="false">+IF(ISNUMBER($S268),$S268,MIN($V268,$T268,$U268,$W268))</f>
        <v>90.4</v>
      </c>
      <c r="Y268" s="48" t="n">
        <v>0.0045</v>
      </c>
      <c r="Z268" s="88" t="n">
        <v>140000000</v>
      </c>
      <c r="AA268" s="87" t="n">
        <f aca="false">Z268/AB268</f>
        <v>31.8181818181818</v>
      </c>
      <c r="AB268" s="48" t="n">
        <v>4400000</v>
      </c>
      <c r="AC268" s="48"/>
      <c r="AD268" s="51" t="n">
        <f aca="false">IF(AB268&gt;0, Y268/AB268*1000000000000, 0)</f>
        <v>1022.72727272727</v>
      </c>
      <c r="AE268" s="49" t="str">
        <f aca="false">IF(ISNUMBER($Q268), $AD268*1000/2^(($Q268-1.76)/6.02), "")</f>
        <v/>
      </c>
      <c r="AF268" s="49" t="n">
        <f aca="false">$AD268*1000/2^(($X268-1.76)/6.02)</f>
        <v>37.784890985632</v>
      </c>
      <c r="AG268" s="31" t="str">
        <f aca="false">IF(ISNUMBER($Q268), $Q268+10*LOG10($AB268/2/$Y268), "")</f>
        <v/>
      </c>
      <c r="AH268" s="31" t="n">
        <f aca="false">IF($Y268&gt;0, $X268+10*LOG10($AB268/2/$Y268), 0)</f>
        <v>177.292101670469</v>
      </c>
      <c r="AI268" s="26" t="n">
        <f aca="false">AF268/AB268</f>
        <v>8.58747522400728E-006</v>
      </c>
      <c r="AJ268" s="53" t="n">
        <f aca="false">AH268+10*LOG10(AB268)</f>
        <v>243.72662843533</v>
      </c>
    </row>
    <row r="269" customFormat="false" ht="12.75" hidden="false" customHeight="false" outlineLevel="0" collapsed="false">
      <c r="A269" s="50" t="n">
        <v>2015</v>
      </c>
      <c r="B269" s="43" t="n">
        <v>15.4</v>
      </c>
      <c r="C269" s="42" t="s">
        <v>111</v>
      </c>
      <c r="D269" s="34" t="s">
        <v>112</v>
      </c>
      <c r="E269" s="43" t="n">
        <v>0.065</v>
      </c>
      <c r="F269" s="17" t="s">
        <v>1289</v>
      </c>
      <c r="G269" s="17" t="s">
        <v>1290</v>
      </c>
      <c r="H269" s="29" t="s">
        <v>1291</v>
      </c>
      <c r="I269" s="27" t="s">
        <v>1292</v>
      </c>
      <c r="J269" s="46" t="str">
        <f aca="false">IF(I269&lt;&gt;"?", HYPERLINK(CONCATENATE("https://doi.org/",I269)), "")</f>
        <v>https://doi.org/10.1109/ISSCC.2015.7063034</v>
      </c>
      <c r="K269" s="17" t="s">
        <v>1293</v>
      </c>
      <c r="L269" s="54"/>
      <c r="M269" s="54"/>
      <c r="N269" s="54"/>
      <c r="O269" s="34"/>
      <c r="P269" s="45" t="n">
        <v>0.26</v>
      </c>
      <c r="Q269" s="54"/>
      <c r="R269" s="48" t="n">
        <v>40000</v>
      </c>
      <c r="S269" s="41" t="n">
        <f aca="false">9.1*6.02+1.76</f>
        <v>56.542</v>
      </c>
      <c r="T269" s="41"/>
      <c r="U269" s="41"/>
      <c r="V269" s="41"/>
      <c r="W269" s="41"/>
      <c r="X269" s="49" t="n">
        <f aca="false">+IF(ISNUMBER($S269),$S269,MIN($V269,$T269,$U269,$W269))</f>
        <v>56.542</v>
      </c>
      <c r="Y269" s="48" t="n">
        <v>1.06E-007</v>
      </c>
      <c r="Z269" s="89" t="n">
        <v>80000</v>
      </c>
      <c r="AA269" s="87" t="n">
        <v>1</v>
      </c>
      <c r="AB269" s="48" t="n">
        <f aca="false">Z269/AA269</f>
        <v>80000</v>
      </c>
      <c r="AC269" s="48"/>
      <c r="AD269" s="51" t="n">
        <f aca="false">IF(AB269&gt;0, Y269/AB269*1000000000000, 0)</f>
        <v>1.325</v>
      </c>
      <c r="AE269" s="49" t="str">
        <f aca="false">IF(ISNUMBER($Q269), $AD269*1000/2^(($Q269-1.76)/6.02), "")</f>
        <v/>
      </c>
      <c r="AF269" s="49" t="n">
        <f aca="false">$AD269*1000/2^(($X269-1.76)/6.02)</f>
        <v>2.41458733161381</v>
      </c>
      <c r="AG269" s="31" t="str">
        <f aca="false">IF(ISNUMBER($Q269), $Q269+10*LOG10($AB269/2/$Y269), "")</f>
        <v/>
      </c>
      <c r="AH269" s="31" t="n">
        <f aca="false">IF($Y269&gt;0, $X269+10*LOG10($AB269/2/$Y269), 0)</f>
        <v>172.309541260632</v>
      </c>
      <c r="AI269" s="26" t="n">
        <f aca="false">AF269/AB269</f>
        <v>3.01823416451726E-005</v>
      </c>
      <c r="AJ269" s="53" t="n">
        <f aca="false">AH269+10*LOG10(AB269)</f>
        <v>221.340441130551</v>
      </c>
    </row>
    <row r="270" customFormat="false" ht="12.75" hidden="false" customHeight="false" outlineLevel="0" collapsed="false">
      <c r="A270" s="50" t="n">
        <v>2015</v>
      </c>
      <c r="B270" s="43" t="n">
        <v>15.6</v>
      </c>
      <c r="C270" s="42" t="s">
        <v>111</v>
      </c>
      <c r="D270" s="34" t="s">
        <v>133</v>
      </c>
      <c r="E270" s="43" t="n">
        <v>0.065</v>
      </c>
      <c r="F270" s="17" t="s">
        <v>1294</v>
      </c>
      <c r="G270" s="17" t="s">
        <v>1295</v>
      </c>
      <c r="H270" s="29" t="s">
        <v>1296</v>
      </c>
      <c r="I270" s="27" t="s">
        <v>1297</v>
      </c>
      <c r="J270" s="46" t="str">
        <f aca="false">IF(I270&lt;&gt;"?", HYPERLINK(CONCATENATE("https://doi.org/",I270)), "")</f>
        <v>https://doi.org/10.1109/ISSCC.2015.7063036</v>
      </c>
      <c r="K270" s="45" t="s">
        <v>117</v>
      </c>
      <c r="L270" s="41" t="n">
        <v>1.2</v>
      </c>
      <c r="M270" s="41"/>
      <c r="N270" s="41"/>
      <c r="O270" s="34"/>
      <c r="P270" s="45" t="n">
        <v>0.53</v>
      </c>
      <c r="Q270" s="54" t="n">
        <v>67</v>
      </c>
      <c r="R270" s="48" t="n">
        <v>125000000</v>
      </c>
      <c r="S270" s="41" t="n">
        <v>65.7</v>
      </c>
      <c r="T270" s="41"/>
      <c r="U270" s="41"/>
      <c r="V270" s="41"/>
      <c r="W270" s="41" t="n">
        <v>84.6</v>
      </c>
      <c r="X270" s="49" t="n">
        <f aca="false">+IF(ISNUMBER($S270),$S270,MIN($V270,$T270,$U270,$W270))</f>
        <v>65.7</v>
      </c>
      <c r="Y270" s="48" t="n">
        <v>0.0497</v>
      </c>
      <c r="Z270" s="89" t="n">
        <v>250000000</v>
      </c>
      <c r="AA270" s="87" t="n">
        <v>1</v>
      </c>
      <c r="AB270" s="48" t="n">
        <f aca="false">Z270/AA270</f>
        <v>250000000</v>
      </c>
      <c r="AC270" s="48"/>
      <c r="AD270" s="51" t="n">
        <f aca="false">IF(AB270&gt;0, Y270/AB270*1000000000000, 0)</f>
        <v>198.8</v>
      </c>
      <c r="AE270" s="49" t="n">
        <f aca="false">IF(ISNUMBER($Q270), $AD270*1000/2^(($Q270-1.76)/6.02), "")</f>
        <v>108.6654069514</v>
      </c>
      <c r="AF270" s="49" t="n">
        <f aca="false">$AD270*1000/2^(($X270-1.76)/6.02)</f>
        <v>126.211168691985</v>
      </c>
      <c r="AG270" s="31" t="n">
        <f aca="false">IF(ISNUMBER($Q270), $Q270+10*LOG10($AB270/2/$Y270), "")</f>
        <v>161.005536242747</v>
      </c>
      <c r="AH270" s="31" t="n">
        <f aca="false">IF($Y270&gt;0, $X270+10*LOG10($AB270/2/$Y270), 0)</f>
        <v>159.705536242747</v>
      </c>
      <c r="AI270" s="26" t="n">
        <f aca="false">AF270/AB270</f>
        <v>5.04844674767941E-007</v>
      </c>
      <c r="AJ270" s="53" t="n">
        <f aca="false">AH270+10*LOG10(AB270)</f>
        <v>243.684936329468</v>
      </c>
    </row>
    <row r="271" customFormat="false" ht="12.75" hidden="false" customHeight="false" outlineLevel="0" collapsed="false">
      <c r="A271" s="50" t="n">
        <v>2015</v>
      </c>
      <c r="B271" s="43" t="n">
        <v>15.7</v>
      </c>
      <c r="C271" s="42" t="s">
        <v>111</v>
      </c>
      <c r="D271" s="34" t="s">
        <v>112</v>
      </c>
      <c r="E271" s="43" t="n">
        <v>0.04</v>
      </c>
      <c r="F271" s="17" t="s">
        <v>1298</v>
      </c>
      <c r="G271" s="17" t="s">
        <v>1299</v>
      </c>
      <c r="H271" s="17" t="s">
        <v>1300</v>
      </c>
      <c r="I271" s="76" t="s">
        <v>1301</v>
      </c>
      <c r="J271" s="46" t="str">
        <f aca="false">IF(I271&lt;&gt;"?", HYPERLINK(CONCATENATE("https://doi.org/",I271)), "")</f>
        <v>https://doi.org/10.1109/ISSCC.2015.7063037</v>
      </c>
      <c r="K271" s="17" t="s">
        <v>1302</v>
      </c>
      <c r="L271" s="54"/>
      <c r="M271" s="54"/>
      <c r="N271" s="54"/>
      <c r="O271" s="34" t="n">
        <v>3.5</v>
      </c>
      <c r="P271" s="45" t="n">
        <v>0.236</v>
      </c>
      <c r="Q271" s="54" t="n">
        <v>75</v>
      </c>
      <c r="R271" s="48" t="n">
        <v>17400000</v>
      </c>
      <c r="S271" s="41" t="n">
        <v>74.4</v>
      </c>
      <c r="T271" s="41"/>
      <c r="U271" s="41"/>
      <c r="V271" s="41"/>
      <c r="W271" s="41" t="n">
        <v>88</v>
      </c>
      <c r="X271" s="49" t="n">
        <f aca="false">+IF(ISNUMBER($S271),$S271,MIN($V271,$T271,$U271,$W271))</f>
        <v>74.4</v>
      </c>
      <c r="Y271" s="48" t="n">
        <v>0.0545</v>
      </c>
      <c r="Z271" s="89" t="n">
        <v>35000000</v>
      </c>
      <c r="AA271" s="87" t="n">
        <v>1</v>
      </c>
      <c r="AB271" s="48" t="n">
        <f aca="false">Z271/AA271</f>
        <v>35000000</v>
      </c>
      <c r="AC271" s="48"/>
      <c r="AD271" s="51" t="n">
        <f aca="false">IF(AB271&gt;0, Y271/AB271*1000000000000, 0)</f>
        <v>1557.14285714286</v>
      </c>
      <c r="AE271" s="49" t="n">
        <f aca="false">IF(ISNUMBER($Q271), $AD271*1000/2^(($Q271-1.76)/6.02), "")</f>
        <v>338.815700687492</v>
      </c>
      <c r="AF271" s="49" t="n">
        <f aca="false">$AD271*1000/2^(($X271-1.76)/6.02)</f>
        <v>363.050063363613</v>
      </c>
      <c r="AG271" s="31" t="n">
        <f aca="false">IF(ISNUMBER($Q271), $Q271+10*LOG10($AB271/2/$Y271), "")</f>
        <v>160.066415464097</v>
      </c>
      <c r="AH271" s="31" t="n">
        <f aca="false">IF($Y271&gt;0, $X271+10*LOG10($AB271/2/$Y271), 0)</f>
        <v>159.466415464097</v>
      </c>
      <c r="AI271" s="26" t="n">
        <f aca="false">AF271/AB271</f>
        <v>1.03728589532461E-005</v>
      </c>
      <c r="AJ271" s="53" t="n">
        <f aca="false">AH271+10*LOG10(AB271)</f>
        <v>234.907095907599</v>
      </c>
    </row>
    <row r="272" customFormat="false" ht="12.75" hidden="false" customHeight="false" outlineLevel="0" collapsed="false">
      <c r="A272" s="50" t="n">
        <v>2015</v>
      </c>
      <c r="B272" s="43" t="n">
        <v>15.8</v>
      </c>
      <c r="C272" s="42" t="s">
        <v>111</v>
      </c>
      <c r="D272" s="34" t="s">
        <v>133</v>
      </c>
      <c r="E272" s="43" t="n">
        <v>0.18</v>
      </c>
      <c r="F272" s="17" t="s">
        <v>1303</v>
      </c>
      <c r="G272" s="17" t="s">
        <v>1304</v>
      </c>
      <c r="H272" s="17" t="s">
        <v>1305</v>
      </c>
      <c r="I272" s="76" t="s">
        <v>1306</v>
      </c>
      <c r="J272" s="46" t="str">
        <f aca="false">IF(I272&lt;&gt;"?", HYPERLINK(CONCATENATE("https://doi.org/",I272)), "")</f>
        <v>https://doi.org/10.1109/ISSCC.2015.7063038</v>
      </c>
      <c r="K272" s="29" t="s">
        <v>117</v>
      </c>
      <c r="L272" s="30"/>
      <c r="M272" s="30"/>
      <c r="N272" s="30"/>
      <c r="O272" s="34" t="n">
        <v>1.25</v>
      </c>
      <c r="P272" s="45" t="n">
        <v>2.5</v>
      </c>
      <c r="Q272" s="54"/>
      <c r="R272" s="48" t="n">
        <v>250000000</v>
      </c>
      <c r="S272" s="41"/>
      <c r="T272" s="41" t="n">
        <v>64</v>
      </c>
      <c r="U272" s="41"/>
      <c r="V272" s="41"/>
      <c r="W272" s="41" t="n">
        <v>82</v>
      </c>
      <c r="X272" s="49" t="n">
        <f aca="false">+IF(ISNUMBER($S272),$S272,MIN($V272,$T272,$U272,$W272))</f>
        <v>64</v>
      </c>
      <c r="Y272" s="48" t="n">
        <v>0.55</v>
      </c>
      <c r="Z272" s="89" t="n">
        <v>500000000</v>
      </c>
      <c r="AA272" s="87" t="n">
        <v>1</v>
      </c>
      <c r="AB272" s="48" t="n">
        <f aca="false">Z272/AA272</f>
        <v>500000000</v>
      </c>
      <c r="AC272" s="48"/>
      <c r="AD272" s="51" t="n">
        <f aca="false">IF(AB272&gt;0, Y272/AB272*1000000000000, 0)</f>
        <v>1100</v>
      </c>
      <c r="AE272" s="49" t="str">
        <f aca="false">IF(ISNUMBER($Q272), $AD272*1000/2^(($Q272-1.76)/6.02), "")</f>
        <v/>
      </c>
      <c r="AF272" s="49" t="n">
        <f aca="false">$AD272*1000/2^(($X272-1.76)/6.02)</f>
        <v>849.341928377871</v>
      </c>
      <c r="AG272" s="31" t="str">
        <f aca="false">IF(ISNUMBER($Q272), $Q272+10*LOG10($AB272/2/$Y272), "")</f>
        <v/>
      </c>
      <c r="AH272" s="31" t="n">
        <f aca="false">IF($Y272&gt;0, $X272+10*LOG10($AB272/2/$Y272), 0)</f>
        <v>150.575773191778</v>
      </c>
      <c r="AI272" s="26" t="n">
        <f aca="false">AF272/AB272</f>
        <v>1.69868385675574E-006</v>
      </c>
      <c r="AJ272" s="53" t="n">
        <f aca="false">AH272+10*LOG10(AB272)</f>
        <v>237.565473235138</v>
      </c>
    </row>
    <row r="273" customFormat="false" ht="12.75" hidden="false" customHeight="false" outlineLevel="0" collapsed="false">
      <c r="A273" s="50" t="n">
        <v>2015</v>
      </c>
      <c r="B273" s="43" t="n">
        <v>21.2</v>
      </c>
      <c r="C273" s="43" t="s">
        <v>111</v>
      </c>
      <c r="D273" s="43" t="s">
        <v>112</v>
      </c>
      <c r="E273" s="43" t="n">
        <v>0.065</v>
      </c>
      <c r="F273" s="45" t="s">
        <v>1307</v>
      </c>
      <c r="G273" s="17" t="s">
        <v>1308</v>
      </c>
      <c r="H273" s="45" t="s">
        <v>1309</v>
      </c>
      <c r="I273" s="44" t="s">
        <v>1310</v>
      </c>
      <c r="J273" s="46" t="str">
        <f aca="false">IF(I273&lt;&gt;"?", HYPERLINK(CONCATENATE("https://doi.org/",I273)), "")</f>
        <v>https://doi.org/10.1109/ISSCC.2015.7063086</v>
      </c>
      <c r="K273" s="45" t="s">
        <v>117</v>
      </c>
      <c r="L273" s="41" t="n">
        <v>0.6</v>
      </c>
      <c r="M273" s="41"/>
      <c r="N273" s="41"/>
      <c r="O273" s="45"/>
      <c r="P273" s="43" t="n">
        <v>0</v>
      </c>
      <c r="Q273" s="43"/>
      <c r="R273" s="48" t="n">
        <v>50000</v>
      </c>
      <c r="S273" s="41" t="n">
        <v>57.3</v>
      </c>
      <c r="T273" s="43"/>
      <c r="U273" s="45"/>
      <c r="V273" s="43"/>
      <c r="W273" s="45"/>
      <c r="X273" s="49" t="n">
        <f aca="false">+IF(ISNUMBER($S273),$S273,MIN($V273,$T273,$U273,$W273))</f>
        <v>57.3</v>
      </c>
      <c r="Y273" s="48" t="n">
        <v>8.8E-008</v>
      </c>
      <c r="Z273" s="71" t="n">
        <v>100000</v>
      </c>
      <c r="AA273" s="87" t="n">
        <v>1</v>
      </c>
      <c r="AB273" s="48" t="n">
        <f aca="false">Z273/AA273</f>
        <v>100000</v>
      </c>
      <c r="AC273" s="48"/>
      <c r="AD273" s="51" t="n">
        <f aca="false">IF(AB273&gt;0, Y273/AB273*1000000000000, 0)</f>
        <v>0.88</v>
      </c>
      <c r="AE273" s="49" t="str">
        <f aca="false">IF(ISNUMBER($Q273), $AD273*1000/2^(($Q273-1.76)/6.02), "")</f>
        <v/>
      </c>
      <c r="AF273" s="49" t="n">
        <f aca="false">$AD273*1000/2^(($X273-1.76)/6.02)</f>
        <v>1.46962298161667</v>
      </c>
      <c r="AG273" s="31" t="str">
        <f aca="false">IF(ISNUMBER($Q273), $Q273+10*LOG10($AB273/2/$Y273), "")</f>
        <v/>
      </c>
      <c r="AH273" s="31" t="n">
        <f aca="false">IF($Y273&gt;0, $X273+10*LOG10($AB273/2/$Y273), 0)</f>
        <v>174.844873321858</v>
      </c>
      <c r="AI273" s="26" t="n">
        <f aca="false">AF273/AB273</f>
        <v>1.46962298161667E-005</v>
      </c>
      <c r="AJ273" s="53" t="n">
        <f aca="false">AH273+10*LOG10(AB273)</f>
        <v>224.844873321858</v>
      </c>
    </row>
    <row r="274" customFormat="false" ht="12.75" hidden="false" customHeight="false" outlineLevel="0" collapsed="false">
      <c r="A274" s="50" t="n">
        <v>2015</v>
      </c>
      <c r="B274" s="43" t="n">
        <v>26.1</v>
      </c>
      <c r="C274" s="42" t="s">
        <v>111</v>
      </c>
      <c r="D274" s="34" t="s">
        <v>994</v>
      </c>
      <c r="E274" s="43" t="n">
        <v>0.065</v>
      </c>
      <c r="F274" s="17" t="s">
        <v>1311</v>
      </c>
      <c r="G274" s="17" t="s">
        <v>1312</v>
      </c>
      <c r="H274" s="17" t="s">
        <v>1223</v>
      </c>
      <c r="I274" s="76" t="s">
        <v>1313</v>
      </c>
      <c r="J274" s="46" t="str">
        <f aca="false">IF(I274&lt;&gt;"?", HYPERLINK(CONCATENATE("https://doi.org/",I274)), "")</f>
        <v>https://doi.org/10.1109/ISSCC.2015.7063124</v>
      </c>
      <c r="K274" s="29" t="s">
        <v>117</v>
      </c>
      <c r="L274" s="30"/>
      <c r="M274" s="30"/>
      <c r="N274" s="30"/>
      <c r="O274" s="34" t="n">
        <v>2</v>
      </c>
      <c r="P274" s="45" t="n">
        <v>0.05</v>
      </c>
      <c r="Q274" s="54" t="n">
        <v>71.5</v>
      </c>
      <c r="R274" s="48" t="n">
        <v>25000000</v>
      </c>
      <c r="S274" s="41" t="n">
        <v>70.9</v>
      </c>
      <c r="T274" s="41"/>
      <c r="U274" s="41"/>
      <c r="V274" s="41"/>
      <c r="W274" s="41" t="n">
        <v>84.6</v>
      </c>
      <c r="X274" s="49" t="n">
        <f aca="false">+IF(ISNUMBER($S274),$S274,MIN($V274,$T274,$U274,$W274))</f>
        <v>70.9</v>
      </c>
      <c r="Y274" s="48" t="n">
        <v>0.001</v>
      </c>
      <c r="Z274" s="89" t="n">
        <v>50000000</v>
      </c>
      <c r="AA274" s="87" t="n">
        <v>1</v>
      </c>
      <c r="AB274" s="48" t="n">
        <f aca="false">Z274/AA274</f>
        <v>50000000</v>
      </c>
      <c r="AC274" s="48"/>
      <c r="AD274" s="51" t="n">
        <f aca="false">IF(AB274&gt;0, Y274/AB274*1000000000000, 0)</f>
        <v>20</v>
      </c>
      <c r="AE274" s="49" t="n">
        <f aca="false">IF(ISNUMBER($Q274), $AD274*1000/2^(($Q274-1.76)/6.02), "")</f>
        <v>6.51152188232696</v>
      </c>
      <c r="AF274" s="49" t="n">
        <f aca="false">$AD274*1000/2^(($X274-1.76)/6.02)</f>
        <v>6.97726943342808</v>
      </c>
      <c r="AG274" s="31" t="n">
        <f aca="false">IF(ISNUMBER($Q274), $Q274+10*LOG10($AB274/2/$Y274), "")</f>
        <v>175.47940008672</v>
      </c>
      <c r="AH274" s="31" t="n">
        <f aca="false">IF($Y274&gt;0, $X274+10*LOG10($AB274/2/$Y274), 0)</f>
        <v>174.87940008672</v>
      </c>
      <c r="AI274" s="26" t="n">
        <f aca="false">AF274/AB274</f>
        <v>1.39545388668562E-007</v>
      </c>
      <c r="AJ274" s="53" t="n">
        <f aca="false">AH274+10*LOG10(AB274)</f>
        <v>251.869100130081</v>
      </c>
    </row>
    <row r="275" customFormat="false" ht="12.75" hidden="false" customHeight="false" outlineLevel="0" collapsed="false">
      <c r="A275" s="50" t="n">
        <v>2015</v>
      </c>
      <c r="B275" s="43" t="n">
        <v>26.2</v>
      </c>
      <c r="C275" s="42" t="s">
        <v>111</v>
      </c>
      <c r="D275" s="34" t="s">
        <v>112</v>
      </c>
      <c r="E275" s="43" t="n">
        <v>0.04</v>
      </c>
      <c r="F275" s="17" t="s">
        <v>1314</v>
      </c>
      <c r="G275" s="17" t="s">
        <v>1315</v>
      </c>
      <c r="H275" s="17" t="s">
        <v>1316</v>
      </c>
      <c r="I275" s="76" t="s">
        <v>1317</v>
      </c>
      <c r="J275" s="46" t="str">
        <f aca="false">IF(I275&lt;&gt;"?", HYPERLINK(CONCATENATE("https://doi.org/",I275)), "")</f>
        <v>https://doi.org/10.1109/ISSCC.2015.7063125</v>
      </c>
      <c r="K275" s="17" t="s">
        <v>1318</v>
      </c>
      <c r="L275" s="54" t="n">
        <v>1</v>
      </c>
      <c r="M275" s="54"/>
      <c r="N275" s="54"/>
      <c r="O275" s="34" t="n">
        <v>1.3</v>
      </c>
      <c r="P275" s="45" t="n">
        <v>0.0675</v>
      </c>
      <c r="Q275" s="54"/>
      <c r="R275" s="48" t="n">
        <v>3200000</v>
      </c>
      <c r="S275" s="41" t="n">
        <v>64.1</v>
      </c>
      <c r="T275" s="41"/>
      <c r="U275" s="41"/>
      <c r="V275" s="41"/>
      <c r="W275" s="41"/>
      <c r="X275" s="49" t="n">
        <f aca="false">+IF(ISNUMBER($S275),$S275,MIN($V275,$T275,$U275,$W275))</f>
        <v>64.1</v>
      </c>
      <c r="Y275" s="48" t="n">
        <v>4.6E-005</v>
      </c>
      <c r="Z275" s="89" t="n">
        <v>6400000</v>
      </c>
      <c r="AA275" s="87" t="n">
        <v>1</v>
      </c>
      <c r="AB275" s="48" t="n">
        <f aca="false">Z275/AA275</f>
        <v>6400000</v>
      </c>
      <c r="AC275" s="48"/>
      <c r="AD275" s="51" t="n">
        <f aca="false">IF(AB275&gt;0, Y275/AB275*1000000000000, 0)</f>
        <v>7.1875</v>
      </c>
      <c r="AE275" s="49" t="str">
        <f aca="false">IF(ISNUMBER($Q275), $AD275*1000/2^(($Q275-1.76)/6.02), "")</f>
        <v/>
      </c>
      <c r="AF275" s="49" t="n">
        <f aca="false">$AD275*1000/2^(($X275-1.76)/6.02)</f>
        <v>5.48614444708416</v>
      </c>
      <c r="AG275" s="31" t="str">
        <f aca="false">IF(ISNUMBER($Q275), $Q275+10*LOG10($AB275/2/$Y275), "")</f>
        <v/>
      </c>
      <c r="AH275" s="31" t="n">
        <f aca="false">IF($Y275&gt;0, $X275+10*LOG10($AB275/2/$Y275), 0)</f>
        <v>172.523921466383</v>
      </c>
      <c r="AI275" s="26" t="n">
        <f aca="false">AF275/AB275</f>
        <v>8.572100698569E-007</v>
      </c>
      <c r="AJ275" s="53" t="n">
        <f aca="false">AH275+10*LOG10(AB275)</f>
        <v>240.585721206222</v>
      </c>
    </row>
    <row r="276" customFormat="false" ht="12.75" hidden="false" customHeight="false" outlineLevel="0" collapsed="false">
      <c r="A276" s="50" t="n">
        <v>2015</v>
      </c>
      <c r="B276" s="43" t="n">
        <v>26.3</v>
      </c>
      <c r="C276" s="42" t="s">
        <v>111</v>
      </c>
      <c r="D276" s="34" t="s">
        <v>191</v>
      </c>
      <c r="E276" s="43" t="n">
        <v>0.028</v>
      </c>
      <c r="F276" s="17" t="s">
        <v>1319</v>
      </c>
      <c r="G276" s="17" t="s">
        <v>1320</v>
      </c>
      <c r="H276" s="17" t="s">
        <v>1321</v>
      </c>
      <c r="I276" s="76" t="s">
        <v>1322</v>
      </c>
      <c r="J276" s="46" t="str">
        <f aca="false">IF(I276&lt;&gt;"?", HYPERLINK(CONCATENATE("https://doi.org/",I276)), "")</f>
        <v>https://doi.org/10.1109/ISSCC.2015.7063126</v>
      </c>
      <c r="K276" s="17" t="s">
        <v>1323</v>
      </c>
      <c r="L276" s="54"/>
      <c r="M276" s="54"/>
      <c r="N276" s="54"/>
      <c r="O276" s="34" t="n">
        <v>1</v>
      </c>
      <c r="P276" s="45" t="n">
        <v>0.23</v>
      </c>
      <c r="Q276" s="54"/>
      <c r="R276" s="48" t="n">
        <v>400000000</v>
      </c>
      <c r="S276" s="41" t="n">
        <f aca="false">9.2*6.02+1.76</f>
        <v>57.144</v>
      </c>
      <c r="T276" s="41"/>
      <c r="U276" s="41"/>
      <c r="V276" s="41"/>
      <c r="W276" s="41"/>
      <c r="X276" s="49" t="n">
        <f aca="false">+IF(ISNUMBER($S276),$S276,MIN($V276,$T276,$U276,$W276))</f>
        <v>57.144</v>
      </c>
      <c r="Y276" s="48" t="n">
        <v>0.0764</v>
      </c>
      <c r="Z276" s="89" t="n">
        <v>800000000</v>
      </c>
      <c r="AA276" s="87" t="n">
        <v>1</v>
      </c>
      <c r="AB276" s="48" t="n">
        <f aca="false">Z276/AA276</f>
        <v>800000000</v>
      </c>
      <c r="AC276" s="48"/>
      <c r="AD276" s="51" t="n">
        <f aca="false">IF(AB276&gt;0, Y276/AB276*1000000000000, 0)</f>
        <v>95.5</v>
      </c>
      <c r="AE276" s="49" t="str">
        <f aca="false">IF(ISNUMBER($Q276), $AD276*1000/2^(($Q276-1.76)/6.02), "")</f>
        <v/>
      </c>
      <c r="AF276" s="49" t="n">
        <f aca="false">$AD276*1000/2^(($X276-1.76)/6.02)</f>
        <v>162.378083583554</v>
      </c>
      <c r="AG276" s="31" t="str">
        <f aca="false">IF(ISNUMBER($Q276), $Q276+10*LOG10($AB276/2/$Y276), "")</f>
        <v/>
      </c>
      <c r="AH276" s="31" t="n">
        <f aca="false">IF($Y276&gt;0, $X276+10*LOG10($AB276/2/$Y276), 0)</f>
        <v>154.333666327523</v>
      </c>
      <c r="AI276" s="26" t="n">
        <f aca="false">AF276/AB276</f>
        <v>2.02972604479443E-007</v>
      </c>
      <c r="AJ276" s="53" t="n">
        <f aca="false">AH276+10*LOG10(AB276)</f>
        <v>243.364566197442</v>
      </c>
    </row>
    <row r="277" customFormat="false" ht="12.75" hidden="false" customHeight="false" outlineLevel="0" collapsed="false">
      <c r="A277" s="50" t="n">
        <v>2015</v>
      </c>
      <c r="B277" s="43" t="n">
        <v>26.4</v>
      </c>
      <c r="C277" s="42" t="s">
        <v>111</v>
      </c>
      <c r="D277" s="34" t="s">
        <v>548</v>
      </c>
      <c r="E277" s="43" t="n">
        <v>0.045</v>
      </c>
      <c r="F277" s="17" t="s">
        <v>1324</v>
      </c>
      <c r="G277" s="17" t="s">
        <v>1325</v>
      </c>
      <c r="H277" s="17" t="s">
        <v>1326</v>
      </c>
      <c r="I277" s="76" t="s">
        <v>1327</v>
      </c>
      <c r="J277" s="46" t="str">
        <f aca="false">IF(I277&lt;&gt;"?", HYPERLINK(CONCATENATE("https://doi.org/",I277)), "")</f>
        <v>https://doi.org/10.1109/ISSCC.2015.7063127</v>
      </c>
      <c r="K277" s="29" t="s">
        <v>117</v>
      </c>
      <c r="L277" s="30"/>
      <c r="M277" s="30"/>
      <c r="N277" s="30"/>
      <c r="O277" s="34" t="n">
        <v>0.08</v>
      </c>
      <c r="P277" s="45" t="n">
        <v>0.28</v>
      </c>
      <c r="Q277" s="54" t="n">
        <v>58.75</v>
      </c>
      <c r="R277" s="48" t="n">
        <v>790000000</v>
      </c>
      <c r="S277" s="41" t="n">
        <v>56.1</v>
      </c>
      <c r="T277" s="41"/>
      <c r="U277" s="41"/>
      <c r="V277" s="41"/>
      <c r="W277" s="41" t="n">
        <v>61.2</v>
      </c>
      <c r="X277" s="49" t="n">
        <f aca="false">+IF(ISNUMBER($S277),$S277,MIN($V277,$T277,$U277,$W277))</f>
        <v>56.1</v>
      </c>
      <c r="Y277" s="48" t="n">
        <v>0.0173</v>
      </c>
      <c r="Z277" s="89" t="n">
        <v>1600000000</v>
      </c>
      <c r="AA277" s="87" t="n">
        <v>1</v>
      </c>
      <c r="AB277" s="48" t="n">
        <f aca="false">Z277/AA277</f>
        <v>1600000000</v>
      </c>
      <c r="AC277" s="48"/>
      <c r="AD277" s="51" t="n">
        <f aca="false">IF(AB277&gt;0, Y277/AB277*1000000000000, 0)</f>
        <v>10.8125</v>
      </c>
      <c r="AE277" s="49" t="n">
        <f aca="false">IF(ISNUMBER($Q277), $AD277*1000/2^(($Q277-1.76)/6.02), "")</f>
        <v>15.2806616034208</v>
      </c>
      <c r="AF277" s="49" t="n">
        <f aca="false">$AD277*1000/2^(($X277-1.76)/6.02)</f>
        <v>20.7326760700643</v>
      </c>
      <c r="AG277" s="31" t="n">
        <f aca="false">IF(ISNUMBER($Q277), $Q277+10*LOG10($AB277/2/$Y277), "")</f>
        <v>165.400438838632</v>
      </c>
      <c r="AH277" s="31" t="n">
        <f aca="false">IF($Y277&gt;0, $X277+10*LOG10($AB277/2/$Y277), 0)</f>
        <v>162.750438838631</v>
      </c>
      <c r="AI277" s="26" t="n">
        <f aca="false">AF277/AB277</f>
        <v>1.29579225437902E-008</v>
      </c>
      <c r="AJ277" s="53" t="n">
        <f aca="false">AH277+10*LOG10(AB277)</f>
        <v>254.791638665191</v>
      </c>
    </row>
    <row r="278" customFormat="false" ht="12.75" hidden="false" customHeight="false" outlineLevel="0" collapsed="false">
      <c r="A278" s="50" t="n">
        <v>2015</v>
      </c>
      <c r="B278" s="43" t="n">
        <v>26.5</v>
      </c>
      <c r="C278" s="42" t="s">
        <v>111</v>
      </c>
      <c r="D278" s="34" t="s">
        <v>548</v>
      </c>
      <c r="E278" s="43" t="n">
        <v>0.065</v>
      </c>
      <c r="F278" s="17" t="s">
        <v>1328</v>
      </c>
      <c r="G278" s="17" t="s">
        <v>1329</v>
      </c>
      <c r="H278" s="17" t="s">
        <v>1330</v>
      </c>
      <c r="I278" s="76" t="s">
        <v>1331</v>
      </c>
      <c r="J278" s="46" t="str">
        <f aca="false">IF(I278&lt;&gt;"?", HYPERLINK(CONCATENATE("https://doi.org/",I278)), "")</f>
        <v>https://doi.org/10.1109/ISSCC.2015.7063128</v>
      </c>
      <c r="K278" s="29" t="s">
        <v>117</v>
      </c>
      <c r="L278" s="30" t="n">
        <v>1</v>
      </c>
      <c r="M278" s="30"/>
      <c r="N278" s="30"/>
      <c r="O278" s="34" t="n">
        <v>0.031</v>
      </c>
      <c r="P278" s="45" t="n">
        <v>0.09</v>
      </c>
      <c r="Q278" s="54"/>
      <c r="R278" s="48" t="n">
        <v>2500000000</v>
      </c>
      <c r="S278" s="41" t="n">
        <v>30.76</v>
      </c>
      <c r="T278" s="41"/>
      <c r="U278" s="41"/>
      <c r="V278" s="41"/>
      <c r="W278" s="41" t="n">
        <v>43</v>
      </c>
      <c r="X278" s="49" t="n">
        <f aca="false">+IF(ISNUMBER($S278),$S278,MIN($V278,$T278,$U278,$W278))</f>
        <v>30.76</v>
      </c>
      <c r="Y278" s="48" t="n">
        <v>0.0055</v>
      </c>
      <c r="Z278" s="89" t="n">
        <v>5000000000</v>
      </c>
      <c r="AA278" s="87" t="n">
        <v>1</v>
      </c>
      <c r="AB278" s="48" t="n">
        <f aca="false">Z278/AA278</f>
        <v>5000000000</v>
      </c>
      <c r="AC278" s="48"/>
      <c r="AD278" s="51" t="n">
        <f aca="false">IF(AB278&gt;0, Y278/AB278*1000000000000, 0)</f>
        <v>1.1</v>
      </c>
      <c r="AE278" s="49" t="str">
        <f aca="false">IF(ISNUMBER($Q278), $AD278*1000/2^(($Q278-1.76)/6.02), "")</f>
        <v/>
      </c>
      <c r="AF278" s="49" t="n">
        <f aca="false">$AD278*1000/2^(($X278-1.76)/6.02)</f>
        <v>39.0164891862024</v>
      </c>
      <c r="AG278" s="31" t="str">
        <f aca="false">IF(ISNUMBER($Q278), $Q278+10*LOG10($AB278/2/$Y278), "")</f>
        <v/>
      </c>
      <c r="AH278" s="31" t="n">
        <f aca="false">IF($Y278&gt;0, $X278+10*LOG10($AB278/2/$Y278), 0)</f>
        <v>147.335773191778</v>
      </c>
      <c r="AI278" s="26" t="n">
        <f aca="false">AF278/AB278</f>
        <v>7.80329783724048E-009</v>
      </c>
      <c r="AJ278" s="53" t="n">
        <f aca="false">AH278+10*LOG10(AB278)</f>
        <v>244.325473235138</v>
      </c>
    </row>
    <row r="279" customFormat="false" ht="12.75" hidden="false" customHeight="false" outlineLevel="0" collapsed="false">
      <c r="A279" s="50" t="n">
        <v>2015</v>
      </c>
      <c r="B279" s="43" t="n">
        <v>26.7</v>
      </c>
      <c r="C279" s="42" t="s">
        <v>111</v>
      </c>
      <c r="D279" s="34" t="s">
        <v>1215</v>
      </c>
      <c r="E279" s="43" t="n">
        <v>0.028</v>
      </c>
      <c r="F279" s="17" t="s">
        <v>1332</v>
      </c>
      <c r="G279" s="17" t="s">
        <v>1333</v>
      </c>
      <c r="H279" s="17" t="s">
        <v>1334</v>
      </c>
      <c r="I279" s="76" t="s">
        <v>1335</v>
      </c>
      <c r="J279" s="46" t="str">
        <f aca="false">IF(I279&lt;&gt;"?", HYPERLINK(CONCATENATE("https://doi.org/",I279)), "")</f>
        <v>https://doi.org/10.1109/ISSCC.2015.7063129</v>
      </c>
      <c r="K279" s="17" t="s">
        <v>1336</v>
      </c>
      <c r="L279" s="54"/>
      <c r="M279" s="54"/>
      <c r="N279" s="54"/>
      <c r="O279" s="34" t="n">
        <v>0.1</v>
      </c>
      <c r="P279" s="45" t="n">
        <v>0.45</v>
      </c>
      <c r="Q279" s="54"/>
      <c r="R279" s="48" t="n">
        <v>2350000000</v>
      </c>
      <c r="S279" s="41" t="n">
        <v>46.1</v>
      </c>
      <c r="T279" s="41" t="n">
        <v>46.8</v>
      </c>
      <c r="U279" s="41"/>
      <c r="V279" s="41" t="n">
        <v>54.7</v>
      </c>
      <c r="W279" s="41"/>
      <c r="X279" s="49" t="n">
        <f aca="false">+IF(ISNUMBER($S279),$S279,MIN($V279,$T279,$U279,$W279))</f>
        <v>46.1</v>
      </c>
      <c r="Y279" s="48" t="n">
        <v>0.15</v>
      </c>
      <c r="Z279" s="89" t="n">
        <v>5000000000</v>
      </c>
      <c r="AA279" s="87" t="n">
        <v>1</v>
      </c>
      <c r="AB279" s="48" t="n">
        <f aca="false">Z279/AA279</f>
        <v>5000000000</v>
      </c>
      <c r="AC279" s="48"/>
      <c r="AD279" s="51" t="n">
        <f aca="false">IF(AB279&gt;0, Y279/AB279*1000000000000, 0)</f>
        <v>30</v>
      </c>
      <c r="AE279" s="49" t="str">
        <f aca="false">IF(ISNUMBER($Q279), $AD279*1000/2^(($Q279-1.76)/6.02), "")</f>
        <v/>
      </c>
      <c r="AF279" s="49" t="n">
        <f aca="false">$AD279*1000/2^(($X279-1.76)/6.02)</f>
        <v>181.928325914564</v>
      </c>
      <c r="AG279" s="31" t="str">
        <f aca="false">IF(ISNUMBER($Q279), $Q279+10*LOG10($AB279/2/$Y279), "")</f>
        <v/>
      </c>
      <c r="AH279" s="31" t="n">
        <f aca="false">IF($Y279&gt;0, $X279+10*LOG10($AB279/2/$Y279), 0)</f>
        <v>148.318487496164</v>
      </c>
      <c r="AI279" s="26" t="n">
        <f aca="false">AF279/AB279</f>
        <v>3.63856651829128E-008</v>
      </c>
      <c r="AJ279" s="53" t="n">
        <f aca="false">AH279+10*LOG10(AB279)</f>
        <v>245.308187539524</v>
      </c>
    </row>
    <row r="280" customFormat="false" ht="12.75" hidden="false" customHeight="false" outlineLevel="0" collapsed="false">
      <c r="A280" s="50" t="n">
        <v>2015</v>
      </c>
      <c r="B280" s="43" t="n">
        <v>26.7</v>
      </c>
      <c r="C280" s="42" t="s">
        <v>111</v>
      </c>
      <c r="D280" s="34" t="s">
        <v>548</v>
      </c>
      <c r="E280" s="43" t="n">
        <v>0.045</v>
      </c>
      <c r="F280" s="17" t="s">
        <v>1337</v>
      </c>
      <c r="G280" s="17" t="s">
        <v>1338</v>
      </c>
      <c r="H280" s="17" t="s">
        <v>1339</v>
      </c>
      <c r="I280" s="76" t="s">
        <v>1340</v>
      </c>
      <c r="J280" s="46" t="str">
        <f aca="false">IF(I280&lt;&gt;"?", HYPERLINK(CONCATENATE("https://doi.org/",I280)), "")</f>
        <v>https://doi.org/10.1109/ISSCC.2015.7063130</v>
      </c>
      <c r="K280" s="29" t="s">
        <v>117</v>
      </c>
      <c r="L280" s="30" t="n">
        <v>1.2</v>
      </c>
      <c r="M280" s="30"/>
      <c r="N280" s="30"/>
      <c r="O280" s="34" t="n">
        <v>0.4</v>
      </c>
      <c r="P280" s="45" t="n">
        <v>0.057</v>
      </c>
      <c r="Q280" s="54" t="n">
        <v>55.3</v>
      </c>
      <c r="R280" s="48" t="n">
        <v>880000000</v>
      </c>
      <c r="S280" s="41" t="n">
        <v>51.2</v>
      </c>
      <c r="T280" s="41"/>
      <c r="U280" s="41"/>
      <c r="V280" s="41"/>
      <c r="W280" s="41" t="n">
        <v>62</v>
      </c>
      <c r="X280" s="49" t="n">
        <f aca="false">+IF(ISNUMBER($S280),$S280,MIN($V280,$T280,$U280,$W280))</f>
        <v>51.2</v>
      </c>
      <c r="Y280" s="48" t="n">
        <v>0.0154</v>
      </c>
      <c r="Z280" s="89" t="n">
        <v>1700000000</v>
      </c>
      <c r="AA280" s="87" t="n">
        <v>1</v>
      </c>
      <c r="AB280" s="48" t="n">
        <f aca="false">Z280/AA280</f>
        <v>1700000000</v>
      </c>
      <c r="AC280" s="48"/>
      <c r="AD280" s="51" t="n">
        <f aca="false">IF(AB280&gt;0, Y280/AB280*1000000000000, 0)</f>
        <v>9.05882352941176</v>
      </c>
      <c r="AE280" s="49" t="n">
        <f aca="false">IF(ISNUMBER($Q280), $AD280*1000/2^(($Q280-1.76)/6.02), "")</f>
        <v>19.046054704677</v>
      </c>
      <c r="AF280" s="49" t="n">
        <f aca="false">$AD280*1000/2^(($X280-1.76)/6.02)</f>
        <v>30.5369358206663</v>
      </c>
      <c r="AG280" s="31" t="n">
        <f aca="false">IF(ISNUMBER($Q280), $Q280+10*LOG10($AB280/2/$Y280), "")</f>
        <v>162.718982048778</v>
      </c>
      <c r="AH280" s="31" t="n">
        <f aca="false">IF($Y280&gt;0, $X280+10*LOG10($AB280/2/$Y280), 0)</f>
        <v>158.618982048778</v>
      </c>
      <c r="AI280" s="26" t="n">
        <f aca="false">AF280/AB280</f>
        <v>1.79629034239214E-008</v>
      </c>
      <c r="AJ280" s="53" t="n">
        <f aca="false">AH280+10*LOG10(AB280)</f>
        <v>250.923471262561</v>
      </c>
    </row>
    <row r="281" customFormat="false" ht="12.75" hidden="false" customHeight="false" outlineLevel="0" collapsed="false">
      <c r="A281" s="40" t="n">
        <v>2016</v>
      </c>
      <c r="B281" s="22" t="n">
        <v>3.2</v>
      </c>
      <c r="C281" s="34" t="s">
        <v>111</v>
      </c>
      <c r="D281" s="23" t="s">
        <v>548</v>
      </c>
      <c r="E281" s="43" t="n">
        <v>0.028</v>
      </c>
      <c r="F281" s="17" t="s">
        <v>1341</v>
      </c>
      <c r="G281" s="17" t="s">
        <v>1342</v>
      </c>
      <c r="H281" s="17" t="s">
        <v>1343</v>
      </c>
      <c r="I281" s="76" t="s">
        <v>1344</v>
      </c>
      <c r="J281" s="46" t="str">
        <f aca="false">IF(I281&lt;&gt;"?", HYPERLINK(CONCATENATE("https://doi.org/",I281)), "")</f>
        <v>https://doi.org/10.1109/ISSCC.2016.7417905</v>
      </c>
      <c r="K281" s="77" t="s">
        <v>1345</v>
      </c>
      <c r="L281" s="54"/>
      <c r="M281" s="54"/>
      <c r="N281" s="54"/>
      <c r="P281" s="90" t="n">
        <f aca="false">0.89*2/3</f>
        <v>0.593333333333333</v>
      </c>
      <c r="Q281" s="30" t="n">
        <f aca="false">7*6.02+1.76</f>
        <v>43.9</v>
      </c>
      <c r="R281" s="48" t="n">
        <v>8000000000</v>
      </c>
      <c r="S281" s="41" t="n">
        <f aca="false">5.85*6.02+1.76</f>
        <v>36.977</v>
      </c>
      <c r="T281" s="41"/>
      <c r="U281" s="41"/>
      <c r="V281" s="41"/>
      <c r="W281" s="41"/>
      <c r="X281" s="49" t="n">
        <f aca="false">+IF(ISNUMBER($S281),$S281,MIN($V281,$T281,$U281,$W281))</f>
        <v>36.977</v>
      </c>
      <c r="Y281" s="26" t="n">
        <v>0.32</v>
      </c>
      <c r="Z281" s="89" t="n">
        <v>16000000000</v>
      </c>
      <c r="AA281" s="87" t="n">
        <v>1</v>
      </c>
      <c r="AB281" s="26" t="n">
        <f aca="false">Z281/AA281</f>
        <v>16000000000</v>
      </c>
      <c r="AC281" s="26"/>
      <c r="AD281" s="51" t="n">
        <f aca="false">IF(AB281&gt;0, Y281/AB281*1000000000000, 0)</f>
        <v>20</v>
      </c>
      <c r="AE281" s="49" t="n">
        <f aca="false">IF(ISNUMBER($Q281), $AD281*1000/2^(($Q281-1.76)/6.02), "")</f>
        <v>156.25</v>
      </c>
      <c r="AF281" s="49" t="n">
        <f aca="false">$AD281*1000/2^(($X281-1.76)/6.02)</f>
        <v>346.740460021201</v>
      </c>
      <c r="AG281" s="31" t="n">
        <f aca="false">IF(ISNUMBER($Q281), $Q281+10*LOG10($AB281/2/$Y281), "")</f>
        <v>147.87940008672</v>
      </c>
      <c r="AH281" s="31" t="n">
        <f aca="false">IF($Y281&gt;0, $X281+10*LOG10($AB281/2/$Y281), 0)</f>
        <v>140.95640008672</v>
      </c>
      <c r="AI281" s="26" t="n">
        <f aca="false">AF281/AB281</f>
        <v>2.16712787513251E-008</v>
      </c>
      <c r="AJ281" s="53" t="n">
        <f aca="false">AH281+10*LOG10(AB281)</f>
        <v>242.99759991328</v>
      </c>
    </row>
    <row r="282" customFormat="false" ht="13.5" hidden="false" customHeight="true" outlineLevel="0" collapsed="false">
      <c r="A282" s="50" t="n">
        <v>2016</v>
      </c>
      <c r="B282" s="22" t="n">
        <v>15.1</v>
      </c>
      <c r="C282" s="34" t="s">
        <v>139</v>
      </c>
      <c r="D282" s="23" t="s">
        <v>173</v>
      </c>
      <c r="E282" s="43" t="n">
        <v>0.065</v>
      </c>
      <c r="F282" s="91" t="s">
        <v>1346</v>
      </c>
      <c r="G282" s="17" t="s">
        <v>1347</v>
      </c>
      <c r="H282" s="17" t="s">
        <v>1348</v>
      </c>
      <c r="I282" s="76" t="s">
        <v>1349</v>
      </c>
      <c r="J282" s="46" t="str">
        <f aca="false">IF(I282&lt;&gt;"?", HYPERLINK(CONCATENATE("https://doi.org/",I282)), "")</f>
        <v>https://doi.org/10.1109/ISSCC.2016.7418011</v>
      </c>
      <c r="K282" s="77" t="s">
        <v>117</v>
      </c>
      <c r="L282" s="54"/>
      <c r="M282" s="54"/>
      <c r="N282" s="54"/>
      <c r="P282" s="45" t="n">
        <v>0.16</v>
      </c>
      <c r="R282" s="48" t="n">
        <v>5000000</v>
      </c>
      <c r="S282" s="41" t="n">
        <v>75.3</v>
      </c>
      <c r="T282" s="41" t="n">
        <v>78.5</v>
      </c>
      <c r="U282" s="41" t="n">
        <v>82.5</v>
      </c>
      <c r="V282" s="41"/>
      <c r="W282" s="41"/>
      <c r="X282" s="49" t="n">
        <f aca="false">+IF(ISNUMBER($S282),$S282,MIN($V282,$T282,$U282,$W282))</f>
        <v>75.3</v>
      </c>
      <c r="Y282" s="26" t="n">
        <v>0.0247</v>
      </c>
      <c r="Z282" s="89" t="n">
        <v>900000000</v>
      </c>
      <c r="AA282" s="87" t="n">
        <v>10</v>
      </c>
      <c r="AB282" s="26" t="n">
        <v>90000000</v>
      </c>
      <c r="AC282" s="26"/>
      <c r="AD282" s="51" t="n">
        <f aca="false">IF(AB282&gt;0, Y282/AB282*1000000000000, 0)</f>
        <v>274.444444444444</v>
      </c>
      <c r="AE282" s="49" t="str">
        <f aca="false">IF(ISNUMBER($Q282), $AD282*1000/2^(($Q282-1.76)/6.02), "")</f>
        <v/>
      </c>
      <c r="AF282" s="49" t="n">
        <f aca="false">$AD282*1000/2^(($X282-1.76)/6.02)</f>
        <v>57.6883368392566</v>
      </c>
      <c r="AG282" s="31" t="str">
        <f aca="false">IF(ISNUMBER($Q282), $Q282+10*LOG10($AB282/2/$Y282), "")</f>
        <v/>
      </c>
      <c r="AH282" s="31" t="n">
        <f aca="false">IF($Y282&gt;0, $X282+10*LOG10($AB282/2/$Y282), 0)</f>
        <v>167.905155605157</v>
      </c>
      <c r="AI282" s="26" t="n">
        <f aca="false">AF282/AB282</f>
        <v>6.40981520436184E-007</v>
      </c>
      <c r="AJ282" s="53" t="n">
        <f aca="false">AH282+10*LOG10(AB282)</f>
        <v>247.44758069955</v>
      </c>
    </row>
    <row r="283" customFormat="false" ht="12.75" hidden="false" customHeight="false" outlineLevel="0" collapsed="false">
      <c r="A283" s="50" t="n">
        <v>2016</v>
      </c>
      <c r="B283" s="22" t="n">
        <v>15.2</v>
      </c>
      <c r="C283" s="34" t="s">
        <v>139</v>
      </c>
      <c r="D283" s="23" t="s">
        <v>173</v>
      </c>
      <c r="E283" s="43" t="n">
        <v>0.065</v>
      </c>
      <c r="F283" s="17" t="s">
        <v>1350</v>
      </c>
      <c r="G283" s="17" t="s">
        <v>1351</v>
      </c>
      <c r="H283" s="17" t="s">
        <v>1352</v>
      </c>
      <c r="I283" s="76" t="s">
        <v>1353</v>
      </c>
      <c r="J283" s="46" t="str">
        <f aca="false">IF(I283&lt;&gt;"?", HYPERLINK(CONCATENATE("https://doi.org/",I283)), "")</f>
        <v>https://doi.org/10.1109/ISSCC.2016.7418012</v>
      </c>
      <c r="K283" s="77" t="s">
        <v>117</v>
      </c>
      <c r="L283" s="54"/>
      <c r="M283" s="54"/>
      <c r="N283" s="54"/>
      <c r="P283" s="45" t="n">
        <v>0.25</v>
      </c>
      <c r="R283" s="48" t="n">
        <v>2500000</v>
      </c>
      <c r="S283" s="41" t="n">
        <v>77</v>
      </c>
      <c r="T283" s="41"/>
      <c r="U283" s="41" t="n">
        <v>77</v>
      </c>
      <c r="V283" s="41" t="n">
        <v>102</v>
      </c>
      <c r="W283" s="41" t="n">
        <v>110</v>
      </c>
      <c r="X283" s="49" t="n">
        <f aca="false">+IF(ISNUMBER($S283),$S283,MIN($V283,$T283,$U283,$W283))</f>
        <v>77</v>
      </c>
      <c r="Y283" s="26" t="n">
        <v>0.0414</v>
      </c>
      <c r="Z283" s="89" t="n">
        <v>2200000000</v>
      </c>
      <c r="AA283" s="87" t="n">
        <f aca="false">Z283/AB283</f>
        <v>44</v>
      </c>
      <c r="AB283" s="26" t="n">
        <v>50000000</v>
      </c>
      <c r="AC283" s="26"/>
      <c r="AD283" s="51" t="n">
        <f aca="false">IF(AB283&gt;0, Y283/AB283*1000000000000, 0)</f>
        <v>828</v>
      </c>
      <c r="AE283" s="49" t="str">
        <f aca="false">IF(ISNUMBER($Q283), $AD283*1000/2^(($Q283-1.76)/6.02), "")</f>
        <v/>
      </c>
      <c r="AF283" s="49" t="n">
        <f aca="false">$AD283*1000/2^(($X283-1.76)/6.02)</f>
        <v>143.105208517272</v>
      </c>
      <c r="AG283" s="31" t="str">
        <f aca="false">IF(ISNUMBER($Q283), $Q283+10*LOG10($AB283/2/$Y283), "")</f>
        <v/>
      </c>
      <c r="AH283" s="31" t="n">
        <f aca="false">IF($Y283&gt;0, $X283+10*LOG10($AB283/2/$Y283), 0)</f>
        <v>164.809396675511</v>
      </c>
      <c r="AI283" s="26" t="n">
        <f aca="false">AF283/AB283</f>
        <v>2.86210417034543E-006</v>
      </c>
      <c r="AJ283" s="53" t="n">
        <f aca="false">AH283+10*LOG10(AB283)</f>
        <v>241.799096718872</v>
      </c>
    </row>
    <row r="284" customFormat="false" ht="12.75" hidden="false" customHeight="false" outlineLevel="0" collapsed="false">
      <c r="A284" s="50" t="n">
        <v>2016</v>
      </c>
      <c r="B284" s="22" t="n">
        <v>15.3</v>
      </c>
      <c r="C284" s="34" t="s">
        <v>139</v>
      </c>
      <c r="D284" s="23" t="s">
        <v>173</v>
      </c>
      <c r="E284" s="43" t="n">
        <v>0.065</v>
      </c>
      <c r="F284" s="17" t="s">
        <v>1354</v>
      </c>
      <c r="G284" s="17" t="s">
        <v>1355</v>
      </c>
      <c r="H284" s="17" t="s">
        <v>1356</v>
      </c>
      <c r="I284" s="76" t="s">
        <v>1357</v>
      </c>
      <c r="J284" s="46" t="str">
        <f aca="false">IF(I284&lt;&gt;"?", HYPERLINK(CONCATENATE("https://doi.org/",I284)), "")</f>
        <v>https://doi.org/10.1109/ISSCC.2016.7418013</v>
      </c>
      <c r="K284" s="77" t="s">
        <v>117</v>
      </c>
      <c r="L284" s="54"/>
      <c r="M284" s="54"/>
      <c r="N284" s="54"/>
      <c r="P284" s="45" t="n">
        <v>0.027</v>
      </c>
      <c r="R284" s="48" t="n">
        <v>1000000</v>
      </c>
      <c r="S284" s="41" t="n">
        <v>72.2</v>
      </c>
      <c r="T284" s="41" t="n">
        <v>76</v>
      </c>
      <c r="U284" s="41" t="n">
        <v>77</v>
      </c>
      <c r="V284" s="41"/>
      <c r="W284" s="41"/>
      <c r="X284" s="49" t="n">
        <f aca="false">+IF(ISNUMBER($S284),$S284,MIN($V284,$T284,$U284,$W284))</f>
        <v>72.2</v>
      </c>
      <c r="Y284" s="26" t="n">
        <v>0.00157</v>
      </c>
      <c r="Z284" s="89" t="n">
        <v>1000000000</v>
      </c>
      <c r="AA284" s="87" t="n">
        <f aca="false">Z284/AB284</f>
        <v>50</v>
      </c>
      <c r="AB284" s="26" t="n">
        <v>20000000</v>
      </c>
      <c r="AC284" s="26"/>
      <c r="AD284" s="51" t="n">
        <f aca="false">IF(AB284&gt;0, Y284/AB284*1000000000000, 0)</f>
        <v>78.5</v>
      </c>
      <c r="AE284" s="49" t="str">
        <f aca="false">IF(ISNUMBER($Q284), $AD284*1000/2^(($Q284-1.76)/6.02), "")</f>
        <v/>
      </c>
      <c r="AF284" s="49" t="n">
        <f aca="false">$AD284*1000/2^(($X284-1.76)/6.02)</f>
        <v>23.5786359775749</v>
      </c>
      <c r="AG284" s="31" t="str">
        <f aca="false">IF(ISNUMBER($Q284), $Q284+10*LOG10($AB284/2/$Y284), "")</f>
        <v/>
      </c>
      <c r="AH284" s="31" t="n">
        <f aca="false">IF($Y284&gt;0, $X284+10*LOG10($AB284/2/$Y284), 0)</f>
        <v>170.241003475908</v>
      </c>
      <c r="AI284" s="26" t="n">
        <f aca="false">AF284/AB284</f>
        <v>1.17893179887874E-006</v>
      </c>
      <c r="AJ284" s="53" t="n">
        <f aca="false">AH284+10*LOG10(AB284)</f>
        <v>243.251303432547</v>
      </c>
    </row>
    <row r="285" customFormat="false" ht="12.75" hidden="false" customHeight="false" outlineLevel="0" collapsed="false">
      <c r="A285" s="50" t="n">
        <v>2016</v>
      </c>
      <c r="B285" s="22" t="n">
        <v>15.4</v>
      </c>
      <c r="C285" s="34" t="s">
        <v>139</v>
      </c>
      <c r="D285" s="23" t="s">
        <v>173</v>
      </c>
      <c r="E285" s="43" t="n">
        <v>0.18</v>
      </c>
      <c r="F285" s="17" t="s">
        <v>1358</v>
      </c>
      <c r="G285" s="17" t="s">
        <v>1359</v>
      </c>
      <c r="H285" s="17" t="s">
        <v>1360</v>
      </c>
      <c r="I285" s="76" t="s">
        <v>1361</v>
      </c>
      <c r="J285" s="46" t="str">
        <f aca="false">IF(I285&lt;&gt;"?", HYPERLINK(CONCATENATE("https://doi.org/",I285)), "")</f>
        <v>https://doi.org/10.1109/ISSCC.2016.7418014</v>
      </c>
      <c r="K285" s="77" t="s">
        <v>117</v>
      </c>
      <c r="L285" s="54"/>
      <c r="M285" s="54"/>
      <c r="N285" s="54"/>
      <c r="P285" s="29" t="n">
        <f aca="false">1.27*1.05</f>
        <v>1.3335</v>
      </c>
      <c r="R285" s="48" t="n">
        <v>6000</v>
      </c>
      <c r="S285" s="41" t="n">
        <v>98.5</v>
      </c>
      <c r="T285" s="41" t="n">
        <v>99.3</v>
      </c>
      <c r="U285" s="41" t="n">
        <v>103.6</v>
      </c>
      <c r="V285" s="41"/>
      <c r="W285" s="41" t="n">
        <v>107.6</v>
      </c>
      <c r="X285" s="49" t="n">
        <f aca="false">+IF(ISNUMBER($S285),$S285,MIN($V285,$T285,$U285,$W285))</f>
        <v>98.5</v>
      </c>
      <c r="Y285" s="26" t="n">
        <v>0.00028</v>
      </c>
      <c r="Z285" s="89" t="n">
        <f aca="false">AA285*AB285</f>
        <v>6144000</v>
      </c>
      <c r="AA285" s="87" t="n">
        <v>128</v>
      </c>
      <c r="AB285" s="26" t="n">
        <v>48000</v>
      </c>
      <c r="AC285" s="26"/>
      <c r="AD285" s="51" t="n">
        <f aca="false">IF(AB285&gt;0, Y285/AB285*1000000000000, 0)</f>
        <v>5833.33333333333</v>
      </c>
      <c r="AE285" s="49" t="str">
        <f aca="false">IF(ISNUMBER($Q285), $AD285*1000/2^(($Q285-1.76)/6.02), "")</f>
        <v/>
      </c>
      <c r="AF285" s="49" t="n">
        <f aca="false">$AD285*1000/2^(($X285-1.76)/6.02)</f>
        <v>84.8075995100281</v>
      </c>
      <c r="AG285" s="31" t="str">
        <f aca="false">IF(ISNUMBER($Q285), $Q285+10*LOG10($AB285/2/$Y285), "")</f>
        <v/>
      </c>
      <c r="AH285" s="31" t="n">
        <f aca="false">IF($Y285&gt;0, $X285+10*LOG10($AB285/2/$Y285), 0)</f>
        <v>177.830532103694</v>
      </c>
      <c r="AI285" s="26" t="n">
        <f aca="false">AF285/AB285</f>
        <v>0.00176682498979225</v>
      </c>
      <c r="AJ285" s="53" t="n">
        <f aca="false">AH285+10*LOG10(AB285)</f>
        <v>224.64294447745</v>
      </c>
    </row>
    <row r="286" customFormat="false" ht="12.75" hidden="false" customHeight="false" outlineLevel="0" collapsed="false">
      <c r="A286" s="50" t="n">
        <v>2016</v>
      </c>
      <c r="B286" s="22" t="n">
        <v>15.5</v>
      </c>
      <c r="C286" s="34" t="s">
        <v>139</v>
      </c>
      <c r="D286" s="23" t="s">
        <v>173</v>
      </c>
      <c r="E286" s="43" t="n">
        <v>0.028</v>
      </c>
      <c r="F286" s="17" t="s">
        <v>1362</v>
      </c>
      <c r="G286" s="17" t="s">
        <v>1363</v>
      </c>
      <c r="H286" s="17" t="s">
        <v>1364</v>
      </c>
      <c r="I286" s="76" t="s">
        <v>1365</v>
      </c>
      <c r="J286" s="46" t="str">
        <f aca="false">IF(I286&lt;&gt;"?", HYPERLINK(CONCATENATE("https://doi.org/",I286)), "")</f>
        <v>https://doi.org/10.1109/ISSCC.2016.7418015</v>
      </c>
      <c r="K286" s="77" t="s">
        <v>1366</v>
      </c>
      <c r="L286" s="54"/>
      <c r="M286" s="54"/>
      <c r="N286" s="54"/>
      <c r="P286" s="45" t="n">
        <v>1.4</v>
      </c>
      <c r="R286" s="48" t="n">
        <v>70000000</v>
      </c>
      <c r="S286" s="41" t="n">
        <v>64.8</v>
      </c>
      <c r="T286" s="41" t="n">
        <v>66.8</v>
      </c>
      <c r="U286" s="41" t="n">
        <v>73</v>
      </c>
      <c r="V286" s="41"/>
      <c r="W286" s="41"/>
      <c r="X286" s="49" t="n">
        <f aca="false">+IF(ISNUMBER($S286),$S286,MIN($V286,$T286,$U286,$W286))</f>
        <v>64.8</v>
      </c>
      <c r="Y286" s="26" t="n">
        <v>0.756</v>
      </c>
      <c r="Z286" s="89" t="n">
        <v>6000000000</v>
      </c>
      <c r="AA286" s="92" t="n">
        <f aca="false">Z286/AB286</f>
        <v>8.57142857142857</v>
      </c>
      <c r="AB286" s="26" t="n">
        <v>700000000</v>
      </c>
      <c r="AC286" s="26"/>
      <c r="AD286" s="51" t="n">
        <f aca="false">IF(AB286&gt;0, Y286/AB286*1000000000000, 0)</f>
        <v>1080</v>
      </c>
      <c r="AE286" s="49" t="str">
        <f aca="false">IF(ISNUMBER($Q286), $AD286*1000/2^(($Q286-1.76)/6.02), "")</f>
        <v/>
      </c>
      <c r="AF286" s="49" t="n">
        <f aca="false">$AD286*1000/2^(($X286-1.76)/6.02)</f>
        <v>760.518263798029</v>
      </c>
      <c r="AG286" s="31" t="str">
        <f aca="false">IF(ISNUMBER($Q286), $Q286+10*LOG10($AB286/2/$Y286), "")</f>
        <v/>
      </c>
      <c r="AH286" s="31" t="n">
        <f aca="false">IF($Y286&gt;0, $X286+10*LOG10($AB286/2/$Y286), 0)</f>
        <v>151.455462488491</v>
      </c>
      <c r="AI286" s="26" t="n">
        <f aca="false">AF286/AB286</f>
        <v>1.08645466256861E-006</v>
      </c>
      <c r="AJ286" s="53" t="n">
        <f aca="false">AH286+10*LOG10(AB286)</f>
        <v>239.906442888633</v>
      </c>
    </row>
    <row r="287" customFormat="false" ht="12.75" hidden="false" customHeight="false" outlineLevel="0" collapsed="false">
      <c r="A287" s="50" t="n">
        <v>2016</v>
      </c>
      <c r="B287" s="22" t="n">
        <v>15.6</v>
      </c>
      <c r="C287" s="34" t="s">
        <v>139</v>
      </c>
      <c r="D287" s="23" t="s">
        <v>173</v>
      </c>
      <c r="E287" s="43" t="n">
        <v>0.016</v>
      </c>
      <c r="F287" s="17" t="s">
        <v>1367</v>
      </c>
      <c r="G287" s="17" t="s">
        <v>1368</v>
      </c>
      <c r="H287" s="17" t="s">
        <v>1369</v>
      </c>
      <c r="I287" s="76" t="s">
        <v>1370</v>
      </c>
      <c r="J287" s="46" t="str">
        <f aca="false">IF(I287&lt;&gt;"?", HYPERLINK(CONCATENATE("https://doi.org/",I287)), "")</f>
        <v>https://doi.org/10.1109/ISSCC.2016.7418016</v>
      </c>
      <c r="K287" s="77" t="s">
        <v>117</v>
      </c>
      <c r="L287" s="54"/>
      <c r="M287" s="54"/>
      <c r="N287" s="54"/>
      <c r="P287" s="45" t="n">
        <v>0.155</v>
      </c>
      <c r="R287" s="48" t="n">
        <v>30000000</v>
      </c>
      <c r="S287" s="41" t="n">
        <v>65.33</v>
      </c>
      <c r="T287" s="41" t="n">
        <v>68.13</v>
      </c>
      <c r="U287" s="41" t="n">
        <v>72.1</v>
      </c>
      <c r="V287" s="41" t="n">
        <v>70.95</v>
      </c>
      <c r="W287" s="41"/>
      <c r="X287" s="49" t="n">
        <f aca="false">+IF(ISNUMBER($S287),$S287,MIN($V287,$T287,$U287,$W287))</f>
        <v>65.33</v>
      </c>
      <c r="Y287" s="26" t="n">
        <v>0.04</v>
      </c>
      <c r="Z287" s="89" t="n">
        <v>2880000000</v>
      </c>
      <c r="AA287" s="87" t="n">
        <v>9</v>
      </c>
      <c r="AB287" s="26" t="n">
        <v>320000000</v>
      </c>
      <c r="AC287" s="26"/>
      <c r="AD287" s="51" t="n">
        <f aca="false">IF(AB287&gt;0, Y287/AB287*1000000000000, 0)</f>
        <v>125</v>
      </c>
      <c r="AE287" s="49" t="str">
        <f aca="false">IF(ISNUMBER($Q287), $AD287*1000/2^(($Q287-1.76)/6.02), "")</f>
        <v/>
      </c>
      <c r="AF287" s="49" t="n">
        <f aca="false">$AD287*1000/2^(($X287-1.76)/6.02)</f>
        <v>82.8119983452632</v>
      </c>
      <c r="AG287" s="31" t="str">
        <f aca="false">IF(ISNUMBER($Q287), $Q287+10*LOG10($AB287/2/$Y287), "")</f>
        <v/>
      </c>
      <c r="AH287" s="31" t="n">
        <f aca="false">IF($Y287&gt;0, $X287+10*LOG10($AB287/2/$Y287), 0)</f>
        <v>161.35059991328</v>
      </c>
      <c r="AI287" s="26" t="n">
        <f aca="false">AF287/AB287</f>
        <v>2.58787494828948E-007</v>
      </c>
      <c r="AJ287" s="53" t="n">
        <f aca="false">AH287+10*LOG10(AB287)</f>
        <v>246.402099696479</v>
      </c>
    </row>
    <row r="288" customFormat="false" ht="12.75" hidden="false" customHeight="false" outlineLevel="0" collapsed="false">
      <c r="A288" s="50" t="n">
        <v>2016</v>
      </c>
      <c r="B288" s="22" t="n">
        <v>15.7</v>
      </c>
      <c r="C288" s="34" t="s">
        <v>139</v>
      </c>
      <c r="D288" s="23" t="s">
        <v>145</v>
      </c>
      <c r="E288" s="43" t="n">
        <v>0.16</v>
      </c>
      <c r="F288" s="29" t="s">
        <v>1371</v>
      </c>
      <c r="G288" s="17" t="s">
        <v>1372</v>
      </c>
      <c r="H288" s="17" t="s">
        <v>1373</v>
      </c>
      <c r="I288" s="76" t="s">
        <v>1374</v>
      </c>
      <c r="J288" s="46" t="str">
        <f aca="false">IF(I288&lt;&gt;"?", HYPERLINK(CONCATENATE("https://doi.org/",I288)), "")</f>
        <v>https://doi.org/10.1109/ISSCC.2016.7418017</v>
      </c>
      <c r="K288" s="77" t="s">
        <v>117</v>
      </c>
      <c r="L288" s="54"/>
      <c r="M288" s="54"/>
      <c r="N288" s="54"/>
      <c r="P288" s="45" t="n">
        <v>0.16</v>
      </c>
      <c r="R288" s="48" t="n">
        <v>1000</v>
      </c>
      <c r="S288" s="41" t="n">
        <v>98.3</v>
      </c>
      <c r="T288" s="41" t="n">
        <v>104.4</v>
      </c>
      <c r="U288" s="41" t="n">
        <v>107.5</v>
      </c>
      <c r="V288" s="41"/>
      <c r="W288" s="41"/>
      <c r="X288" s="49" t="n">
        <f aca="false">+IF(ISNUMBER($S288),$S288,MIN($V288,$T288,$U288,$W288))</f>
        <v>98.3</v>
      </c>
      <c r="Y288" s="26" t="n">
        <v>0.00165</v>
      </c>
      <c r="Z288" s="93" t="n">
        <v>11290000</v>
      </c>
      <c r="AA288" s="87" t="n">
        <f aca="false">Z288/AB288</f>
        <v>282.25</v>
      </c>
      <c r="AB288" s="26" t="n">
        <v>40000</v>
      </c>
      <c r="AC288" s="26"/>
      <c r="AD288" s="51" t="n">
        <f aca="false">IF(AB288&gt;0, Y288/AB288*1000000000000, 0)</f>
        <v>41250</v>
      </c>
      <c r="AE288" s="49" t="str">
        <f aca="false">IF(ISNUMBER($Q288), $AD288*1000/2^(($Q288-1.76)/6.02), "")</f>
        <v/>
      </c>
      <c r="AF288" s="49" t="n">
        <f aca="false">$AD288*1000/2^(($X288-1.76)/6.02)</f>
        <v>613.681351354238</v>
      </c>
      <c r="AG288" s="31" t="str">
        <f aca="false">IF(ISNUMBER($Q288), $Q288+10*LOG10($AB288/2/$Y288), "")</f>
        <v/>
      </c>
      <c r="AH288" s="31" t="n">
        <f aca="false">IF($Y288&gt;0, $X288+10*LOG10($AB288/2/$Y288), 0)</f>
        <v>169.135460514501</v>
      </c>
      <c r="AI288" s="26" t="n">
        <f aca="false">AF288/AB288</f>
        <v>0.0153420337838559</v>
      </c>
      <c r="AJ288" s="53" t="n">
        <f aca="false">AH288+10*LOG10(AB288)</f>
        <v>215.15606042778</v>
      </c>
    </row>
    <row r="289" customFormat="false" ht="12.75" hidden="false" customHeight="false" outlineLevel="0" collapsed="false">
      <c r="A289" s="50" t="n">
        <v>2016</v>
      </c>
      <c r="B289" s="22" t="n">
        <v>15.8</v>
      </c>
      <c r="C289" s="34" t="s">
        <v>139</v>
      </c>
      <c r="D289" s="23" t="s">
        <v>145</v>
      </c>
      <c r="E289" s="43" t="n">
        <v>0.35</v>
      </c>
      <c r="F289" s="17" t="s">
        <v>1375</v>
      </c>
      <c r="G289" s="17" t="s">
        <v>1376</v>
      </c>
      <c r="H289" s="17" t="s">
        <v>1377</v>
      </c>
      <c r="I289" s="76" t="s">
        <v>1378</v>
      </c>
      <c r="J289" s="46" t="str">
        <f aca="false">IF(I289&lt;&gt;"?", HYPERLINK(CONCATENATE("https://doi.org/",I289)), "")</f>
        <v>https://doi.org/10.1109/ISSCC.2016.7418018</v>
      </c>
      <c r="K289" s="77" t="s">
        <v>117</v>
      </c>
      <c r="L289" s="54"/>
      <c r="M289" s="54"/>
      <c r="N289" s="54"/>
      <c r="P289" s="29" t="n">
        <f aca="false">2.8*4.1</f>
        <v>11.48</v>
      </c>
      <c r="R289" s="48" t="n">
        <v>110</v>
      </c>
      <c r="S289" s="41"/>
      <c r="T289" s="41"/>
      <c r="U289" s="41" t="n">
        <v>136.3</v>
      </c>
      <c r="V289" s="41" t="n">
        <v>116</v>
      </c>
      <c r="W289" s="41"/>
      <c r="X289" s="49" t="n">
        <f aca="false">+IF(ISNUMBER($S289),$S289,MIN($V289,$T289,$U289,$W289))</f>
        <v>116</v>
      </c>
      <c r="Y289" s="26" t="n">
        <v>0.0127</v>
      </c>
      <c r="Z289" s="89" t="n">
        <v>640000</v>
      </c>
      <c r="AA289" s="87" t="n">
        <f aca="false">Z289/AB289</f>
        <v>320</v>
      </c>
      <c r="AB289" s="26" t="n">
        <v>2000</v>
      </c>
      <c r="AC289" s="26"/>
      <c r="AD289" s="51" t="n">
        <f aca="false">IF(AB289&gt;0, Y289/AB289*1000000000000, 0)</f>
        <v>6350000</v>
      </c>
      <c r="AE289" s="49" t="str">
        <f aca="false">IF(ISNUMBER($Q289), $AD289*1000/2^(($Q289-1.76)/6.02), "")</f>
        <v/>
      </c>
      <c r="AF289" s="49" t="n">
        <f aca="false">$AD289*1000/2^(($X289-1.76)/6.02)</f>
        <v>12308.4822940427</v>
      </c>
      <c r="AG289" s="31" t="str">
        <f aca="false">IF(ISNUMBER($Q289), $Q289+10*LOG10($AB289/2/$Y289), "")</f>
        <v/>
      </c>
      <c r="AH289" s="31" t="n">
        <f aca="false">IF($Y289&gt;0, $X289+10*LOG10($AB289/2/$Y289), 0)</f>
        <v>164.96196279044</v>
      </c>
      <c r="AI289" s="26" t="n">
        <f aca="false">AF289/AB289</f>
        <v>6.15424114702134</v>
      </c>
      <c r="AJ289" s="53" t="n">
        <f aca="false">AH289+10*LOG10(AB289)</f>
        <v>197.97226274708</v>
      </c>
    </row>
    <row r="290" customFormat="false" ht="12.75" hidden="false" customHeight="false" outlineLevel="0" collapsed="false">
      <c r="A290" s="50" t="n">
        <v>2016</v>
      </c>
      <c r="B290" s="22" t="n">
        <v>27.2</v>
      </c>
      <c r="C290" s="34" t="s">
        <v>139</v>
      </c>
      <c r="D290" s="23" t="s">
        <v>112</v>
      </c>
      <c r="E290" s="94" t="n">
        <v>0.055</v>
      </c>
      <c r="F290" s="77" t="s">
        <v>1379</v>
      </c>
      <c r="G290" s="77" t="s">
        <v>1380</v>
      </c>
      <c r="H290" s="17" t="s">
        <v>1381</v>
      </c>
      <c r="I290" s="76" t="s">
        <v>1382</v>
      </c>
      <c r="J290" s="46" t="str">
        <f aca="false">IF(I290&lt;&gt;"?", HYPERLINK(CONCATENATE("https://doi.org/",I290)), "")</f>
        <v>https://doi.org/10.1109/ISSCC.2016.7418105</v>
      </c>
      <c r="K290" s="77" t="s">
        <v>1383</v>
      </c>
      <c r="L290" s="54"/>
      <c r="M290" s="54"/>
      <c r="N290" s="54"/>
      <c r="P290" s="45" t="n">
        <v>0.072</v>
      </c>
      <c r="R290" s="48" t="n">
        <v>1000</v>
      </c>
      <c r="S290" s="41" t="n">
        <v>101</v>
      </c>
      <c r="T290" s="41" t="n">
        <v>104</v>
      </c>
      <c r="U290" s="41"/>
      <c r="V290" s="41"/>
      <c r="W290" s="41" t="n">
        <v>105.1</v>
      </c>
      <c r="X290" s="49" t="n">
        <f aca="false">+IF(ISNUMBER($S290),$S290,MIN($V290,$T290,$U290,$W290))</f>
        <v>101</v>
      </c>
      <c r="Y290" s="26" t="n">
        <v>1.57E-005</v>
      </c>
      <c r="Z290" s="89" t="n">
        <v>1000000</v>
      </c>
      <c r="AA290" s="87" t="n">
        <f aca="false">Z290/AB290</f>
        <v>500</v>
      </c>
      <c r="AB290" s="26" t="n">
        <v>2000</v>
      </c>
      <c r="AC290" s="26"/>
      <c r="AD290" s="51" t="n">
        <f aca="false">IF(AB290&gt;0, Y290/AB290*1000000000000, 0)</f>
        <v>7850</v>
      </c>
      <c r="AE290" s="49" t="str">
        <f aca="false">IF(ISNUMBER($Q290), $AD290*1000/2^(($Q290-1.76)/6.02), "")</f>
        <v/>
      </c>
      <c r="AF290" s="49" t="n">
        <f aca="false">$AD290*1000/2^(($X290-1.76)/6.02)</f>
        <v>85.5805703943913</v>
      </c>
      <c r="AG290" s="31" t="str">
        <f aca="false">IF(ISNUMBER($Q290), $Q290+10*LOG10($AB290/2/$Y290), "")</f>
        <v/>
      </c>
      <c r="AH290" s="31" t="n">
        <f aca="false">IF($Y290&gt;0, $X290+10*LOG10($AB290/2/$Y290), 0)</f>
        <v>179.041003475908</v>
      </c>
      <c r="AI290" s="26" t="n">
        <f aca="false">AF290/AB290</f>
        <v>0.0427902851971957</v>
      </c>
      <c r="AJ290" s="53" t="n">
        <f aca="false">AH290+10*LOG10(AB290)</f>
        <v>212.051303432547</v>
      </c>
    </row>
    <row r="291" customFormat="false" ht="12.75" hidden="false" customHeight="false" outlineLevel="0" collapsed="false">
      <c r="A291" s="50" t="n">
        <v>2016</v>
      </c>
      <c r="B291" s="22" t="n">
        <v>27.3</v>
      </c>
      <c r="C291" s="34" t="s">
        <v>111</v>
      </c>
      <c r="D291" s="23" t="s">
        <v>112</v>
      </c>
      <c r="E291" s="94" t="n">
        <v>0.04</v>
      </c>
      <c r="F291" s="17" t="s">
        <v>1384</v>
      </c>
      <c r="G291" s="17" t="s">
        <v>1385</v>
      </c>
      <c r="H291" s="17" t="s">
        <v>1386</v>
      </c>
      <c r="I291" s="76" t="s">
        <v>1387</v>
      </c>
      <c r="J291" s="46" t="str">
        <f aca="false">IF(I291&lt;&gt;"?", HYPERLINK(CONCATENATE("https://doi.org/",I291)), "")</f>
        <v>https://doi.org/10.1109/ISSCC.2016.7418106</v>
      </c>
      <c r="K291" s="77" t="s">
        <v>117</v>
      </c>
      <c r="L291" s="54" t="n">
        <v>1</v>
      </c>
      <c r="M291" s="54"/>
      <c r="N291" s="54"/>
      <c r="O291" s="22" t="n">
        <v>0.2</v>
      </c>
      <c r="P291" s="45" t="n">
        <v>0.00058</v>
      </c>
      <c r="R291" s="48" t="n">
        <v>500000000</v>
      </c>
      <c r="S291" s="41" t="n">
        <v>34.6</v>
      </c>
      <c r="T291" s="41"/>
      <c r="U291" s="41"/>
      <c r="V291" s="41"/>
      <c r="W291" s="41" t="n">
        <v>49.7</v>
      </c>
      <c r="X291" s="49" t="n">
        <f aca="false">+IF(ISNUMBER($S291),$S291,MIN($V291,$T291,$U291,$W291))</f>
        <v>34.6</v>
      </c>
      <c r="Y291" s="26" t="n">
        <v>0.00126</v>
      </c>
      <c r="Z291" s="89" t="n">
        <v>1000000000</v>
      </c>
      <c r="AA291" s="87" t="n">
        <v>1</v>
      </c>
      <c r="AB291" s="26" t="n">
        <f aca="false">Z291*AA291</f>
        <v>1000000000</v>
      </c>
      <c r="AC291" s="26"/>
      <c r="AD291" s="51" t="n">
        <f aca="false">IF(AB291&gt;0, Y291/AB291*1000000000000, 0)</f>
        <v>1.26</v>
      </c>
      <c r="AE291" s="49" t="str">
        <f aca="false">IF(ISNUMBER($Q291), $AD291*1000/2^(($Q291-1.76)/6.02), "")</f>
        <v/>
      </c>
      <c r="AF291" s="49" t="n">
        <f aca="false">$AD291*1000/2^(($X291-1.76)/6.02)</f>
        <v>28.7214865614343</v>
      </c>
      <c r="AG291" s="31" t="str">
        <f aca="false">IF(ISNUMBER($Q291), $Q291+10*LOG10($AB291/2/$Y291), "")</f>
        <v/>
      </c>
      <c r="AH291" s="31" t="n">
        <f aca="false">IF($Y291&gt;0, $X291+10*LOG10($AB291/2/$Y291), 0)</f>
        <v>150.585994592185</v>
      </c>
      <c r="AI291" s="26" t="n">
        <f aca="false">AF291/AB291</f>
        <v>2.87214865614343E-008</v>
      </c>
      <c r="AJ291" s="53" t="n">
        <f aca="false">AH291+10*LOG10(AB291)</f>
        <v>240.585994592185</v>
      </c>
    </row>
    <row r="292" customFormat="false" ht="12.75" hidden="false" customHeight="false" outlineLevel="0" collapsed="false">
      <c r="A292" s="50" t="n">
        <v>2016</v>
      </c>
      <c r="B292" s="22" t="n">
        <v>27.4</v>
      </c>
      <c r="C292" s="34" t="s">
        <v>111</v>
      </c>
      <c r="D292" s="23" t="s">
        <v>1388</v>
      </c>
      <c r="E292" s="94" t="n">
        <v>0.028</v>
      </c>
      <c r="F292" s="77" t="s">
        <v>1389</v>
      </c>
      <c r="G292" s="17" t="s">
        <v>1390</v>
      </c>
      <c r="H292" s="17" t="s">
        <v>1391</v>
      </c>
      <c r="I292" s="76" t="s">
        <v>1392</v>
      </c>
      <c r="J292" s="46" t="str">
        <f aca="false">IF(I292&lt;&gt;"?", HYPERLINK(CONCATENATE("https://doi.org/",I292)), "")</f>
        <v>https://doi.org/10.1109/ISSCC.2016.7418107</v>
      </c>
      <c r="K292" s="77" t="s">
        <v>117</v>
      </c>
      <c r="L292" s="54" t="n">
        <v>0.9</v>
      </c>
      <c r="M292" s="54"/>
      <c r="N292" s="54"/>
      <c r="O292" s="22" t="n">
        <v>0.9</v>
      </c>
      <c r="P292" s="45" t="n">
        <v>0.0047</v>
      </c>
      <c r="Q292" s="30" t="n">
        <v>65.67</v>
      </c>
      <c r="R292" s="48" t="n">
        <v>50000000</v>
      </c>
      <c r="S292" s="41" t="n">
        <v>64.43</v>
      </c>
      <c r="T292" s="41"/>
      <c r="U292" s="41"/>
      <c r="V292" s="41"/>
      <c r="W292" s="41" t="n">
        <v>75.42</v>
      </c>
      <c r="X292" s="49" t="n">
        <f aca="false">+IF(ISNUMBER($S292),$S292,MIN($V292,$T292,$U292,$W292))</f>
        <v>64.43</v>
      </c>
      <c r="Y292" s="26" t="n">
        <v>0.00035</v>
      </c>
      <c r="Z292" s="89" t="n">
        <v>100000000</v>
      </c>
      <c r="AA292" s="87" t="n">
        <v>1</v>
      </c>
      <c r="AB292" s="26" t="n">
        <f aca="false">Z292*AA292</f>
        <v>100000000</v>
      </c>
      <c r="AC292" s="26"/>
      <c r="AD292" s="51" t="n">
        <f aca="false">IF(AB292&gt;0, Y292/AB292*1000000000000, 0)</f>
        <v>3.5</v>
      </c>
      <c r="AE292" s="49" t="n">
        <f aca="false">IF(ISNUMBER($Q292), $AD292*1000/2^(($Q292-1.76)/6.02), "")</f>
        <v>2.22971626562374</v>
      </c>
      <c r="AF292" s="49" t="n">
        <f aca="false">$AD292*1000/2^(($X292-1.76)/6.02)</f>
        <v>2.5719100797279</v>
      </c>
      <c r="AG292" s="31" t="n">
        <f aca="false">IF(ISNUMBER($Q292), $Q292+10*LOG10($AB292/2/$Y292), "")</f>
        <v>177.219019599857</v>
      </c>
      <c r="AH292" s="31" t="n">
        <f aca="false">IF($Y292&gt;0, $X292+10*LOG10($AB292/2/$Y292), 0)</f>
        <v>175.979019599857</v>
      </c>
      <c r="AI292" s="26" t="n">
        <f aca="false">AF292/AB292</f>
        <v>2.5719100797279E-008</v>
      </c>
      <c r="AJ292" s="53" t="n">
        <f aca="false">AH292+10*LOG10(AB292)</f>
        <v>255.979019599857</v>
      </c>
    </row>
    <row r="293" customFormat="false" ht="12.75" hidden="false" customHeight="false" outlineLevel="0" collapsed="false">
      <c r="A293" s="50" t="n">
        <v>2016</v>
      </c>
      <c r="B293" s="22" t="n">
        <v>27.5</v>
      </c>
      <c r="C293" s="34" t="s">
        <v>111</v>
      </c>
      <c r="D293" s="23" t="s">
        <v>191</v>
      </c>
      <c r="E293" s="94" t="n">
        <v>0.065</v>
      </c>
      <c r="F293" s="77" t="s">
        <v>1393</v>
      </c>
      <c r="G293" s="17" t="s">
        <v>1394</v>
      </c>
      <c r="H293" s="17" t="s">
        <v>1395</v>
      </c>
      <c r="I293" s="76" t="s">
        <v>1396</v>
      </c>
      <c r="J293" s="46" t="str">
        <f aca="false">IF(I293&lt;&gt;"?", HYPERLINK(CONCATENATE("https://doi.org/",I293)), "")</f>
        <v>https://doi.org/10.1109/ISSCC.2016.7418108</v>
      </c>
      <c r="K293" s="77" t="s">
        <v>117</v>
      </c>
      <c r="L293" s="54"/>
      <c r="M293" s="54"/>
      <c r="N293" s="54"/>
      <c r="P293" s="45" t="n">
        <v>12</v>
      </c>
      <c r="R293" s="48" t="n">
        <v>182000000</v>
      </c>
      <c r="S293" s="41" t="n">
        <v>55.5</v>
      </c>
      <c r="T293" s="41" t="n">
        <v>56.1</v>
      </c>
      <c r="U293" s="41"/>
      <c r="V293" s="41" t="n">
        <v>57</v>
      </c>
      <c r="W293" s="41" t="n">
        <v>64</v>
      </c>
      <c r="X293" s="49" t="n">
        <f aca="false">+IF(ISNUMBER($S293),$S293,MIN($V293,$T293,$U293,$W293))</f>
        <v>55.5</v>
      </c>
      <c r="Y293" s="26" t="n">
        <v>2.2</v>
      </c>
      <c r="Z293" s="89" t="n">
        <v>4000000000</v>
      </c>
      <c r="AA293" s="87" t="n">
        <v>1</v>
      </c>
      <c r="AB293" s="26" t="n">
        <f aca="false">Z293*AA293</f>
        <v>4000000000</v>
      </c>
      <c r="AC293" s="26"/>
      <c r="AD293" s="51" t="n">
        <f aca="false">IF(AB293&gt;0, Y293/AB293*1000000000000, 0)</f>
        <v>550</v>
      </c>
      <c r="AE293" s="49" t="str">
        <f aca="false">IF(ISNUMBER($Q293), $AD293*1000/2^(($Q293-1.76)/6.02), "")</f>
        <v/>
      </c>
      <c r="AF293" s="49" t="n">
        <f aca="false">$AD293*1000/2^(($X293-1.76)/6.02)</f>
        <v>1130.04287373265</v>
      </c>
      <c r="AG293" s="31" t="str">
        <f aca="false">IF(ISNUMBER($Q293), $Q293+10*LOG10($AB293/2/$Y293), "")</f>
        <v/>
      </c>
      <c r="AH293" s="31" t="n">
        <f aca="false">IF($Y293&gt;0, $X293+10*LOG10($AB293/2/$Y293), 0)</f>
        <v>145.086073148418</v>
      </c>
      <c r="AI293" s="26" t="n">
        <f aca="false">AF293/AB293</f>
        <v>2.82510718433164E-007</v>
      </c>
      <c r="AJ293" s="53" t="n">
        <f aca="false">AH293+10*LOG10(AB293)</f>
        <v>241.106673061697</v>
      </c>
    </row>
    <row r="294" customFormat="false" ht="12.75" hidden="false" customHeight="false" outlineLevel="0" collapsed="false">
      <c r="A294" s="50" t="n">
        <v>2016</v>
      </c>
      <c r="B294" s="22" t="n">
        <v>27.6</v>
      </c>
      <c r="C294" s="34" t="s">
        <v>111</v>
      </c>
      <c r="D294" s="23" t="s">
        <v>191</v>
      </c>
      <c r="E294" s="94" t="n">
        <v>0.016</v>
      </c>
      <c r="F294" s="77" t="s">
        <v>1397</v>
      </c>
      <c r="G294" s="17" t="s">
        <v>1398</v>
      </c>
      <c r="H294" s="17" t="s">
        <v>1399</v>
      </c>
      <c r="I294" s="76" t="s">
        <v>1400</v>
      </c>
      <c r="J294" s="46" t="str">
        <f aca="false">IF(I294&lt;&gt;"?", HYPERLINK(CONCATENATE("https://doi.org/",I294)), "")</f>
        <v>https://doi.org/10.1109/ISSCC.2016.7418109</v>
      </c>
      <c r="K294" s="77" t="s">
        <v>117</v>
      </c>
      <c r="L294" s="54"/>
      <c r="M294" s="54"/>
      <c r="N294" s="54"/>
      <c r="P294" s="45" t="n">
        <v>0.24</v>
      </c>
      <c r="Q294" s="30" t="n">
        <v>60</v>
      </c>
      <c r="R294" s="48" t="n">
        <v>1900000000</v>
      </c>
      <c r="S294" s="41" t="n">
        <v>56</v>
      </c>
      <c r="T294" s="41"/>
      <c r="U294" s="41"/>
      <c r="V294" s="41"/>
      <c r="W294" s="41" t="n">
        <v>68</v>
      </c>
      <c r="X294" s="49" t="n">
        <f aca="false">+IF(ISNUMBER($S294),$S294,MIN($V294,$T294,$U294,$W294))</f>
        <v>56</v>
      </c>
      <c r="Y294" s="26" t="n">
        <v>0.3</v>
      </c>
      <c r="Z294" s="89" t="n">
        <v>4000000000</v>
      </c>
      <c r="AA294" s="87" t="n">
        <v>1</v>
      </c>
      <c r="AB294" s="26" t="n">
        <f aca="false">Z294*AA294</f>
        <v>4000000000</v>
      </c>
      <c r="AC294" s="26"/>
      <c r="AD294" s="51" t="n">
        <f aca="false">IF(AB294&gt;0, Y294/AB294*1000000000000, 0)</f>
        <v>75</v>
      </c>
      <c r="AE294" s="49" t="n">
        <f aca="false">IF(ISNUMBER($Q294), $AD294*1000/2^(($Q294-1.76)/6.02), "")</f>
        <v>91.7848648526713</v>
      </c>
      <c r="AF294" s="49" t="n">
        <f aca="false">$AD294*1000/2^(($X294-1.76)/6.02)</f>
        <v>145.475883512529</v>
      </c>
      <c r="AG294" s="31" t="n">
        <f aca="false">IF(ISNUMBER($Q294), $Q294+10*LOG10($AB294/2/$Y294), "")</f>
        <v>158.239087409443</v>
      </c>
      <c r="AH294" s="31" t="n">
        <f aca="false">IF($Y294&gt;0, $X294+10*LOG10($AB294/2/$Y294), 0)</f>
        <v>154.239087409443</v>
      </c>
      <c r="AI294" s="26" t="n">
        <f aca="false">AF294/AB294</f>
        <v>3.63689708781323E-008</v>
      </c>
      <c r="AJ294" s="53" t="n">
        <f aca="false">AH294+10*LOG10(AB294)</f>
        <v>250.259687322723</v>
      </c>
    </row>
    <row r="295" customFormat="false" ht="12.75" hidden="false" customHeight="false" outlineLevel="0" collapsed="false">
      <c r="A295" s="50" t="n">
        <v>2016</v>
      </c>
      <c r="B295" s="22" t="n">
        <v>27.7</v>
      </c>
      <c r="C295" s="34" t="s">
        <v>111</v>
      </c>
      <c r="D295" s="23" t="s">
        <v>548</v>
      </c>
      <c r="E295" s="94" t="n">
        <v>0.04</v>
      </c>
      <c r="F295" s="77" t="s">
        <v>1401</v>
      </c>
      <c r="G295" s="17" t="s">
        <v>1402</v>
      </c>
      <c r="H295" s="17" t="s">
        <v>1403</v>
      </c>
      <c r="I295" s="76" t="s">
        <v>1404</v>
      </c>
      <c r="J295" s="46" t="str">
        <f aca="false">IF(I295&lt;&gt;"?", HYPERLINK(CONCATENATE("https://doi.org/",I295)), "")</f>
        <v>https://doi.org/10.1109/ISSCC.2016.7418110</v>
      </c>
      <c r="K295" s="77" t="s">
        <v>117</v>
      </c>
      <c r="L295" s="54" t="n">
        <v>1.1</v>
      </c>
      <c r="M295" s="54"/>
      <c r="N295" s="54"/>
      <c r="O295" s="22" t="n">
        <f aca="false">512*0.0012</f>
        <v>0.6144</v>
      </c>
      <c r="P295" s="45" t="n">
        <v>0.825</v>
      </c>
      <c r="Q295" s="30" t="n">
        <v>54.2</v>
      </c>
      <c r="R295" s="48" t="n">
        <v>1300000000</v>
      </c>
      <c r="S295" s="41" t="n">
        <v>50.6</v>
      </c>
      <c r="T295" s="41"/>
      <c r="U295" s="41"/>
      <c r="V295" s="41"/>
      <c r="W295" s="41" t="n">
        <v>57.8</v>
      </c>
      <c r="X295" s="49" t="n">
        <f aca="false">+IF(ISNUMBER($S295),$S295,MIN($V295,$T295,$U295,$W295))</f>
        <v>50.6</v>
      </c>
      <c r="Y295" s="26" t="n">
        <v>0.0184</v>
      </c>
      <c r="Z295" s="89" t="n">
        <v>2600000000</v>
      </c>
      <c r="AA295" s="87" t="n">
        <v>1</v>
      </c>
      <c r="AB295" s="26" t="n">
        <f aca="false">Z295*AA295</f>
        <v>2600000000</v>
      </c>
      <c r="AC295" s="26"/>
      <c r="AD295" s="51" t="n">
        <f aca="false">IF(AB295&gt;0, Y295/AB295*1000000000000, 0)</f>
        <v>7.07692307692308</v>
      </c>
      <c r="AE295" s="49" t="n">
        <f aca="false">IF(ISNUMBER($Q295), $AD295*1000/2^(($Q295-1.76)/6.02), "")</f>
        <v>16.8881930161833</v>
      </c>
      <c r="AF295" s="49" t="n">
        <f aca="false">$AD295*1000/2^(($X295-1.76)/6.02)</f>
        <v>25.5623702827321</v>
      </c>
      <c r="AG295" s="31" t="n">
        <f aca="false">IF(ISNUMBER($Q295), $Q295+10*LOG10($AB295/2/$Y295), "")</f>
        <v>162.691255292973</v>
      </c>
      <c r="AH295" s="31" t="n">
        <f aca="false">IF($Y295&gt;0, $X295+10*LOG10($AB295/2/$Y295), 0)</f>
        <v>159.091255292973</v>
      </c>
      <c r="AI295" s="26" t="n">
        <f aca="false">AF295/AB295</f>
        <v>9.83168087797388E-009</v>
      </c>
      <c r="AJ295" s="53" t="n">
        <f aca="false">AH295+10*LOG10(AB295)</f>
        <v>253.240988772681</v>
      </c>
    </row>
    <row r="296" customFormat="false" ht="12.75" hidden="false" customHeight="false" outlineLevel="0" collapsed="false">
      <c r="A296" s="50" t="n">
        <v>2016</v>
      </c>
      <c r="B296" s="22" t="n">
        <v>27.8</v>
      </c>
      <c r="C296" s="34" t="s">
        <v>111</v>
      </c>
      <c r="D296" s="23" t="s">
        <v>1215</v>
      </c>
      <c r="E296" s="94" t="n">
        <v>0.028</v>
      </c>
      <c r="F296" s="77" t="s">
        <v>1405</v>
      </c>
      <c r="G296" s="17" t="s">
        <v>1406</v>
      </c>
      <c r="H296" s="17" t="s">
        <v>1407</v>
      </c>
      <c r="I296" s="76" t="s">
        <v>1408</v>
      </c>
      <c r="J296" s="46" t="str">
        <f aca="false">IF(I296&lt;&gt;"?", HYPERLINK(CONCATENATE("https://doi.org/",I296)), "")</f>
        <v>https://doi.org/10.1109/ISSCC.2016.7418111</v>
      </c>
      <c r="K296" s="77" t="s">
        <v>1409</v>
      </c>
      <c r="L296" s="54"/>
      <c r="M296" s="54"/>
      <c r="N296" s="54"/>
      <c r="P296" s="45" t="n">
        <v>0.076</v>
      </c>
      <c r="Q296" s="30" t="n">
        <v>60.7</v>
      </c>
      <c r="R296" s="48" t="n">
        <v>265000000</v>
      </c>
      <c r="S296" s="41" t="n">
        <v>58</v>
      </c>
      <c r="T296" s="41"/>
      <c r="U296" s="41"/>
      <c r="V296" s="41"/>
      <c r="W296" s="41" t="n">
        <v>66</v>
      </c>
      <c r="X296" s="49" t="n">
        <f aca="false">+IF(ISNUMBER($S296),$S296,MIN($V296,$T296,$U296,$W296))</f>
        <v>58</v>
      </c>
      <c r="Y296" s="26" t="n">
        <v>0.0265</v>
      </c>
      <c r="Z296" s="89" t="n">
        <v>600000000</v>
      </c>
      <c r="AA296" s="87" t="n">
        <v>1</v>
      </c>
      <c r="AB296" s="26" t="n">
        <f aca="false">Z296*AA296</f>
        <v>600000000</v>
      </c>
      <c r="AC296" s="26"/>
      <c r="AD296" s="51" t="n">
        <f aca="false">IF(AB296&gt;0, Y296/AB296*1000000000000, 0)</f>
        <v>44.1666666666667</v>
      </c>
      <c r="AE296" s="49" t="n">
        <f aca="false">IF(ISNUMBER($Q296), $AD296*1000/2^(($Q296-1.76)/6.02), "")</f>
        <v>49.8655880688127</v>
      </c>
      <c r="AF296" s="49" t="n">
        <f aca="false">$AD296*1000/2^(($X296-1.76)/6.02)</f>
        <v>68.0478484704688</v>
      </c>
      <c r="AG296" s="31" t="n">
        <f aca="false">IF(ISNUMBER($Q296), $Q296+10*LOG10($AB296/2/$Y296), "")</f>
        <v>161.238753807829</v>
      </c>
      <c r="AH296" s="31" t="n">
        <f aca="false">IF($Y296&gt;0, $X296+10*LOG10($AB296/2/$Y296), 0)</f>
        <v>158.538753807829</v>
      </c>
      <c r="AI296" s="26" t="n">
        <f aca="false">AF296/AB296</f>
        <v>1.13413080784115E-007</v>
      </c>
      <c r="AJ296" s="53" t="n">
        <f aca="false">AH296+10*LOG10(AB296)</f>
        <v>246.320266311665</v>
      </c>
    </row>
    <row r="297" customFormat="false" ht="12.75" hidden="false" customHeight="false" outlineLevel="0" collapsed="false">
      <c r="A297" s="50" t="n">
        <v>2016</v>
      </c>
      <c r="B297" s="22" t="n">
        <v>28.6</v>
      </c>
      <c r="C297" s="34" t="s">
        <v>139</v>
      </c>
      <c r="D297" s="23" t="s">
        <v>1410</v>
      </c>
      <c r="E297" s="24" t="n">
        <v>0.04</v>
      </c>
      <c r="F297" s="77" t="s">
        <v>1411</v>
      </c>
      <c r="G297" s="17" t="s">
        <v>1412</v>
      </c>
      <c r="H297" s="28" t="s">
        <v>1413</v>
      </c>
      <c r="I297" s="27" t="s">
        <v>1414</v>
      </c>
      <c r="J297" s="46" t="str">
        <f aca="false">IF(I297&lt;&gt;"?", HYPERLINK(CONCATENATE("https://doi.org/",I297)), "")</f>
        <v>https://doi.org/10.1109/ISSCC.2016.7418118</v>
      </c>
      <c r="K297" s="77" t="s">
        <v>117</v>
      </c>
      <c r="L297" s="54"/>
      <c r="M297" s="54"/>
      <c r="N297" s="54"/>
      <c r="P297" s="45" t="n">
        <v>0.135</v>
      </c>
      <c r="Q297" s="30" t="n">
        <f aca="false">12.2*6.02+1.76</f>
        <v>75.204</v>
      </c>
      <c r="R297" s="48" t="n">
        <v>203</v>
      </c>
      <c r="S297" s="41" t="n">
        <f aca="false">12*6.02+1.76</f>
        <v>74</v>
      </c>
      <c r="T297" s="41"/>
      <c r="U297" s="41"/>
      <c r="V297" s="41"/>
      <c r="W297" s="41" t="n">
        <v>79</v>
      </c>
      <c r="X297" s="49" t="n">
        <f aca="false">+IF(ISNUMBER($S297),$S297,MIN($V297,$T297,$U297,$W297))</f>
        <v>74</v>
      </c>
      <c r="Y297" s="26" t="n">
        <v>7E-006</v>
      </c>
      <c r="Z297" s="89" t="n">
        <v>3000</v>
      </c>
      <c r="AA297" s="87" t="n">
        <f aca="false">Z297/AB297</f>
        <v>7.5</v>
      </c>
      <c r="AB297" s="26" t="n">
        <v>400</v>
      </c>
      <c r="AC297" s="26"/>
      <c r="AD297" s="51" t="n">
        <f aca="false">IF(AB297&gt;0, Y297/AB297*1000000000000, 0)</f>
        <v>17500</v>
      </c>
      <c r="AE297" s="49" t="n">
        <f aca="false">IF(ISNUMBER($Q297), $AD297*1000/2^(($Q297-1.76)/6.02), "")</f>
        <v>3719.39327580131</v>
      </c>
      <c r="AF297" s="49" t="n">
        <f aca="false">$AD297*1000/2^(($X297-1.76)/6.02)</f>
        <v>4272.4609375</v>
      </c>
      <c r="AG297" s="31" t="n">
        <f aca="false">IF(ISNUMBER($Q297), $Q297+10*LOG10($AB297/2/$Y297), "")</f>
        <v>149.763319556497</v>
      </c>
      <c r="AH297" s="31" t="n">
        <f aca="false">IF($Y297&gt;0, $X297+10*LOG10($AB297/2/$Y297), 0)</f>
        <v>148.559319556497</v>
      </c>
      <c r="AI297" s="26" t="n">
        <f aca="false">AF297/AB297</f>
        <v>10.68115234375</v>
      </c>
      <c r="AJ297" s="53" t="n">
        <f aca="false">AH297+10*LOG10(AB297)</f>
        <v>174.579919469777</v>
      </c>
    </row>
    <row r="298" customFormat="false" ht="12.75" hidden="false" customHeight="false" outlineLevel="0" collapsed="false">
      <c r="A298" s="40" t="n">
        <v>2017</v>
      </c>
      <c r="B298" s="22" t="n">
        <v>16.1</v>
      </c>
      <c r="C298" s="34" t="s">
        <v>111</v>
      </c>
      <c r="D298" s="23" t="s">
        <v>1215</v>
      </c>
      <c r="E298" s="94" t="n">
        <v>0.016</v>
      </c>
      <c r="F298" s="77" t="s">
        <v>1415</v>
      </c>
      <c r="G298" s="77" t="s">
        <v>1416</v>
      </c>
      <c r="H298" s="77" t="s">
        <v>1417</v>
      </c>
      <c r="I298" s="76" t="s">
        <v>1418</v>
      </c>
      <c r="J298" s="46" t="str">
        <f aca="false">IF(I298&lt;&gt;"?", HYPERLINK(CONCATENATE("https://doi.org/",I298)), "")</f>
        <v>https://doi.org/10.1109/ISSCC.2017.7870368</v>
      </c>
      <c r="K298" s="77" t="s">
        <v>117</v>
      </c>
      <c r="L298" s="54"/>
      <c r="M298" s="54"/>
      <c r="N298" s="54"/>
      <c r="P298" s="29" t="n">
        <v>1.04</v>
      </c>
      <c r="Q298" s="30" t="n">
        <v>63.8</v>
      </c>
      <c r="R298" s="48" t="n">
        <v>1900000000</v>
      </c>
      <c r="S298" s="41" t="n">
        <v>57.3</v>
      </c>
      <c r="T298" s="41"/>
      <c r="U298" s="41"/>
      <c r="V298" s="41"/>
      <c r="W298" s="41" t="n">
        <v>67</v>
      </c>
      <c r="X298" s="49" t="n">
        <f aca="false">+IF(ISNUMBER($S298),$S298,MIN($V298,$T298,$U298,$W298))</f>
        <v>57.3</v>
      </c>
      <c r="Y298" s="26" t="n">
        <v>0.513</v>
      </c>
      <c r="Z298" s="89" t="n">
        <v>4000000000</v>
      </c>
      <c r="AA298" s="87" t="n">
        <v>1</v>
      </c>
      <c r="AB298" s="26" t="n">
        <f aca="false">Z298/AA298</f>
        <v>4000000000</v>
      </c>
      <c r="AC298" s="26"/>
      <c r="AD298" s="51" t="n">
        <f aca="false">IF(AB298&gt;0, Y298/AB298*1000000000000, 0)</f>
        <v>128.25</v>
      </c>
      <c r="AE298" s="49" t="n">
        <f aca="false">IF(ISNUMBER($Q298), $AD298*1000/2^(($Q298-1.76)/6.02), "")</f>
        <v>101.332381390863</v>
      </c>
      <c r="AF298" s="49" t="n">
        <f aca="false">$AD298*1000/2^(($X298-1.76)/6.02)</f>
        <v>214.180849309475</v>
      </c>
      <c r="AG298" s="31" t="n">
        <f aca="false">IF(ISNUMBER($Q298), $Q298+10*LOG10($AB298/2/$Y298), "")</f>
        <v>159.709126305522</v>
      </c>
      <c r="AH298" s="31" t="n">
        <f aca="false">IF($Y298&gt;0, $X298+10*LOG10($AB298/2/$Y298), 0)</f>
        <v>153.209126305522</v>
      </c>
      <c r="AI298" s="26" t="n">
        <f aca="false">AF298/AB298</f>
        <v>5.35452123273688E-008</v>
      </c>
      <c r="AJ298" s="53" t="n">
        <f aca="false">AH298+10*LOG10(AB298)</f>
        <v>249.229726218801</v>
      </c>
    </row>
    <row r="299" customFormat="false" ht="12.75" hidden="false" customHeight="false" outlineLevel="0" collapsed="false">
      <c r="A299" s="50" t="n">
        <v>2017</v>
      </c>
      <c r="B299" s="22" t="n">
        <v>16.2</v>
      </c>
      <c r="C299" s="34" t="s">
        <v>139</v>
      </c>
      <c r="D299" s="23" t="s">
        <v>133</v>
      </c>
      <c r="E299" s="94" t="n">
        <v>0.028</v>
      </c>
      <c r="F299" s="77" t="s">
        <v>1419</v>
      </c>
      <c r="G299" s="77" t="s">
        <v>1420</v>
      </c>
      <c r="H299" s="28" t="s">
        <v>1421</v>
      </c>
      <c r="I299" s="27" t="s">
        <v>1422</v>
      </c>
      <c r="J299" s="46" t="str">
        <f aca="false">IF(I299&lt;&gt;"?", HYPERLINK(CONCATENATE("https://doi.org/",I299)), "")</f>
        <v>https://doi.org/10.1109/ISSCC.2017.7870369</v>
      </c>
      <c r="K299" s="77" t="s">
        <v>117</v>
      </c>
      <c r="L299" s="54"/>
      <c r="M299" s="54"/>
      <c r="N299" s="54"/>
      <c r="O299" s="34" t="s">
        <v>1284</v>
      </c>
      <c r="P299" s="29" t="n">
        <v>5.1</v>
      </c>
      <c r="R299" s="48" t="n">
        <v>1000000000</v>
      </c>
      <c r="S299" s="41"/>
      <c r="T299" s="41" t="n">
        <v>66</v>
      </c>
      <c r="U299" s="41" t="n">
        <v>73</v>
      </c>
      <c r="V299" s="41"/>
      <c r="W299" s="41" t="n">
        <v>79</v>
      </c>
      <c r="X299" s="49" t="n">
        <f aca="false">+IF(ISNUMBER($S299),$S299,MIN($V299,$T299,$U299,$W299))</f>
        <v>66</v>
      </c>
      <c r="Y299" s="26" t="n">
        <v>2.33</v>
      </c>
      <c r="Z299" s="89" t="n">
        <v>9000000000</v>
      </c>
      <c r="AA299" s="87" t="n">
        <v>4.5</v>
      </c>
      <c r="AB299" s="26" t="n">
        <f aca="false">Z299/AA299</f>
        <v>2000000000</v>
      </c>
      <c r="AC299" s="26"/>
      <c r="AD299" s="51" t="n">
        <f aca="false">IF(AB299&gt;0, Y299/AB299*1000000000000, 0)</f>
        <v>1165</v>
      </c>
      <c r="AE299" s="49" t="str">
        <f aca="false">IF(ISNUMBER($Q299), $AD299*1000/2^(($Q299-1.76)/6.02), "")</f>
        <v/>
      </c>
      <c r="AF299" s="49" t="n">
        <f aca="false">$AD299*1000/2^(($X299-1.76)/6.02)</f>
        <v>714.505931971383</v>
      </c>
      <c r="AG299" s="31" t="str">
        <f aca="false">IF(ISNUMBER($Q299), $Q299+10*LOG10($AB299/2/$Y299), "")</f>
        <v/>
      </c>
      <c r="AH299" s="31" t="n">
        <f aca="false">IF($Y299&gt;0, $X299+10*LOG10($AB299/2/$Y299), 0)</f>
        <v>152.32644078974</v>
      </c>
      <c r="AI299" s="26" t="n">
        <f aca="false">AF299/AB299</f>
        <v>3.57252965985692E-007</v>
      </c>
      <c r="AJ299" s="53" t="n">
        <f aca="false">AH299+10*LOG10(AB299)</f>
        <v>245.33674074638</v>
      </c>
    </row>
    <row r="300" customFormat="false" ht="12.75" hidden="false" customHeight="false" outlineLevel="0" collapsed="false">
      <c r="A300" s="50" t="n">
        <v>2017</v>
      </c>
      <c r="B300" s="22" t="n">
        <v>16.4</v>
      </c>
      <c r="C300" s="34" t="s">
        <v>111</v>
      </c>
      <c r="D300" s="23" t="s">
        <v>112</v>
      </c>
      <c r="E300" s="94" t="n">
        <v>0.028</v>
      </c>
      <c r="F300" s="77" t="s">
        <v>1423</v>
      </c>
      <c r="G300" s="77" t="s">
        <v>1424</v>
      </c>
      <c r="H300" s="28" t="s">
        <v>1425</v>
      </c>
      <c r="I300" s="27" t="s">
        <v>1426</v>
      </c>
      <c r="J300" s="46" t="str">
        <f aca="false">IF(I300&lt;&gt;"?", HYPERLINK(CONCATENATE("https://doi.org/",I300)), "")</f>
        <v>https://doi.org/10.1109/ISSCC.2017.7870371</v>
      </c>
      <c r="K300" s="77" t="s">
        <v>117</v>
      </c>
      <c r="L300" s="54"/>
      <c r="M300" s="54"/>
      <c r="N300" s="54"/>
      <c r="O300" s="22" t="n">
        <v>0.064</v>
      </c>
      <c r="P300" s="29" t="n">
        <v>0.0043</v>
      </c>
      <c r="Q300" s="30" t="n">
        <v>40.1</v>
      </c>
      <c r="R300" s="48" t="n">
        <v>1200000000</v>
      </c>
      <c r="S300" s="41" t="n">
        <v>40.05</v>
      </c>
      <c r="T300" s="41" t="n">
        <v>40.4</v>
      </c>
      <c r="U300" s="41"/>
      <c r="V300" s="41"/>
      <c r="W300" s="41" t="n">
        <v>54.3</v>
      </c>
      <c r="X300" s="49" t="n">
        <f aca="false">+IF(ISNUMBER($S300),$S300,MIN($V300,$T300,$U300,$W300))</f>
        <v>40.05</v>
      </c>
      <c r="Y300" s="26" t="n">
        <v>0.005</v>
      </c>
      <c r="Z300" s="89" t="n">
        <v>2400000000</v>
      </c>
      <c r="AA300" s="87" t="n">
        <v>1</v>
      </c>
      <c r="AB300" s="26" t="n">
        <f aca="false">Z300/AA300</f>
        <v>2400000000</v>
      </c>
      <c r="AC300" s="26"/>
      <c r="AD300" s="51" t="n">
        <f aca="false">IF(AB300&gt;0, Y300/AB300*1000000000000, 0)</f>
        <v>2.08333333333333</v>
      </c>
      <c r="AE300" s="49" t="n">
        <f aca="false">IF(ISNUMBER($Q300), $AD300*1000/2^(($Q300-1.76)/6.02), "")</f>
        <v>25.2097028787178</v>
      </c>
      <c r="AF300" s="49" t="n">
        <f aca="false">$AD300*1000/2^(($X300-1.76)/6.02)</f>
        <v>25.3552546267523</v>
      </c>
      <c r="AG300" s="31" t="n">
        <f aca="false">IF(ISNUMBER($Q300), $Q300+10*LOG10($AB300/2/$Y300), "")</f>
        <v>153.902112417116</v>
      </c>
      <c r="AH300" s="31" t="n">
        <f aca="false">IF($Y300&gt;0, $X300+10*LOG10($AB300/2/$Y300), 0)</f>
        <v>153.852112417116</v>
      </c>
      <c r="AI300" s="26" t="n">
        <f aca="false">AF300/AB300</f>
        <v>1.05646894278134E-008</v>
      </c>
      <c r="AJ300" s="53" t="n">
        <f aca="false">AH300+10*LOG10(AB300)</f>
        <v>247.654224834232</v>
      </c>
    </row>
    <row r="301" customFormat="false" ht="12.75" hidden="false" customHeight="false" outlineLevel="0" collapsed="false">
      <c r="A301" s="50" t="n">
        <v>2017</v>
      </c>
      <c r="B301" s="22" t="n">
        <v>16.5</v>
      </c>
      <c r="C301" s="34" t="s">
        <v>111</v>
      </c>
      <c r="D301" s="23" t="s">
        <v>548</v>
      </c>
      <c r="E301" s="94" t="n">
        <v>0.028</v>
      </c>
      <c r="F301" s="77" t="s">
        <v>1427</v>
      </c>
      <c r="G301" s="77" t="s">
        <v>1428</v>
      </c>
      <c r="H301" s="28" t="s">
        <v>1429</v>
      </c>
      <c r="I301" s="27" t="s">
        <v>1430</v>
      </c>
      <c r="J301" s="46" t="str">
        <f aca="false">IF(I301&lt;&gt;"?", HYPERLINK(CONCATENATE("https://doi.org/",I301)), "")</f>
        <v>https://doi.org/10.1109/ISSCC.2017.7870372</v>
      </c>
      <c r="K301" s="77" t="s">
        <v>117</v>
      </c>
      <c r="L301" s="54"/>
      <c r="M301" s="54"/>
      <c r="N301" s="54"/>
      <c r="P301" s="29" t="n">
        <v>0.184</v>
      </c>
      <c r="Q301" s="30" t="n">
        <f aca="false">8.8*6.02+1.76</f>
        <v>54.736</v>
      </c>
      <c r="R301" s="48" t="n">
        <v>3820000000</v>
      </c>
      <c r="S301" s="41" t="n">
        <v>49</v>
      </c>
      <c r="T301" s="41" t="n">
        <v>52</v>
      </c>
      <c r="U301" s="41"/>
      <c r="V301" s="41"/>
      <c r="W301" s="41" t="n">
        <v>60.3</v>
      </c>
      <c r="X301" s="49" t="n">
        <f aca="false">+IF(ISNUMBER($S301),$S301,MIN($V301,$T301,$U301,$W301))</f>
        <v>49</v>
      </c>
      <c r="Y301" s="26" t="n">
        <v>0.3</v>
      </c>
      <c r="Z301" s="89" t="n">
        <v>8000000000</v>
      </c>
      <c r="AA301" s="87" t="n">
        <v>1</v>
      </c>
      <c r="AB301" s="26" t="n">
        <f aca="false">Z301/AA301</f>
        <v>8000000000</v>
      </c>
      <c r="AC301" s="26"/>
      <c r="AD301" s="51" t="n">
        <f aca="false">IF(AB301&gt;0, Y301/AB301*1000000000000, 0)</f>
        <v>37.5</v>
      </c>
      <c r="AE301" s="49" t="n">
        <f aca="false">IF(ISNUMBER($Q301), $AD301*1000/2^(($Q301-1.76)/6.02), "")</f>
        <v>84.1331802976344</v>
      </c>
      <c r="AF301" s="49" t="n">
        <f aca="false">$AD301*1000/2^(($X301-1.76)/6.02)</f>
        <v>162.853046172107</v>
      </c>
      <c r="AG301" s="31" t="n">
        <f aca="false">IF(ISNUMBER($Q301), $Q301+10*LOG10($AB301/2/$Y301), "")</f>
        <v>155.985387366083</v>
      </c>
      <c r="AH301" s="31" t="n">
        <f aca="false">IF($Y301&gt;0, $X301+10*LOG10($AB301/2/$Y301), 0)</f>
        <v>150.249387366083</v>
      </c>
      <c r="AI301" s="26" t="n">
        <f aca="false">AF301/AB301</f>
        <v>2.03566307715134E-008</v>
      </c>
      <c r="AJ301" s="53" t="n">
        <f aca="false">AH301+10*LOG10(AB301)</f>
        <v>249.280287236002</v>
      </c>
    </row>
    <row r="302" customFormat="false" ht="12.75" hidden="false" customHeight="false" outlineLevel="0" collapsed="false">
      <c r="A302" s="50" t="n">
        <v>2017</v>
      </c>
      <c r="B302" s="22" t="n">
        <v>16.7</v>
      </c>
      <c r="C302" s="34" t="s">
        <v>111</v>
      </c>
      <c r="D302" s="23" t="s">
        <v>191</v>
      </c>
      <c r="E302" s="94" t="n">
        <v>0.028</v>
      </c>
      <c r="F302" s="77" t="s">
        <v>1431</v>
      </c>
      <c r="G302" s="77" t="s">
        <v>1432</v>
      </c>
      <c r="H302" s="28" t="s">
        <v>1433</v>
      </c>
      <c r="I302" s="27" t="s">
        <v>1434</v>
      </c>
      <c r="J302" s="46" t="str">
        <f aca="false">IF(I302&lt;&gt;"?", HYPERLINK(CONCATENATE("https://doi.org/",I302)), "")</f>
        <v>https://doi.org/10.1109/ISSCC.2017.7870374</v>
      </c>
      <c r="K302" s="77" t="s">
        <v>117</v>
      </c>
      <c r="L302" s="54"/>
      <c r="M302" s="54"/>
      <c r="N302" s="54"/>
      <c r="P302" s="29" t="n">
        <v>7.4</v>
      </c>
      <c r="Q302" s="30" t="n">
        <v>58.5</v>
      </c>
      <c r="R302" s="48" t="n">
        <v>4000000000</v>
      </c>
      <c r="S302" s="41" t="n">
        <v>55</v>
      </c>
      <c r="T302" s="41" t="n">
        <v>56</v>
      </c>
      <c r="U302" s="41"/>
      <c r="V302" s="41"/>
      <c r="W302" s="41" t="n">
        <v>66</v>
      </c>
      <c r="X302" s="49" t="n">
        <f aca="false">+IF(ISNUMBER($S302),$S302,MIN($V302,$T302,$U302,$W302))</f>
        <v>55</v>
      </c>
      <c r="Y302" s="26" t="n">
        <v>2.9</v>
      </c>
      <c r="Z302" s="89" t="n">
        <v>10000000000</v>
      </c>
      <c r="AA302" s="87" t="n">
        <v>1</v>
      </c>
      <c r="AB302" s="26" t="n">
        <f aca="false">Z302/AA302</f>
        <v>10000000000</v>
      </c>
      <c r="AC302" s="26"/>
      <c r="AD302" s="51" t="n">
        <f aca="false">IF(AB302&gt;0, Y302/AB302*1000000000000, 0)</f>
        <v>290</v>
      </c>
      <c r="AE302" s="49" t="n">
        <f aca="false">IF(ISNUMBER($Q302), $AD302*1000/2^(($Q302-1.76)/6.02), "")</f>
        <v>421.808455508216</v>
      </c>
      <c r="AF302" s="49" t="n">
        <f aca="false">$AD302*1000/2^(($X302-1.76)/6.02)</f>
        <v>631.150194856217</v>
      </c>
      <c r="AG302" s="31" t="n">
        <f aca="false">IF(ISNUMBER($Q302), $Q302+10*LOG10($AB302/2/$Y302), "")</f>
        <v>150.865720064371</v>
      </c>
      <c r="AH302" s="31" t="n">
        <f aca="false">IF($Y302&gt;0, $X302+10*LOG10($AB302/2/$Y302), 0)</f>
        <v>147.365720064371</v>
      </c>
      <c r="AI302" s="26" t="n">
        <f aca="false">AF302/AB302</f>
        <v>6.31150194856217E-008</v>
      </c>
      <c r="AJ302" s="53" t="n">
        <f aca="false">AH302+10*LOG10(AB302)</f>
        <v>247.365720064371</v>
      </c>
    </row>
    <row r="303" customFormat="false" ht="12.75" hidden="false" customHeight="false" outlineLevel="0" collapsed="false">
      <c r="A303" s="50" t="n">
        <v>2017</v>
      </c>
      <c r="B303" s="22" t="n">
        <v>21.6</v>
      </c>
      <c r="C303" s="34" t="s">
        <v>111</v>
      </c>
      <c r="D303" s="23" t="s">
        <v>112</v>
      </c>
      <c r="E303" s="24" t="n">
        <v>0.18</v>
      </c>
      <c r="F303" s="77" t="s">
        <v>1435</v>
      </c>
      <c r="G303" s="77" t="s">
        <v>1436</v>
      </c>
      <c r="H303" s="77" t="s">
        <v>1437</v>
      </c>
      <c r="I303" s="76" t="s">
        <v>1438</v>
      </c>
      <c r="J303" s="46" t="str">
        <f aca="false">IF(I303&lt;&gt;"?", HYPERLINK(CONCATENATE("https://doi.org/",I303)), "")</f>
        <v>https://doi.org/10.1109/ISSCC.2017.7870411</v>
      </c>
      <c r="K303" s="77" t="s">
        <v>117</v>
      </c>
      <c r="L303" s="54"/>
      <c r="M303" s="54"/>
      <c r="N303" s="54"/>
      <c r="O303" s="22" t="n">
        <v>0.05</v>
      </c>
      <c r="P303" s="29" t="n">
        <v>0</v>
      </c>
      <c r="R303" s="48" t="n">
        <v>500</v>
      </c>
      <c r="S303" s="41" t="n">
        <v>48.3</v>
      </c>
      <c r="T303" s="41"/>
      <c r="U303" s="41"/>
      <c r="V303" s="41" t="n">
        <v>58</v>
      </c>
      <c r="W303" s="41" t="n">
        <v>60</v>
      </c>
      <c r="X303" s="49" t="n">
        <f aca="false">+IF(ISNUMBER($S303),$S303,MIN($V303,$T303,$U303,$W303))</f>
        <v>48.3</v>
      </c>
      <c r="Y303" s="26" t="n">
        <v>2.7E-009</v>
      </c>
      <c r="Z303" s="89" t="n">
        <v>1000</v>
      </c>
      <c r="AA303" s="87" t="n">
        <v>1</v>
      </c>
      <c r="AB303" s="26" t="n">
        <f aca="false">Z303/AA303</f>
        <v>1000</v>
      </c>
      <c r="AC303" s="26"/>
      <c r="AD303" s="51" t="n">
        <f aca="false">IF(AB303&gt;0, Y303/AB303*1000000000000, 0)</f>
        <v>2.7</v>
      </c>
      <c r="AE303" s="49" t="str">
        <f aca="false">IF(ISNUMBER($Q303), $AD303*1000/2^(($Q303-1.76)/6.02), "")</f>
        <v/>
      </c>
      <c r="AF303" s="49" t="n">
        <f aca="false">$AD303*1000/2^(($X303-1.76)/6.02)</f>
        <v>12.7095996557091</v>
      </c>
      <c r="AG303" s="31" t="str">
        <f aca="false">IF(ISNUMBER($Q303), $Q303+10*LOG10($AB303/2/$Y303), "")</f>
        <v/>
      </c>
      <c r="AH303" s="31" t="n">
        <f aca="false">IF($Y303&gt;0, $X303+10*LOG10($AB303/2/$Y303), 0)</f>
        <v>160.97606240177</v>
      </c>
      <c r="AI303" s="26" t="n">
        <f aca="false">AF303/AB303</f>
        <v>0.0127095996557091</v>
      </c>
      <c r="AJ303" s="53" t="n">
        <f aca="false">AH303+10*LOG10(AB303)</f>
        <v>190.97606240177</v>
      </c>
    </row>
    <row r="304" customFormat="false" ht="12.75" hidden="false" customHeight="false" outlineLevel="0" collapsed="false">
      <c r="A304" s="50" t="n">
        <v>2017</v>
      </c>
      <c r="B304" s="22" t="n">
        <v>27.5</v>
      </c>
      <c r="C304" s="34" t="s">
        <v>139</v>
      </c>
      <c r="D304" s="23" t="s">
        <v>145</v>
      </c>
      <c r="E304" s="94" t="n">
        <v>0.028</v>
      </c>
      <c r="F304" s="77" t="s">
        <v>1439</v>
      </c>
      <c r="G304" s="77" t="s">
        <v>1440</v>
      </c>
      <c r="H304" s="77" t="s">
        <v>1441</v>
      </c>
      <c r="I304" s="76" t="s">
        <v>1442</v>
      </c>
      <c r="J304" s="46" t="str">
        <f aca="false">IF(I304&lt;&gt;"?", HYPERLINK(CONCATENATE("https://doi.org/",I304)), "")</f>
        <v>https://doi.org/10.1109/ISSCC.2017.7870458</v>
      </c>
      <c r="K304" s="77" t="s">
        <v>117</v>
      </c>
      <c r="L304" s="54"/>
      <c r="M304" s="54"/>
      <c r="N304" s="54"/>
      <c r="O304" s="22" t="n">
        <v>0.06</v>
      </c>
      <c r="P304" s="29" t="n">
        <f aca="false">0.25*0.25/4</f>
        <v>0.015625</v>
      </c>
      <c r="R304" s="48" t="n">
        <v>2000000</v>
      </c>
      <c r="S304" s="41" t="n">
        <v>58.9</v>
      </c>
      <c r="T304" s="41" t="n">
        <v>59.9</v>
      </c>
      <c r="U304" s="41"/>
      <c r="V304" s="41"/>
      <c r="W304" s="41"/>
      <c r="X304" s="49" t="n">
        <f aca="false">+IF(ISNUMBER($S304),$S304,MIN($V304,$T304,$U304,$W304))</f>
        <v>58.9</v>
      </c>
      <c r="Y304" s="26" t="n">
        <v>0.00665</v>
      </c>
      <c r="Z304" s="89" t="n">
        <v>960000000</v>
      </c>
      <c r="AA304" s="87" t="n">
        <v>48</v>
      </c>
      <c r="AB304" s="26" t="n">
        <f aca="false">Z304/AA304</f>
        <v>20000000</v>
      </c>
      <c r="AC304" s="26"/>
      <c r="AD304" s="51" t="n">
        <f aca="false">IF(AB304&gt;0, Y304/AB304*1000000000000, 0)</f>
        <v>332.5</v>
      </c>
      <c r="AE304" s="49" t="str">
        <f aca="false">IF(ISNUMBER($Q304), $AD304*1000/2^(($Q304-1.76)/6.02), "")</f>
        <v/>
      </c>
      <c r="AF304" s="49" t="n">
        <f aca="false">$AD304*1000/2^(($X304-1.76)/6.02)</f>
        <v>461.856372236134</v>
      </c>
      <c r="AG304" s="31" t="str">
        <f aca="false">IF(ISNUMBER($Q304), $Q304+10*LOG10($AB304/2/$Y304), "")</f>
        <v/>
      </c>
      <c r="AH304" s="31" t="n">
        <f aca="false">IF($Y304&gt;0, $X304+10*LOG10($AB304/2/$Y304), 0)</f>
        <v>150.671783546969</v>
      </c>
      <c r="AI304" s="26" t="n">
        <f aca="false">AF304/AB304</f>
        <v>2.30928186118067E-005</v>
      </c>
      <c r="AJ304" s="53" t="n">
        <f aca="false">AH304+10*LOG10(AB304)</f>
        <v>223.682083503609</v>
      </c>
    </row>
    <row r="305" customFormat="false" ht="12.75" hidden="false" customHeight="false" outlineLevel="0" collapsed="false">
      <c r="A305" s="50" t="n">
        <v>2017</v>
      </c>
      <c r="B305" s="22" t="n">
        <v>28.1</v>
      </c>
      <c r="C305" s="34" t="s">
        <v>139</v>
      </c>
      <c r="D305" s="23" t="s">
        <v>112</v>
      </c>
      <c r="E305" s="24" t="n">
        <v>0.028</v>
      </c>
      <c r="F305" s="77" t="s">
        <v>1443</v>
      </c>
      <c r="G305" s="77" t="s">
        <v>1444</v>
      </c>
      <c r="H305" s="28" t="s">
        <v>1445</v>
      </c>
      <c r="I305" s="27" t="s">
        <v>1446</v>
      </c>
      <c r="J305" s="46" t="str">
        <f aca="false">IF(I305&lt;&gt;"?", HYPERLINK(CONCATENATE("https://doi.org/",I305)), "")</f>
        <v>https://doi.org/10.1109/ISSCC.2017.7870463</v>
      </c>
      <c r="K305" s="77" t="s">
        <v>1447</v>
      </c>
      <c r="L305" s="54"/>
      <c r="M305" s="54"/>
      <c r="N305" s="54"/>
      <c r="O305" s="22" t="n">
        <v>1.6</v>
      </c>
      <c r="P305" s="29" t="n">
        <v>0.0049</v>
      </c>
      <c r="R305" s="48" t="n">
        <v>5000000</v>
      </c>
      <c r="S305" s="41" t="n">
        <v>79.7</v>
      </c>
      <c r="T305" s="41"/>
      <c r="U305" s="41" t="n">
        <v>81.8</v>
      </c>
      <c r="V305" s="41"/>
      <c r="W305" s="41"/>
      <c r="X305" s="49" t="n">
        <f aca="false">+IF(ISNUMBER($S305),$S305,MIN($V305,$T305,$U305,$W305))</f>
        <v>79.7</v>
      </c>
      <c r="Y305" s="26" t="n">
        <v>0.00046</v>
      </c>
      <c r="Z305" s="95" t="n">
        <f aca="false">AA305*AB305</f>
        <v>132000000</v>
      </c>
      <c r="AA305" s="92" t="n">
        <v>13.2</v>
      </c>
      <c r="AB305" s="26" t="n">
        <v>10000000</v>
      </c>
      <c r="AC305" s="26"/>
      <c r="AD305" s="51" t="n">
        <f aca="false">IF(AB305&gt;0, Y305/AB305*1000000000000, 0)</f>
        <v>46</v>
      </c>
      <c r="AE305" s="49" t="str">
        <f aca="false">IF(ISNUMBER($Q305), $AD305*1000/2^(($Q305-1.76)/6.02), "")</f>
        <v/>
      </c>
      <c r="AF305" s="49" t="n">
        <f aca="false">$AD305*1000/2^(($X305-1.76)/6.02)</f>
        <v>5.82598661482923</v>
      </c>
      <c r="AG305" s="31" t="str">
        <f aca="false">IF(ISNUMBER($Q305), $Q305+10*LOG10($AB305/2/$Y305), "")</f>
        <v/>
      </c>
      <c r="AH305" s="31" t="n">
        <f aca="false">IF($Y305&gt;0, $X305+10*LOG10($AB305/2/$Y305), 0)</f>
        <v>180.062121726544</v>
      </c>
      <c r="AI305" s="26" t="n">
        <f aca="false">AF305/AB305</f>
        <v>5.82598661482923E-007</v>
      </c>
      <c r="AJ305" s="53" t="n">
        <f aca="false">AH305+10*LOG10(AB305)</f>
        <v>250.062121726544</v>
      </c>
    </row>
    <row r="306" customFormat="false" ht="12.75" hidden="false" customHeight="false" outlineLevel="0" collapsed="false">
      <c r="A306" s="50" t="n">
        <v>2017</v>
      </c>
      <c r="B306" s="22" t="n">
        <v>28.2</v>
      </c>
      <c r="C306" s="34" t="s">
        <v>139</v>
      </c>
      <c r="D306" s="23" t="s">
        <v>173</v>
      </c>
      <c r="E306" s="24" t="n">
        <v>0.13</v>
      </c>
      <c r="F306" s="77" t="s">
        <v>1448</v>
      </c>
      <c r="G306" s="77" t="s">
        <v>1449</v>
      </c>
      <c r="H306" s="28" t="s">
        <v>1450</v>
      </c>
      <c r="I306" s="27" t="s">
        <v>1451</v>
      </c>
      <c r="J306" s="46" t="str">
        <f aca="false">IF(I306&lt;&gt;"?", HYPERLINK(CONCATENATE("https://doi.org/",I306)), "")</f>
        <v>https://doi.org/10.1109/ISSCC.2017.7870464</v>
      </c>
      <c r="K306" s="77" t="s">
        <v>117</v>
      </c>
      <c r="L306" s="54"/>
      <c r="M306" s="54"/>
      <c r="N306" s="54"/>
      <c r="O306" s="34" t="s">
        <v>1284</v>
      </c>
      <c r="P306" s="29" t="n">
        <v>0.17</v>
      </c>
      <c r="R306" s="48" t="n">
        <v>15000000</v>
      </c>
      <c r="S306" s="41" t="n">
        <v>80.4</v>
      </c>
      <c r="T306" s="41" t="n">
        <v>81.7</v>
      </c>
      <c r="U306" s="41" t="n">
        <v>82.9</v>
      </c>
      <c r="V306" s="41"/>
      <c r="W306" s="41" t="n">
        <v>87.8</v>
      </c>
      <c r="X306" s="49" t="n">
        <f aca="false">+IF(ISNUMBER($S306),$S306,MIN($V306,$T306,$U306,$W306))</f>
        <v>80.4</v>
      </c>
      <c r="Y306" s="26" t="n">
        <v>0.0114</v>
      </c>
      <c r="Z306" s="95" t="n">
        <v>640000000</v>
      </c>
      <c r="AA306" s="96" t="n">
        <f aca="false">Z306/AB306</f>
        <v>21.3333333333333</v>
      </c>
      <c r="AB306" s="26" t="n">
        <v>30000000</v>
      </c>
      <c r="AC306" s="26"/>
      <c r="AD306" s="51" t="n">
        <f aca="false">IF(AB306&gt;0, Y306/AB306*1000000000000, 0)</f>
        <v>380</v>
      </c>
      <c r="AE306" s="49" t="str">
        <f aca="false">IF(ISNUMBER($Q306), $AD306*1000/2^(($Q306-1.76)/6.02), "")</f>
        <v/>
      </c>
      <c r="AF306" s="49" t="n">
        <f aca="false">$AD306*1000/2^(($X306-1.76)/6.02)</f>
        <v>44.400898597221</v>
      </c>
      <c r="AG306" s="31" t="str">
        <f aca="false">IF(ISNUMBER($Q306), $Q306+10*LOG10($AB306/2/$Y306), "")</f>
        <v/>
      </c>
      <c r="AH306" s="31" t="n">
        <f aca="false">IF($Y306&gt;0, $X306+10*LOG10($AB306/2/$Y306), 0)</f>
        <v>171.591864077192</v>
      </c>
      <c r="AI306" s="26" t="n">
        <f aca="false">AF306/AB306</f>
        <v>1.4800299532407E-006</v>
      </c>
      <c r="AJ306" s="53" t="n">
        <f aca="false">AH306+10*LOG10(AB306)</f>
        <v>246.363076624389</v>
      </c>
    </row>
    <row r="307" customFormat="false" ht="12.75" hidden="false" customHeight="false" outlineLevel="0" collapsed="false">
      <c r="A307" s="50" t="n">
        <v>2017</v>
      </c>
      <c r="B307" s="22" t="n">
        <v>28.3</v>
      </c>
      <c r="C307" s="34" t="s">
        <v>139</v>
      </c>
      <c r="D307" s="23" t="s">
        <v>981</v>
      </c>
      <c r="E307" s="24" t="n">
        <v>0.016</v>
      </c>
      <c r="F307" s="77" t="s">
        <v>1452</v>
      </c>
      <c r="G307" s="77" t="s">
        <v>1453</v>
      </c>
      <c r="H307" s="77" t="s">
        <v>1454</v>
      </c>
      <c r="I307" s="76" t="s">
        <v>1455</v>
      </c>
      <c r="J307" s="46" t="str">
        <f aca="false">IF(I307&lt;&gt;"?", HYPERLINK(CONCATENATE("https://doi.org/",I307)), "")</f>
        <v>https://doi.org/10.1109/ISSCC.2017.7870465</v>
      </c>
      <c r="K307" s="77" t="s">
        <v>117</v>
      </c>
      <c r="L307" s="54"/>
      <c r="M307" s="54"/>
      <c r="N307" s="54"/>
      <c r="O307" s="34" t="s">
        <v>1284</v>
      </c>
      <c r="P307" s="29" t="n">
        <v>0.217</v>
      </c>
      <c r="R307" s="48" t="n">
        <f aca="false">0.32*125000000</f>
        <v>40000000</v>
      </c>
      <c r="S307" s="41" t="n">
        <v>71.9</v>
      </c>
      <c r="T307" s="41" t="n">
        <v>72.6</v>
      </c>
      <c r="U307" s="41" t="n">
        <v>74.8</v>
      </c>
      <c r="V307" s="41" t="n">
        <v>80</v>
      </c>
      <c r="W307" s="41"/>
      <c r="X307" s="49" t="n">
        <f aca="false">+IF(ISNUMBER($S307),$S307,MIN($V307,$T307,$U307,$W307))</f>
        <v>71.9</v>
      </c>
      <c r="Y307" s="26" t="n">
        <v>0.054</v>
      </c>
      <c r="Z307" s="95" t="n">
        <v>2150000000</v>
      </c>
      <c r="AA307" s="97" t="n">
        <f aca="false">Z307/AB307</f>
        <v>8.6</v>
      </c>
      <c r="AB307" s="26" t="n">
        <v>250000000</v>
      </c>
      <c r="AC307" s="26"/>
      <c r="AD307" s="51" t="n">
        <f aca="false">IF(AB307&gt;0, Y307/AB307*1000000000000, 0)</f>
        <v>216</v>
      </c>
      <c r="AE307" s="49" t="str">
        <f aca="false">IF(ISNUMBER($Q307), $AD307*1000/2^(($Q307-1.76)/6.02), "")</f>
        <v/>
      </c>
      <c r="AF307" s="49" t="n">
        <f aca="false">$AD307*1000/2^(($X307-1.76)/6.02)</f>
        <v>67.1590071031489</v>
      </c>
      <c r="AG307" s="31" t="str">
        <f aca="false">IF(ISNUMBER($Q307), $Q307+10*LOG10($AB307/2/$Y307), "")</f>
        <v/>
      </c>
      <c r="AH307" s="31" t="n">
        <f aca="false">IF($Y307&gt;0, $X307+10*LOG10($AB307/2/$Y307), 0)</f>
        <v>165.545162531851</v>
      </c>
      <c r="AI307" s="26" t="n">
        <f aca="false">AF307/AB307</f>
        <v>2.68636028412596E-007</v>
      </c>
      <c r="AJ307" s="53" t="n">
        <f aca="false">AH307+10*LOG10(AB307)</f>
        <v>249.524562618571</v>
      </c>
    </row>
    <row r="308" customFormat="false" ht="12.75" hidden="false" customHeight="false" outlineLevel="0" collapsed="false">
      <c r="A308" s="50" t="n">
        <v>2017</v>
      </c>
      <c r="B308" s="22" t="n">
        <v>28.4</v>
      </c>
      <c r="C308" s="34" t="s">
        <v>111</v>
      </c>
      <c r="D308" s="23" t="s">
        <v>994</v>
      </c>
      <c r="E308" s="94" t="n">
        <v>0.065</v>
      </c>
      <c r="F308" s="77" t="s">
        <v>1456</v>
      </c>
      <c r="G308" s="77" t="s">
        <v>1457</v>
      </c>
      <c r="H308" s="77" t="s">
        <v>1458</v>
      </c>
      <c r="I308" s="76" t="s">
        <v>1459</v>
      </c>
      <c r="J308" s="46" t="str">
        <f aca="false">IF(I308&lt;&gt;"?", HYPERLINK(CONCATENATE("https://doi.org/",I308)), "")</f>
        <v>https://doi.org/10.1109/ISSCC.2017.7870466</v>
      </c>
      <c r="K308" s="77" t="s">
        <v>117</v>
      </c>
      <c r="L308" s="54"/>
      <c r="M308" s="54"/>
      <c r="N308" s="54"/>
      <c r="O308" s="22" t="n">
        <v>1</v>
      </c>
      <c r="P308" s="29" t="n">
        <v>0.08</v>
      </c>
      <c r="Q308" s="30" t="n">
        <v>67.7</v>
      </c>
      <c r="R308" s="48" t="n">
        <v>165000000</v>
      </c>
      <c r="S308" s="41" t="n">
        <v>63.5</v>
      </c>
      <c r="T308" s="41"/>
      <c r="U308" s="41"/>
      <c r="V308" s="41"/>
      <c r="W308" s="41" t="n">
        <v>83.4</v>
      </c>
      <c r="X308" s="49" t="n">
        <f aca="false">+IF(ISNUMBER($S308),$S308,MIN($V308,$T308,$U308,$W308))</f>
        <v>63.5</v>
      </c>
      <c r="Y308" s="26" t="n">
        <v>0.00623</v>
      </c>
      <c r="Z308" s="95" t="n">
        <v>330000000</v>
      </c>
      <c r="AA308" s="98" t="n">
        <v>1</v>
      </c>
      <c r="AB308" s="26" t="n">
        <f aca="false">Z308/AA308</f>
        <v>330000000</v>
      </c>
      <c r="AC308" s="26"/>
      <c r="AD308" s="51" t="n">
        <f aca="false">IF(AB308&gt;0, Y308/AB308*1000000000000, 0)</f>
        <v>18.8787878787879</v>
      </c>
      <c r="AE308" s="49" t="n">
        <f aca="false">IF(ISNUMBER($Q308), $AD308*1000/2^(($Q308-1.76)/6.02), "")</f>
        <v>9.52018854629924</v>
      </c>
      <c r="AF308" s="49" t="n">
        <f aca="false">$AD308*1000/2^(($X308-1.76)/6.02)</f>
        <v>15.4406819303582</v>
      </c>
      <c r="AG308" s="31" t="n">
        <f aca="false">IF(ISNUMBER($Q308), $Q308+10*LOG10($AB308/2/$Y308), "")</f>
        <v>171.929958975547</v>
      </c>
      <c r="AH308" s="31" t="n">
        <f aca="false">IF($Y308&gt;0, $X308+10*LOG10($AB308/2/$Y308), 0)</f>
        <v>167.729958975547</v>
      </c>
      <c r="AI308" s="26" t="n">
        <f aca="false">AF308/AB308</f>
        <v>4.67899452435098E-008</v>
      </c>
      <c r="AJ308" s="53" t="n">
        <f aca="false">AH308+10*LOG10(AB308)</f>
        <v>252.915098374326</v>
      </c>
    </row>
    <row r="309" customFormat="false" ht="12.75" hidden="false" customHeight="false" outlineLevel="0" collapsed="false">
      <c r="A309" s="50" t="n">
        <v>2017</v>
      </c>
      <c r="B309" s="22" t="n">
        <v>28.5</v>
      </c>
      <c r="C309" s="34" t="s">
        <v>111</v>
      </c>
      <c r="D309" s="23" t="s">
        <v>994</v>
      </c>
      <c r="E309" s="94" t="n">
        <v>0.014</v>
      </c>
      <c r="F309" s="77" t="s">
        <v>1460</v>
      </c>
      <c r="G309" s="77" t="s">
        <v>1461</v>
      </c>
      <c r="H309" s="77" t="s">
        <v>1462</v>
      </c>
      <c r="I309" s="76" t="s">
        <v>1463</v>
      </c>
      <c r="J309" s="46" t="str">
        <f aca="false">IF(I309&lt;&gt;"?", HYPERLINK(CONCATENATE("https://doi.org/",I309)), "")</f>
        <v>https://doi.org/10.1109/ISSCC.2017.7870467</v>
      </c>
      <c r="K309" s="77" t="s">
        <v>117</v>
      </c>
      <c r="L309" s="54"/>
      <c r="M309" s="54"/>
      <c r="N309" s="54"/>
      <c r="P309" s="29" t="n">
        <v>0.0016</v>
      </c>
      <c r="R309" s="48" t="n">
        <v>750000000</v>
      </c>
      <c r="S309" s="41" t="n">
        <v>50.1</v>
      </c>
      <c r="T309" s="41" t="n">
        <v>50.88</v>
      </c>
      <c r="U309" s="41"/>
      <c r="V309" s="41" t="n">
        <v>58.24</v>
      </c>
      <c r="W309" s="41" t="n">
        <v>58.39</v>
      </c>
      <c r="X309" s="49" t="n">
        <f aca="false">+IF(ISNUMBER($S309),$S309,MIN($V309,$T309,$U309,$W309))</f>
        <v>50.1</v>
      </c>
      <c r="Y309" s="26" t="n">
        <v>0.00692</v>
      </c>
      <c r="Z309" s="95" t="n">
        <v>1500000000</v>
      </c>
      <c r="AA309" s="98" t="n">
        <v>1</v>
      </c>
      <c r="AB309" s="26" t="n">
        <f aca="false">Z309/AA309</f>
        <v>1500000000</v>
      </c>
      <c r="AC309" s="26"/>
      <c r="AD309" s="51" t="n">
        <f aca="false">IF(AB309&gt;0, Y309/AB309*1000000000000, 0)</f>
        <v>4.61333333333333</v>
      </c>
      <c r="AE309" s="49" t="str">
        <f aca="false">IF(ISNUMBER($Q309), $AD309*1000/2^(($Q309-1.76)/6.02), "")</f>
        <v/>
      </c>
      <c r="AF309" s="49" t="n">
        <f aca="false">$AD309*1000/2^(($X309-1.76)/6.02)</f>
        <v>17.6511893264471</v>
      </c>
      <c r="AG309" s="31" t="str">
        <f aca="false">IF(ISNUMBER($Q309), $Q309+10*LOG10($AB309/2/$Y309), "")</f>
        <v/>
      </c>
      <c r="AH309" s="31" t="n">
        <f aca="false">IF($Y309&gt;0, $X309+10*LOG10($AB309/2/$Y309), 0)</f>
        <v>160.449551689349</v>
      </c>
      <c r="AI309" s="26" t="n">
        <f aca="false">AF309/AB309</f>
        <v>1.17674595509647E-008</v>
      </c>
      <c r="AJ309" s="53" t="n">
        <f aca="false">AH309+10*LOG10(AB309)</f>
        <v>252.210464279906</v>
      </c>
    </row>
    <row r="310" customFormat="false" ht="12.75" hidden="false" customHeight="false" outlineLevel="0" collapsed="false">
      <c r="A310" s="50" t="n">
        <v>2017</v>
      </c>
      <c r="B310" s="22" t="n">
        <v>28.6</v>
      </c>
      <c r="C310" s="34" t="s">
        <v>111</v>
      </c>
      <c r="D310" s="23" t="s">
        <v>112</v>
      </c>
      <c r="E310" s="94" t="n">
        <v>0.065</v>
      </c>
      <c r="F310" s="77" t="s">
        <v>1464</v>
      </c>
      <c r="G310" s="77" t="s">
        <v>1465</v>
      </c>
      <c r="H310" s="77" t="s">
        <v>1466</v>
      </c>
      <c r="I310" s="76" t="s">
        <v>1467</v>
      </c>
      <c r="J310" s="46" t="str">
        <f aca="false">IF(I310&lt;&gt;"?", HYPERLINK(CONCATENATE("https://doi.org/",I310)), "")</f>
        <v>https://doi.org/10.1109/ISSCC.2017.7870468</v>
      </c>
      <c r="K310" s="77" t="s">
        <v>117</v>
      </c>
      <c r="L310" s="54"/>
      <c r="M310" s="54"/>
      <c r="N310" s="54"/>
      <c r="P310" s="29" t="n">
        <v>0.34</v>
      </c>
      <c r="Q310" s="30" t="n">
        <v>77.8</v>
      </c>
      <c r="R310" s="48" t="n">
        <v>37500000</v>
      </c>
      <c r="S310" s="41" t="n">
        <v>70.8</v>
      </c>
      <c r="T310" s="41"/>
      <c r="U310" s="41"/>
      <c r="V310" s="41"/>
      <c r="W310" s="41" t="n">
        <v>89.6</v>
      </c>
      <c r="X310" s="49" t="n">
        <f aca="false">+IF(ISNUMBER($S310),$S310,MIN($V310,$T310,$U310,$W310))</f>
        <v>70.8</v>
      </c>
      <c r="Y310" s="26" t="n">
        <v>0.0249</v>
      </c>
      <c r="Z310" s="95" t="n">
        <v>75000000</v>
      </c>
      <c r="AA310" s="98" t="n">
        <v>1</v>
      </c>
      <c r="AB310" s="26" t="n">
        <f aca="false">Z310/AA310</f>
        <v>75000000</v>
      </c>
      <c r="AC310" s="26"/>
      <c r="AD310" s="51" t="n">
        <f aca="false">IF(AB310&gt;0, Y310/AB310*1000000000000, 0)</f>
        <v>332</v>
      </c>
      <c r="AE310" s="49" t="n">
        <f aca="false">IF(ISNUMBER($Q310), $AD310*1000/2^(($Q310-1.76)/6.02), "")</f>
        <v>52.3310202177101</v>
      </c>
      <c r="AF310" s="49" t="n">
        <f aca="false">$AD310*1000/2^(($X310-1.76)/6.02)</f>
        <v>117.163970356836</v>
      </c>
      <c r="AG310" s="31" t="n">
        <f aca="false">IF(ISNUMBER($Q310), $Q310+10*LOG10($AB310/2/$Y310), "")</f>
        <v>169.57831920632</v>
      </c>
      <c r="AH310" s="31" t="n">
        <f aca="false">IF($Y310&gt;0, $X310+10*LOG10($AB310/2/$Y310), 0)</f>
        <v>162.57831920632</v>
      </c>
      <c r="AI310" s="26" t="n">
        <f aca="false">AF310/AB310</f>
        <v>1.56218627142448E-006</v>
      </c>
      <c r="AJ310" s="53" t="n">
        <f aca="false">AH310+10*LOG10(AB310)</f>
        <v>241.328931840237</v>
      </c>
    </row>
    <row r="311" customFormat="false" ht="12.75" hidden="false" customHeight="false" outlineLevel="0" collapsed="false">
      <c r="A311" s="50" t="n">
        <v>2017</v>
      </c>
      <c r="B311" s="22" t="n">
        <v>28.7</v>
      </c>
      <c r="C311" s="34" t="s">
        <v>111</v>
      </c>
      <c r="D311" s="23" t="s">
        <v>994</v>
      </c>
      <c r="E311" s="94" t="n">
        <v>0.028</v>
      </c>
      <c r="F311" s="77" t="s">
        <v>1468</v>
      </c>
      <c r="G311" s="77" t="s">
        <v>1469</v>
      </c>
      <c r="H311" s="77" t="s">
        <v>1470</v>
      </c>
      <c r="I311" s="76" t="s">
        <v>1471</v>
      </c>
      <c r="J311" s="46" t="str">
        <f aca="false">IF(I311&lt;&gt;"?", HYPERLINK(CONCATENATE("https://doi.org/",I311)), "")</f>
        <v>https://doi.org/10.1109/ISSCC.2017.7870469</v>
      </c>
      <c r="K311" s="77" t="s">
        <v>117</v>
      </c>
      <c r="L311" s="54" t="n">
        <v>0.7</v>
      </c>
      <c r="M311" s="54"/>
      <c r="N311" s="54"/>
      <c r="P311" s="29" t="n">
        <v>0.097</v>
      </c>
      <c r="Q311" s="30" t="n">
        <v>62</v>
      </c>
      <c r="R311" s="48" t="n">
        <v>80000000</v>
      </c>
      <c r="S311" s="41" t="n">
        <v>61.1</v>
      </c>
      <c r="T311" s="41" t="n">
        <v>63</v>
      </c>
      <c r="U311" s="41"/>
      <c r="V311" s="41"/>
      <c r="W311" s="41" t="n">
        <v>72.7</v>
      </c>
      <c r="X311" s="49" t="n">
        <f aca="false">+IF(ISNUMBER($S311),$S311,MIN($V311,$T311,$U311,$W311))</f>
        <v>61.1</v>
      </c>
      <c r="Y311" s="26" t="n">
        <v>0.0019</v>
      </c>
      <c r="Z311" s="95" t="n">
        <v>160000000</v>
      </c>
      <c r="AA311" s="98" t="n">
        <v>1</v>
      </c>
      <c r="AB311" s="26" t="n">
        <f aca="false">Z311/AA311</f>
        <v>160000000</v>
      </c>
      <c r="AC311" s="26"/>
      <c r="AD311" s="51" t="n">
        <f aca="false">IF(AB311&gt;0, Y311/AB311*1000000000000, 0)</f>
        <v>11.875</v>
      </c>
      <c r="AE311" s="49" t="n">
        <f aca="false">IF(ISNUMBER($Q311), $AD311*1000/2^(($Q311-1.76)/6.02), "")</f>
        <v>11.5433924867247</v>
      </c>
      <c r="AF311" s="49" t="n">
        <f aca="false">$AD311*1000/2^(($X311-1.76)/6.02)</f>
        <v>12.8037724364029</v>
      </c>
      <c r="AG311" s="31" t="n">
        <f aca="false">IF(ISNUMBER($Q311), $Q311+10*LOG10($AB311/2/$Y311), "")</f>
        <v>168.243363860391</v>
      </c>
      <c r="AH311" s="31" t="n">
        <f aca="false">IF($Y311&gt;0, $X311+10*LOG10($AB311/2/$Y311), 0)</f>
        <v>167.343363860391</v>
      </c>
      <c r="AI311" s="26" t="n">
        <f aca="false">AF311/AB311</f>
        <v>8.00235777275178E-008</v>
      </c>
      <c r="AJ311" s="53" t="n">
        <f aca="false">AH311+10*LOG10(AB311)</f>
        <v>249.38456368695</v>
      </c>
    </row>
    <row r="312" customFormat="false" ht="12.75" hidden="false" customHeight="false" outlineLevel="0" collapsed="false">
      <c r="A312" s="50" t="n">
        <v>2017</v>
      </c>
      <c r="B312" s="22" t="n">
        <v>29.2</v>
      </c>
      <c r="C312" s="34" t="s">
        <v>111</v>
      </c>
      <c r="D312" s="23" t="s">
        <v>548</v>
      </c>
      <c r="E312" s="24" t="n">
        <v>0.02</v>
      </c>
      <c r="F312" s="77" t="s">
        <v>1472</v>
      </c>
      <c r="G312" s="77" t="s">
        <v>1473</v>
      </c>
      <c r="H312" s="77" t="s">
        <v>1474</v>
      </c>
      <c r="I312" s="76" t="s">
        <v>1475</v>
      </c>
      <c r="J312" s="46" t="str">
        <f aca="false">IF(I312&lt;&gt;"?", HYPERLINK(CONCATENATE("https://doi.org/",I312)), "")</f>
        <v>https://doi.org/10.1109/ISSCC.2017.7870472</v>
      </c>
      <c r="K312" s="77" t="s">
        <v>1476</v>
      </c>
      <c r="L312" s="54"/>
      <c r="M312" s="54"/>
      <c r="N312" s="54"/>
      <c r="P312" s="29" t="n">
        <v>0</v>
      </c>
      <c r="Q312" s="30" t="n">
        <f aca="false">6.3*6.02+1.76</f>
        <v>39.686</v>
      </c>
      <c r="R312" s="48" t="n">
        <v>8000000000</v>
      </c>
      <c r="S312" s="41" t="n">
        <f aca="false">5.95*6.02+1.76</f>
        <v>37.579</v>
      </c>
      <c r="T312" s="41"/>
      <c r="U312" s="41"/>
      <c r="V312" s="41"/>
      <c r="W312" s="41"/>
      <c r="X312" s="49" t="n">
        <f aca="false">+IF(ISNUMBER($S312),$S312,MIN($V312,$T312,$U312,$W312))</f>
        <v>37.579</v>
      </c>
      <c r="Y312" s="26" t="n">
        <v>0.95</v>
      </c>
      <c r="Z312" s="89" t="n">
        <v>64000000000</v>
      </c>
      <c r="AA312" s="87" t="n">
        <v>1</v>
      </c>
      <c r="AB312" s="26" t="n">
        <f aca="false">Z312/AA312</f>
        <v>64000000000</v>
      </c>
      <c r="AC312" s="26"/>
      <c r="AD312" s="51" t="n">
        <f aca="false">IF(AB312&gt;0, Y312/AB312*1000000000000, 0)</f>
        <v>14.84375</v>
      </c>
      <c r="AE312" s="49" t="n">
        <f aca="false">IF(ISNUMBER($Q312), $AD312*1000/2^(($Q312-1.76)/6.02), "")</f>
        <v>188.388617318951</v>
      </c>
      <c r="AF312" s="49" t="n">
        <f aca="false">$AD312*1000/2^(($X312-1.76)/6.02)</f>
        <v>240.112714269851</v>
      </c>
      <c r="AG312" s="31" t="n">
        <f aca="false">IF(ISNUMBER($Q312), $Q312+10*LOG10($AB312/2/$Y312), "")</f>
        <v>144.960263730311</v>
      </c>
      <c r="AH312" s="31" t="n">
        <f aca="false">IF($Y312&gt;0, $X312+10*LOG10($AB312/2/$Y312), 0)</f>
        <v>142.853263730311</v>
      </c>
      <c r="AI312" s="26" t="n">
        <f aca="false">AF312/AB312</f>
        <v>3.75176116046642E-009</v>
      </c>
      <c r="AJ312" s="53" t="n">
        <f aca="false">AH312+10*LOG10(AB312)</f>
        <v>250.915063470149</v>
      </c>
    </row>
    <row r="313" s="22" customFormat="true" ht="12.75" hidden="false" customHeight="false" outlineLevel="0" collapsed="false">
      <c r="A313" s="74" t="n">
        <v>2018</v>
      </c>
      <c r="B313" s="22" t="n">
        <v>5.7</v>
      </c>
      <c r="C313" s="22" t="s">
        <v>139</v>
      </c>
      <c r="D313" s="34" t="s">
        <v>112</v>
      </c>
      <c r="E313" s="22" t="n">
        <v>0.028</v>
      </c>
      <c r="F313" s="28" t="s">
        <v>1477</v>
      </c>
      <c r="G313" s="28" t="s">
        <v>1478</v>
      </c>
      <c r="H313" s="28" t="s">
        <v>1479</v>
      </c>
      <c r="I313" s="27" t="s">
        <v>1480</v>
      </c>
      <c r="J313" s="46" t="str">
        <f aca="false">IF(I313&lt;&gt;"?", HYPERLINK(CONCATENATE("https://doi.org/",I313)), "")</f>
        <v>https://doi.org/10.1109/ISSCC.2018.8310199</v>
      </c>
      <c r="K313" s="22" t="s">
        <v>117</v>
      </c>
      <c r="L313" s="99"/>
      <c r="M313" s="99"/>
      <c r="N313" s="99"/>
      <c r="P313" s="100" t="n">
        <v>0.011</v>
      </c>
      <c r="R313" s="26" t="n">
        <v>100000000</v>
      </c>
      <c r="S313" s="22" t="n">
        <v>37.7</v>
      </c>
      <c r="X313" s="49" t="n">
        <f aca="false">+IF(ISNUMBER($S313),$S313,MIN($V313,$T313,$U313,$W313))</f>
        <v>37.7</v>
      </c>
      <c r="Y313" s="26" t="n">
        <v>0.001</v>
      </c>
      <c r="Z313" s="95" t="n">
        <v>400000000</v>
      </c>
      <c r="AA313" s="101" t="n">
        <f aca="false">Z313/AB313</f>
        <v>2</v>
      </c>
      <c r="AB313" s="26" t="n">
        <v>200000000</v>
      </c>
      <c r="AC313" s="26"/>
      <c r="AD313" s="51" t="n">
        <f aca="false">IF(AB313&gt;0, Y313/AB313*1000000000000, 0)</f>
        <v>5</v>
      </c>
      <c r="AE313" s="49" t="str">
        <f aca="false">IF(ISNUMBER($Q313), $AD313*1000/2^(($Q313-1.76)/6.02), "")</f>
        <v/>
      </c>
      <c r="AF313" s="49" t="n">
        <f aca="false">$AD313*1000/2^(($X313-1.76)/6.02)</f>
        <v>79.761061882511</v>
      </c>
      <c r="AG313" s="31" t="str">
        <f aca="false">IF(ISNUMBER($Q313), $Q313+10*LOG10($AB313/2/$Y313), "")</f>
        <v/>
      </c>
      <c r="AH313" s="31" t="n">
        <f aca="false">IF($Y313&gt;0, $X313+10*LOG10($AB313/2/$Y313), 0)</f>
        <v>147.7</v>
      </c>
      <c r="AI313" s="26" t="n">
        <f aca="false">AF313/AB313</f>
        <v>3.98805309412555E-007</v>
      </c>
      <c r="AJ313" s="53" t="n">
        <f aca="false">AH313+10*LOG10(AB313)</f>
        <v>230.71029995664</v>
      </c>
    </row>
    <row r="314" customFormat="false" ht="12.75" hidden="false" customHeight="false" outlineLevel="0" collapsed="false">
      <c r="A314" s="32" t="n">
        <v>2018</v>
      </c>
      <c r="B314" s="22" t="n">
        <v>14.1</v>
      </c>
      <c r="C314" s="34" t="s">
        <v>139</v>
      </c>
      <c r="D314" s="23" t="s">
        <v>173</v>
      </c>
      <c r="E314" s="94" t="n">
        <v>0.028</v>
      </c>
      <c r="F314" s="75" t="s">
        <v>1481</v>
      </c>
      <c r="G314" s="86" t="s">
        <v>1482</v>
      </c>
      <c r="H314" s="86" t="s">
        <v>1483</v>
      </c>
      <c r="I314" s="76" t="s">
        <v>1484</v>
      </c>
      <c r="J314" s="46" t="str">
        <f aca="false">IF(I314&lt;&gt;"?", HYPERLINK(CONCATENATE("https://doi.org/",I314)), "")</f>
        <v>https://doi.org/10.1109/ISSCC.2018.8310268</v>
      </c>
      <c r="K314" s="28" t="s">
        <v>117</v>
      </c>
      <c r="L314" s="99"/>
      <c r="M314" s="99"/>
      <c r="N314" s="99"/>
      <c r="P314" s="29" t="n">
        <v>0.25</v>
      </c>
      <c r="R314" s="48" t="n">
        <v>50000000</v>
      </c>
      <c r="S314" s="41" t="n">
        <v>79.8</v>
      </c>
      <c r="T314" s="41" t="n">
        <v>80</v>
      </c>
      <c r="U314" s="41" t="n">
        <v>82.8</v>
      </c>
      <c r="V314" s="41" t="n">
        <v>94.1</v>
      </c>
      <c r="W314" s="41"/>
      <c r="X314" s="49" t="n">
        <f aca="false">+IF(ISNUMBER($S314),$S314,MIN($V314,$T314,$U314,$W314))</f>
        <v>79.8</v>
      </c>
      <c r="Y314" s="26" t="n">
        <v>0.0643</v>
      </c>
      <c r="Z314" s="95" t="n">
        <v>2000000000</v>
      </c>
      <c r="AA314" s="98" t="n">
        <f aca="false">Z314/AB314</f>
        <v>20</v>
      </c>
      <c r="AB314" s="26" t="n">
        <v>100000000</v>
      </c>
      <c r="AC314" s="26"/>
      <c r="AD314" s="51" t="n">
        <f aca="false">IF(AB314&gt;0, Y314/AB314*1000000000000, 0)</f>
        <v>643</v>
      </c>
      <c r="AE314" s="49" t="str">
        <f aca="false">IF(ISNUMBER($Q314), $AD314*1000/2^(($Q314-1.76)/6.02), "")</f>
        <v/>
      </c>
      <c r="AF314" s="49" t="n">
        <f aca="false">$AD314*1000/2^(($X314-1.76)/6.02)</f>
        <v>80.5048648910252</v>
      </c>
      <c r="AG314" s="31" t="str">
        <f aca="false">IF(ISNUMBER($Q314), $Q314+10*LOG10($AB314/2/$Y314), "")</f>
        <v/>
      </c>
      <c r="AH314" s="31" t="n">
        <f aca="false">IF($Y314&gt;0, $X314+10*LOG10($AB314/2/$Y314), 0)</f>
        <v>168.707590314118</v>
      </c>
      <c r="AI314" s="26" t="n">
        <f aca="false">AF314/AB314</f>
        <v>8.05048648910252E-007</v>
      </c>
      <c r="AJ314" s="53" t="n">
        <f aca="false">AH314+10*LOG10(AB314)</f>
        <v>248.707590314118</v>
      </c>
    </row>
    <row r="315" customFormat="false" ht="12.75" hidden="false" customHeight="false" outlineLevel="0" collapsed="false">
      <c r="A315" s="32" t="n">
        <v>2018</v>
      </c>
      <c r="B315" s="22" t="n">
        <v>14.2</v>
      </c>
      <c r="C315" s="34" t="s">
        <v>139</v>
      </c>
      <c r="D315" s="23" t="s">
        <v>173</v>
      </c>
      <c r="E315" s="24" t="n">
        <v>0.04</v>
      </c>
      <c r="F315" s="75" t="s">
        <v>1485</v>
      </c>
      <c r="G315" s="86" t="s">
        <v>1486</v>
      </c>
      <c r="H315" s="86" t="s">
        <v>1487</v>
      </c>
      <c r="I315" s="76" t="s">
        <v>1488</v>
      </c>
      <c r="J315" s="46" t="str">
        <f aca="false">IF(I315&lt;&gt;"?", HYPERLINK(CONCATENATE("https://doi.org/",I315)), "")</f>
        <v>https://doi.org/10.1109/ISSCC.2018.8310269</v>
      </c>
      <c r="K315" s="28" t="s">
        <v>117</v>
      </c>
      <c r="L315" s="99"/>
      <c r="M315" s="99"/>
      <c r="N315" s="99"/>
      <c r="P315" s="29" t="n">
        <v>0.053</v>
      </c>
      <c r="R315" s="48" t="n">
        <v>1000</v>
      </c>
      <c r="S315" s="41" t="n">
        <v>93.5</v>
      </c>
      <c r="T315" s="41" t="n">
        <v>94.3</v>
      </c>
      <c r="U315" s="41" t="n">
        <v>103</v>
      </c>
      <c r="V315" s="41"/>
      <c r="W315" s="41" t="n">
        <v>106</v>
      </c>
      <c r="X315" s="49" t="n">
        <f aca="false">+IF(ISNUMBER($S315),$S315,MIN($V315,$T315,$U315,$W315))</f>
        <v>93.5</v>
      </c>
      <c r="Y315" s="26" t="n">
        <v>4.5E-006</v>
      </c>
      <c r="Z315" s="95" t="n">
        <f aca="false">AA315*AB315</f>
        <v>400000</v>
      </c>
      <c r="AA315" s="98" t="n">
        <v>40</v>
      </c>
      <c r="AB315" s="26" t="n">
        <v>10000</v>
      </c>
      <c r="AC315" s="26"/>
      <c r="AD315" s="51" t="n">
        <f aca="false">IF(AB315&gt;0, Y315/AB315*1000000000000, 0)</f>
        <v>450</v>
      </c>
      <c r="AE315" s="49" t="str">
        <f aca="false">IF(ISNUMBER($Q315), $AD315*1000/2^(($Q315-1.76)/6.02), "")</f>
        <v/>
      </c>
      <c r="AF315" s="49" t="n">
        <f aca="false">$AD315*1000/2^(($X315-1.76)/6.02)</f>
        <v>11.6347057400447</v>
      </c>
      <c r="AG315" s="31" t="str">
        <f aca="false">IF(ISNUMBER($Q315), $Q315+10*LOG10($AB315/2/$Y315), "")</f>
        <v/>
      </c>
      <c r="AH315" s="31" t="n">
        <f aca="false">IF($Y315&gt;0, $X315+10*LOG10($AB315/2/$Y315), 0)</f>
        <v>183.957574905607</v>
      </c>
      <c r="AI315" s="26" t="n">
        <f aca="false">AF315/AB315</f>
        <v>0.00116347057400447</v>
      </c>
      <c r="AJ315" s="53" t="n">
        <f aca="false">AH315+10*LOG10(AB315)</f>
        <v>223.957574905607</v>
      </c>
    </row>
    <row r="316" customFormat="false" ht="12.75" hidden="false" customHeight="false" outlineLevel="0" collapsed="false">
      <c r="A316" s="32" t="n">
        <v>2018</v>
      </c>
      <c r="B316" s="22" t="n">
        <v>14.3</v>
      </c>
      <c r="C316" s="34" t="s">
        <v>139</v>
      </c>
      <c r="D316" s="23" t="s">
        <v>112</v>
      </c>
      <c r="E316" s="24" t="n">
        <v>0.04</v>
      </c>
      <c r="F316" s="75" t="s">
        <v>1489</v>
      </c>
      <c r="G316" s="102" t="s">
        <v>1490</v>
      </c>
      <c r="H316" s="86" t="s">
        <v>1491</v>
      </c>
      <c r="I316" s="76" t="s">
        <v>1492</v>
      </c>
      <c r="J316" s="46" t="str">
        <f aca="false">IF(I316&lt;&gt;"?", HYPERLINK(CONCATENATE("https://doi.org/",I316)), "")</f>
        <v>https://doi.org/10.1109/ISSCC.2018.8310270</v>
      </c>
      <c r="K316" s="77" t="s">
        <v>1493</v>
      </c>
      <c r="L316" s="54"/>
      <c r="M316" s="54"/>
      <c r="N316" s="54"/>
      <c r="P316" s="29" t="n">
        <v>0.024</v>
      </c>
      <c r="R316" s="48" t="n">
        <v>625000</v>
      </c>
      <c r="S316" s="41" t="n">
        <v>79</v>
      </c>
      <c r="T316" s="41"/>
      <c r="U316" s="41" t="n">
        <v>80.5</v>
      </c>
      <c r="V316" s="41"/>
      <c r="W316" s="41" t="n">
        <v>89</v>
      </c>
      <c r="X316" s="49" t="n">
        <f aca="false">+IF(ISNUMBER($S316),$S316,MIN($V316,$T316,$U316,$W316))</f>
        <v>79</v>
      </c>
      <c r="Y316" s="26" t="n">
        <v>8.4E-005</v>
      </c>
      <c r="Z316" s="95" t="n">
        <v>10000000</v>
      </c>
      <c r="AA316" s="98" t="n">
        <v>8</v>
      </c>
      <c r="AB316" s="26" t="n">
        <f aca="false">Z316/AA316</f>
        <v>1250000</v>
      </c>
      <c r="AC316" s="26"/>
      <c r="AD316" s="51" t="n">
        <f aca="false">IF(AB316&gt;0, Y316/AB316*1000000000000, 0)</f>
        <v>67.2</v>
      </c>
      <c r="AE316" s="49" t="str">
        <f aca="false">IF(ISNUMBER($Q316), $AD316*1000/2^(($Q316-1.76)/6.02), "")</f>
        <v/>
      </c>
      <c r="AF316" s="49" t="n">
        <f aca="false">$AD316*1000/2^(($X316-1.76)/6.02)</f>
        <v>9.22538313628786</v>
      </c>
      <c r="AG316" s="31" t="str">
        <f aca="false">IF(ISNUMBER($Q316), $Q316+10*LOG10($AB316/2/$Y316), "")</f>
        <v/>
      </c>
      <c r="AH316" s="31" t="n">
        <f aca="false">IF($Y316&gt;0, $X316+10*LOG10($AB316/2/$Y316), 0)</f>
        <v>177.716007312822</v>
      </c>
      <c r="AI316" s="26" t="n">
        <f aca="false">AF316/AB316</f>
        <v>7.38030650903029E-006</v>
      </c>
      <c r="AJ316" s="53" t="n">
        <f aca="false">AH316+10*LOG10(AB316)</f>
        <v>238.685107442903</v>
      </c>
    </row>
    <row r="317" customFormat="false" ht="12.75" hidden="false" customHeight="false" outlineLevel="0" collapsed="false">
      <c r="A317" s="32" t="n">
        <v>2018</v>
      </c>
      <c r="B317" s="22" t="n">
        <v>14.4</v>
      </c>
      <c r="C317" s="34" t="s">
        <v>139</v>
      </c>
      <c r="D317" s="23" t="s">
        <v>1153</v>
      </c>
      <c r="E317" s="24" t="n">
        <v>0.18</v>
      </c>
      <c r="F317" s="75" t="s">
        <v>1494</v>
      </c>
      <c r="G317" s="86" t="s">
        <v>1495</v>
      </c>
      <c r="H317" s="86" t="s">
        <v>1496</v>
      </c>
      <c r="I317" s="76" t="s">
        <v>1497</v>
      </c>
      <c r="J317" s="46" t="str">
        <f aca="false">IF(I317&lt;&gt;"?", HYPERLINK(CONCATENATE("https://doi.org/",I317)), "")</f>
        <v>https://doi.org/10.1109/ISSCC.2018.8310271</v>
      </c>
      <c r="K317" s="77" t="s">
        <v>117</v>
      </c>
      <c r="L317" s="54" t="n">
        <v>3</v>
      </c>
      <c r="M317" s="54"/>
      <c r="N317" s="54"/>
      <c r="O317" s="22" t="n">
        <v>0.7</v>
      </c>
      <c r="P317" s="29" t="n">
        <v>0.363</v>
      </c>
      <c r="R317" s="48" t="n">
        <v>100000</v>
      </c>
      <c r="S317" s="41" t="n">
        <v>86.6</v>
      </c>
      <c r="T317" s="41" t="n">
        <v>88.2</v>
      </c>
      <c r="U317" s="41" t="n">
        <v>91.5</v>
      </c>
      <c r="V317" s="41"/>
      <c r="W317" s="41" t="n">
        <v>101.3</v>
      </c>
      <c r="X317" s="49" t="n">
        <f aca="false">+IF(ISNUMBER($S317),$S317,MIN($V317,$T317,$U317,$W317))</f>
        <v>86.6</v>
      </c>
      <c r="Y317" s="26" t="n">
        <v>0.0011</v>
      </c>
      <c r="Z317" s="95" t="n">
        <v>30000000</v>
      </c>
      <c r="AA317" s="98" t="n">
        <f aca="false">Z317/AB317</f>
        <v>150</v>
      </c>
      <c r="AB317" s="26" t="n">
        <v>200000</v>
      </c>
      <c r="AC317" s="26"/>
      <c r="AD317" s="51" t="n">
        <f aca="false">IF(AB317&gt;0, Y317/AB317*1000000000000, 0)</f>
        <v>5500</v>
      </c>
      <c r="AE317" s="49" t="str">
        <f aca="false">IF(ISNUMBER($Q317), $AD317*1000/2^(($Q317-1.76)/6.02), "")</f>
        <v/>
      </c>
      <c r="AF317" s="49" t="n">
        <f aca="false">$AD317*1000/2^(($X317-1.76)/6.02)</f>
        <v>314.731317606689</v>
      </c>
      <c r="AG317" s="31" t="str">
        <f aca="false">IF(ISNUMBER($Q317), $Q317+10*LOG10($AB317/2/$Y317), "")</f>
        <v/>
      </c>
      <c r="AH317" s="31" t="n">
        <f aca="false">IF($Y317&gt;0, $X317+10*LOG10($AB317/2/$Y317), 0)</f>
        <v>166.186073148418</v>
      </c>
      <c r="AI317" s="26" t="n">
        <f aca="false">AF317/AB317</f>
        <v>0.00157365658803344</v>
      </c>
      <c r="AJ317" s="53" t="n">
        <f aca="false">AH317+10*LOG10(AB317)</f>
        <v>219.196373105058</v>
      </c>
    </row>
    <row r="318" customFormat="false" ht="12.75" hidden="false" customHeight="false" outlineLevel="0" collapsed="false">
      <c r="A318" s="32" t="n">
        <v>2018</v>
      </c>
      <c r="B318" s="22" t="n">
        <v>14.5</v>
      </c>
      <c r="C318" s="34" t="s">
        <v>139</v>
      </c>
      <c r="D318" s="23" t="s">
        <v>145</v>
      </c>
      <c r="E318" s="24" t="n">
        <v>0.16</v>
      </c>
      <c r="F318" s="75" t="s">
        <v>1498</v>
      </c>
      <c r="G318" s="86" t="s">
        <v>1499</v>
      </c>
      <c r="H318" s="86" t="s">
        <v>1500</v>
      </c>
      <c r="I318" s="76" t="s">
        <v>1501</v>
      </c>
      <c r="J318" s="46" t="str">
        <f aca="false">IF(I318&lt;&gt;"?", HYPERLINK(CONCATENATE("https://doi.org/",I318)), "")</f>
        <v>https://doi.org/10.1109/ISSCC.2018.8310272</v>
      </c>
      <c r="K318" s="28" t="s">
        <v>117</v>
      </c>
      <c r="L318" s="99"/>
      <c r="M318" s="99"/>
      <c r="N318" s="99"/>
      <c r="O318" s="22" t="n">
        <v>13</v>
      </c>
      <c r="P318" s="29" t="n">
        <v>0.25</v>
      </c>
      <c r="R318" s="48" t="n">
        <v>1000</v>
      </c>
      <c r="S318" s="41" t="n">
        <v>118.1</v>
      </c>
      <c r="T318" s="41" t="n">
        <v>119.1</v>
      </c>
      <c r="U318" s="41" t="n">
        <v>120.3</v>
      </c>
      <c r="V318" s="41" t="n">
        <v>125.9</v>
      </c>
      <c r="W318" s="41"/>
      <c r="X318" s="49" t="n">
        <f aca="false">+IF(ISNUMBER($S318),$S318,MIN($V318,$T318,$U318,$W318))</f>
        <v>118.1</v>
      </c>
      <c r="Y318" s="26" t="n">
        <v>0.0002781</v>
      </c>
      <c r="Z318" s="95" t="n">
        <v>2000000</v>
      </c>
      <c r="AA318" s="98" t="n">
        <f aca="false">Z318/AB318</f>
        <v>1000</v>
      </c>
      <c r="AB318" s="26" t="n">
        <v>2000</v>
      </c>
      <c r="AC318" s="26"/>
      <c r="AD318" s="51" t="n">
        <f aca="false">IF(AB318&gt;0, Y318/AB318*1000000000000, 0)</f>
        <v>139050</v>
      </c>
      <c r="AE318" s="49" t="str">
        <f aca="false">IF(ISNUMBER($Q318), $AD318*1000/2^(($Q318-1.76)/6.02), "")</f>
        <v/>
      </c>
      <c r="AF318" s="49" t="n">
        <f aca="false">$AD318*1000/2^(($X318-1.76)/6.02)</f>
        <v>211.636860077339</v>
      </c>
      <c r="AG318" s="31" t="str">
        <f aca="false">IF(ISNUMBER($Q318), $Q318+10*LOG10($AB318/2/$Y318), "")</f>
        <v/>
      </c>
      <c r="AH318" s="31" t="n">
        <f aca="false">IF($Y318&gt;0, $X318+10*LOG10($AB318/2/$Y318), 0)</f>
        <v>183.657990111358</v>
      </c>
      <c r="AI318" s="26" t="n">
        <f aca="false">AF318/AB318</f>
        <v>0.10581843003867</v>
      </c>
      <c r="AJ318" s="53" t="n">
        <f aca="false">AH318+10*LOG10(AB318)</f>
        <v>216.668290067998</v>
      </c>
    </row>
    <row r="319" customFormat="false" ht="12.75" hidden="false" customHeight="false" outlineLevel="0" collapsed="false">
      <c r="A319" s="32" t="n">
        <v>2018</v>
      </c>
      <c r="B319" s="22" t="n">
        <v>14.6</v>
      </c>
      <c r="C319" s="34" t="s">
        <v>111</v>
      </c>
      <c r="D319" s="23" t="s">
        <v>112</v>
      </c>
      <c r="E319" s="24" t="n">
        <v>0.09</v>
      </c>
      <c r="F319" s="75" t="s">
        <v>1502</v>
      </c>
      <c r="G319" s="86" t="s">
        <v>1503</v>
      </c>
      <c r="H319" s="86" t="s">
        <v>1504</v>
      </c>
      <c r="I319" s="76" t="s">
        <v>1505</v>
      </c>
      <c r="J319" s="46" t="str">
        <f aca="false">IF(I319&lt;&gt;"?", HYPERLINK(CONCATENATE("https://doi.org/",I319)), "")</f>
        <v>https://doi.org/10.1109/ISSCC.2018.8310273</v>
      </c>
      <c r="K319" s="28" t="s">
        <v>117</v>
      </c>
      <c r="L319" s="99"/>
      <c r="M319" s="99"/>
      <c r="N319" s="99"/>
      <c r="O319" s="22" t="n">
        <v>2.8</v>
      </c>
      <c r="P319" s="29" t="n">
        <v>0.059</v>
      </c>
      <c r="R319" s="48" t="n">
        <v>135000</v>
      </c>
      <c r="S319" s="41" t="n">
        <v>73.57</v>
      </c>
      <c r="T319" s="41"/>
      <c r="U319" s="41"/>
      <c r="V319" s="41"/>
      <c r="W319" s="41" t="n">
        <v>90.38</v>
      </c>
      <c r="X319" s="49" t="n">
        <f aca="false">+IF(ISNUMBER($S319),$S319,MIN($V319,$T319,$U319,$W319))</f>
        <v>73.57</v>
      </c>
      <c r="Y319" s="26" t="n">
        <v>6.38E-007</v>
      </c>
      <c r="Z319" s="95" t="n">
        <v>270000</v>
      </c>
      <c r="AA319" s="98" t="n">
        <v>1</v>
      </c>
      <c r="AB319" s="26" t="n">
        <f aca="false">Z319/AA319</f>
        <v>270000</v>
      </c>
      <c r="AC319" s="26"/>
      <c r="AD319" s="51" t="n">
        <f aca="false">IF(AB319&gt;0, Y319/AB319*1000000000000, 0)</f>
        <v>2.36296296296296</v>
      </c>
      <c r="AE319" s="49" t="str">
        <f aca="false">IF(ISNUMBER($Q319), $AD319*1000/2^(($Q319-1.76)/6.02), "")</f>
        <v/>
      </c>
      <c r="AF319" s="49" t="n">
        <f aca="false">$AD319*1000/2^(($X319-1.76)/6.02)</f>
        <v>0.606176518609623</v>
      </c>
      <c r="AG319" s="31" t="str">
        <f aca="false">IF(ISNUMBER($Q319), $Q319+10*LOG10($AB319/2/$Y319), "")</f>
        <v/>
      </c>
      <c r="AH319" s="31" t="n">
        <f aca="false">IF($Y319&gt;0, $X319+10*LOG10($AB319/2/$Y319), 0)</f>
        <v>186.825130897738</v>
      </c>
      <c r="AI319" s="26" t="n">
        <f aca="false">AF319/AB319</f>
        <v>2.24509821707268E-006</v>
      </c>
      <c r="AJ319" s="53" t="n">
        <f aca="false">AH319+10*LOG10(AB319)</f>
        <v>241.138768539328</v>
      </c>
    </row>
    <row r="320" customFormat="false" ht="12.75" hidden="false" customHeight="false" outlineLevel="0" collapsed="false">
      <c r="A320" s="32" t="n">
        <v>2018</v>
      </c>
      <c r="B320" s="22" t="n">
        <v>14.7</v>
      </c>
      <c r="C320" s="34" t="s">
        <v>111</v>
      </c>
      <c r="D320" s="23" t="s">
        <v>1506</v>
      </c>
      <c r="E320" s="24" t="n">
        <v>0.18</v>
      </c>
      <c r="F320" s="75" t="s">
        <v>1507</v>
      </c>
      <c r="G320" s="86" t="s">
        <v>1508</v>
      </c>
      <c r="H320" s="86" t="s">
        <v>1509</v>
      </c>
      <c r="I320" s="76" t="s">
        <v>1510</v>
      </c>
      <c r="J320" s="46" t="str">
        <f aca="false">IF(I320&lt;&gt;"?", HYPERLINK(CONCATENATE("https://doi.org/",I320)), "")</f>
        <v>https://doi.org/10.1109/ISSCC.2018.8310274</v>
      </c>
      <c r="K320" s="77" t="s">
        <v>1511</v>
      </c>
      <c r="L320" s="54"/>
      <c r="M320" s="54"/>
      <c r="N320" s="54"/>
      <c r="P320" s="2" t="n">
        <v>4</v>
      </c>
      <c r="R320" s="48" t="n">
        <v>1000</v>
      </c>
      <c r="S320" s="41" t="n">
        <v>101.5</v>
      </c>
      <c r="T320" s="41"/>
      <c r="U320" s="41" t="n">
        <v>102.7</v>
      </c>
      <c r="V320" s="41"/>
      <c r="W320" s="41"/>
      <c r="X320" s="49" t="n">
        <f aca="false">+IF(ISNUMBER($S320),$S320,MIN($V320,$T320,$U320,$W320))</f>
        <v>101.5</v>
      </c>
      <c r="Y320" s="26" t="n">
        <v>0.0197</v>
      </c>
      <c r="Z320" s="95" t="n">
        <v>1000000</v>
      </c>
      <c r="AA320" s="98" t="n">
        <v>1</v>
      </c>
      <c r="AB320" s="26" t="n">
        <f aca="false">Z320/AA320</f>
        <v>1000000</v>
      </c>
      <c r="AC320" s="26"/>
      <c r="AD320" s="51" t="n">
        <f aca="false">IF(AB320&gt;0, Y320/AB320*1000000000000, 0)</f>
        <v>19700</v>
      </c>
      <c r="AE320" s="49" t="str">
        <f aca="false">IF(ISNUMBER($Q320), $AD320*1000/2^(($Q320-1.76)/6.02), "")</f>
        <v/>
      </c>
      <c r="AF320" s="49" t="n">
        <f aca="false">$AD320*1000/2^(($X320-1.76)/6.02)</f>
        <v>202.753917802422</v>
      </c>
      <c r="AG320" s="31" t="str">
        <f aca="false">IF(ISNUMBER($Q320), $Q320+10*LOG10($AB320/2/$Y320), "")</f>
        <v/>
      </c>
      <c r="AH320" s="31" t="n">
        <f aca="false">IF($Y320&gt;0, $X320+10*LOG10($AB320/2/$Y320), 0)</f>
        <v>175.545037781744</v>
      </c>
      <c r="AI320" s="26" t="n">
        <f aca="false">AF320/AB320</f>
        <v>0.000202753917802422</v>
      </c>
      <c r="AJ320" s="53" t="n">
        <f aca="false">AH320+10*LOG10(AB320)</f>
        <v>235.545037781744</v>
      </c>
    </row>
    <row r="321" customFormat="false" ht="12.75" hidden="false" customHeight="false" outlineLevel="0" collapsed="false">
      <c r="A321" s="32" t="n">
        <v>2018</v>
      </c>
      <c r="B321" s="22" t="n">
        <v>17.3</v>
      </c>
      <c r="C321" s="22" t="s">
        <v>139</v>
      </c>
      <c r="D321" s="23" t="s">
        <v>145</v>
      </c>
      <c r="E321" s="94" t="n">
        <v>0.065</v>
      </c>
      <c r="F321" s="75" t="s">
        <v>1512</v>
      </c>
      <c r="G321" s="86" t="s">
        <v>1513</v>
      </c>
      <c r="H321" s="86" t="s">
        <v>1514</v>
      </c>
      <c r="I321" s="76" t="s">
        <v>1515</v>
      </c>
      <c r="J321" s="46" t="str">
        <f aca="false">IF(I321&lt;&gt;"?", HYPERLINK(CONCATENATE("https://doi.org/",I321)), "")</f>
        <v>https://doi.org/10.1109/ISSCC.2018.8310295</v>
      </c>
      <c r="K321" s="77" t="s">
        <v>117</v>
      </c>
      <c r="L321" s="54"/>
      <c r="M321" s="54"/>
      <c r="N321" s="54"/>
      <c r="P321" s="29" t="n">
        <v>0</v>
      </c>
      <c r="R321" s="26" t="n">
        <v>3000</v>
      </c>
      <c r="S321" s="30" t="n">
        <v>60</v>
      </c>
      <c r="T321" s="54" t="n">
        <v>64</v>
      </c>
      <c r="X321" s="49" t="n">
        <f aca="false">+IF(ISNUMBER($S321),$S321,MIN($V321,$T321,$U321,$W321))</f>
        <v>60</v>
      </c>
      <c r="Y321" s="26" t="n">
        <v>1.8E-007</v>
      </c>
      <c r="Z321" s="95" t="n">
        <v>256000</v>
      </c>
      <c r="AA321" s="97" t="n">
        <f aca="false">Z321/AB321</f>
        <v>42.6666666666667</v>
      </c>
      <c r="AB321" s="26" t="n">
        <f aca="false">6000</f>
        <v>6000</v>
      </c>
      <c r="AC321" s="26"/>
      <c r="AD321" s="51" t="n">
        <f aca="false">IF(AB321&gt;0, Y321/AB321*1000000000000, 0)</f>
        <v>30</v>
      </c>
      <c r="AE321" s="49" t="str">
        <f aca="false">IF(ISNUMBER($Q321), $AD321*1000/2^(($Q321-1.76)/6.02), "")</f>
        <v/>
      </c>
      <c r="AF321" s="49" t="n">
        <f aca="false">$AD321*1000/2^(($X321-1.76)/6.02)</f>
        <v>36.7139459410685</v>
      </c>
      <c r="AG321" s="31" t="str">
        <f aca="false">IF(ISNUMBER($Q321), $Q321+10*LOG10($AB321/2/$Y321), "")</f>
        <v/>
      </c>
      <c r="AH321" s="31" t="n">
        <f aca="false">IF($Y321&gt;0, $X321+10*LOG10($AB321/2/$Y321), 0)</f>
        <v>162.218487496164</v>
      </c>
      <c r="AI321" s="26" t="n">
        <f aca="false">AF321/AB321</f>
        <v>0.00611899099017809</v>
      </c>
      <c r="AJ321" s="53" t="n">
        <f aca="false">AH321+10*LOG10(AB321)</f>
        <v>200</v>
      </c>
    </row>
    <row r="322" customFormat="false" ht="12.75" hidden="false" customHeight="false" outlineLevel="0" collapsed="false">
      <c r="A322" s="32" t="n">
        <v>2018</v>
      </c>
      <c r="B322" s="22" t="n">
        <v>17.5</v>
      </c>
      <c r="C322" s="34" t="s">
        <v>139</v>
      </c>
      <c r="D322" s="23" t="s">
        <v>145</v>
      </c>
      <c r="E322" s="24" t="n">
        <v>0.13</v>
      </c>
      <c r="F322" s="75" t="s">
        <v>1516</v>
      </c>
      <c r="G322" s="86" t="s">
        <v>1517</v>
      </c>
      <c r="H322" s="86" t="s">
        <v>1518</v>
      </c>
      <c r="I322" s="76" t="s">
        <v>1519</v>
      </c>
      <c r="J322" s="46" t="str">
        <f aca="false">IF(I322&lt;&gt;"?", HYPERLINK(CONCATENATE("https://doi.org/",I322)), "")</f>
        <v>https://doi.org/10.1109/ISSCC.2018.8310297</v>
      </c>
      <c r="K322" s="77" t="s">
        <v>117</v>
      </c>
      <c r="L322" s="30"/>
      <c r="M322" s="30"/>
      <c r="N322" s="30"/>
      <c r="P322" s="2" t="n">
        <v>0.0039</v>
      </c>
      <c r="R322" s="26" t="n">
        <v>5000</v>
      </c>
      <c r="S322" s="30" t="n">
        <v>50.3</v>
      </c>
      <c r="X322" s="49" t="n">
        <f aca="false">+IF(ISNUMBER($S322),$S322,MIN($V322,$T322,$U322,$W322))</f>
        <v>50.3</v>
      </c>
      <c r="Y322" s="26" t="n">
        <v>5E-008</v>
      </c>
      <c r="Z322" s="95" t="n">
        <v>846000</v>
      </c>
      <c r="AA322" s="97" t="n">
        <f aca="false">Z322/AB322</f>
        <v>84.6</v>
      </c>
      <c r="AB322" s="26" t="n">
        <v>10000</v>
      </c>
      <c r="AC322" s="26"/>
      <c r="AD322" s="51" t="n">
        <f aca="false">IF(AB322&gt;0, Y322/AB322*1000000000000, 0)</f>
        <v>5</v>
      </c>
      <c r="AE322" s="49" t="str">
        <f aca="false">IF(ISNUMBER($Q322), $AD322*1000/2^(($Q322-1.76)/6.02), "")</f>
        <v/>
      </c>
      <c r="AF322" s="49" t="n">
        <f aca="false">$AD322*1000/2^(($X322-1.76)/6.02)</f>
        <v>18.6951151988299</v>
      </c>
      <c r="AG322" s="31" t="str">
        <f aca="false">IF(ISNUMBER($Q322), $Q322+10*LOG10($AB322/2/$Y322), "")</f>
        <v/>
      </c>
      <c r="AH322" s="31" t="n">
        <f aca="false">IF($Y322&gt;0, $X322+10*LOG10($AB322/2/$Y322), 0)</f>
        <v>160.3</v>
      </c>
      <c r="AI322" s="26" t="n">
        <f aca="false">AF322/AB322</f>
        <v>0.00186951151988299</v>
      </c>
      <c r="AJ322" s="53" t="n">
        <f aca="false">AH322+10*LOG10(AB322)</f>
        <v>200.3</v>
      </c>
    </row>
    <row r="323" customFormat="false" ht="12.75" hidden="false" customHeight="false" outlineLevel="0" collapsed="false">
      <c r="A323" s="32" t="n">
        <v>2018</v>
      </c>
      <c r="B323" s="22" t="n">
        <v>22.1</v>
      </c>
      <c r="C323" s="34" t="s">
        <v>111</v>
      </c>
      <c r="D323" s="23" t="s">
        <v>548</v>
      </c>
      <c r="E323" s="94" t="n">
        <v>0.014</v>
      </c>
      <c r="F323" s="75" t="s">
        <v>1520</v>
      </c>
      <c r="G323" s="86" t="s">
        <v>1521</v>
      </c>
      <c r="H323" s="86" t="s">
        <v>1522</v>
      </c>
      <c r="I323" s="76" t="s">
        <v>1523</v>
      </c>
      <c r="J323" s="46" t="str">
        <f aca="false">IF(I323&lt;&gt;"?", HYPERLINK(CONCATENATE("https://doi.org/",I323)), "")</f>
        <v>https://doi.org/10.1109/ISSCC.2018.8310332</v>
      </c>
      <c r="K323" s="77" t="s">
        <v>1524</v>
      </c>
      <c r="L323" s="54"/>
      <c r="M323" s="54"/>
      <c r="N323" s="54"/>
      <c r="P323" s="29" t="n">
        <f aca="false">0.25*0.59</f>
        <v>0.1475</v>
      </c>
      <c r="Q323" s="30" t="n">
        <v>39.3</v>
      </c>
      <c r="R323" s="48" t="n">
        <v>20000000000</v>
      </c>
      <c r="S323" s="41" t="n">
        <v>34.2</v>
      </c>
      <c r="T323" s="41"/>
      <c r="U323" s="41"/>
      <c r="V323" s="41" t="n">
        <v>45.7</v>
      </c>
      <c r="W323" s="41" t="n">
        <v>44.12</v>
      </c>
      <c r="X323" s="49" t="n">
        <f aca="false">+IF(ISNUMBER($S323),$S323,MIN($V323,$T323,$U323,$W323))</f>
        <v>34.2</v>
      </c>
      <c r="Y323" s="26" t="n">
        <v>0.235</v>
      </c>
      <c r="Z323" s="95" t="n">
        <v>72000000000</v>
      </c>
      <c r="AA323" s="98" t="n">
        <v>1</v>
      </c>
      <c r="AB323" s="26" t="n">
        <f aca="false">Z323/AA323</f>
        <v>72000000000</v>
      </c>
      <c r="AC323" s="26"/>
      <c r="AD323" s="51" t="n">
        <f aca="false">IF(AB323&gt;0, Y323/AB323*1000000000000, 0)</f>
        <v>3.26388888888889</v>
      </c>
      <c r="AE323" s="49" t="n">
        <f aca="false">IF(ISNUMBER($Q323), $AD323*1000/2^(($Q323-1.76)/6.02), "")</f>
        <v>43.3060244213102</v>
      </c>
      <c r="AF323" s="49" t="n">
        <f aca="false">$AD323*1000/2^(($X323-1.76)/6.02)</f>
        <v>77.9065061440264</v>
      </c>
      <c r="AG323" s="31" t="n">
        <f aca="false">IF(ISNUMBER($Q323), $Q323+10*LOG10($AB323/2/$Y323), "")</f>
        <v>151.152346384956</v>
      </c>
      <c r="AH323" s="31" t="n">
        <f aca="false">IF($Y323&gt;0, $X323+10*LOG10($AB323/2/$Y323), 0)</f>
        <v>146.052346384956</v>
      </c>
      <c r="AI323" s="26" t="n">
        <f aca="false">AF323/AB323</f>
        <v>1.08203480755592E-009</v>
      </c>
      <c r="AJ323" s="53" t="n">
        <f aca="false">AH323+10*LOG10(AB323)</f>
        <v>254.625671349268</v>
      </c>
    </row>
    <row r="324" customFormat="false" ht="13.5" hidden="false" customHeight="true" outlineLevel="0" collapsed="false">
      <c r="A324" s="32" t="n">
        <v>2018</v>
      </c>
      <c r="B324" s="22" t="n">
        <v>29.4</v>
      </c>
      <c r="C324" s="34" t="s">
        <v>139</v>
      </c>
      <c r="D324" s="23" t="s">
        <v>145</v>
      </c>
      <c r="E324" s="24" t="n">
        <v>0.13</v>
      </c>
      <c r="F324" s="75" t="s">
        <v>1525</v>
      </c>
      <c r="G324" s="102" t="s">
        <v>1526</v>
      </c>
      <c r="H324" s="86" t="s">
        <v>1527</v>
      </c>
      <c r="I324" s="76" t="s">
        <v>1528</v>
      </c>
      <c r="J324" s="46" t="str">
        <f aca="false">IF(I324&lt;&gt;"?", HYPERLINK(CONCATENATE("https://doi.org/",I324)), "")</f>
        <v>https://doi.org/10.1109/ISSCC.2018.8310386</v>
      </c>
      <c r="K324" s="28" t="s">
        <v>117</v>
      </c>
      <c r="L324" s="99"/>
      <c r="M324" s="99"/>
      <c r="N324" s="99"/>
      <c r="P324" s="29" t="n">
        <v>0</v>
      </c>
      <c r="R324" s="48" t="n">
        <v>7000</v>
      </c>
      <c r="S324" s="41" t="n">
        <v>60.8</v>
      </c>
      <c r="T324" s="41"/>
      <c r="U324" s="41"/>
      <c r="V324" s="41"/>
      <c r="W324" s="41"/>
      <c r="X324" s="49" t="n">
        <f aca="false">+IF(ISNUMBER($S324),$S324,MIN($V324,$T324,$U324,$W324))</f>
        <v>60.8</v>
      </c>
      <c r="Y324" s="26" t="n">
        <v>4.4E-006</v>
      </c>
      <c r="Z324" s="95" t="n">
        <v>500000</v>
      </c>
      <c r="AA324" s="98" t="n">
        <v>25</v>
      </c>
      <c r="AB324" s="26" t="n">
        <f aca="false">Z324/AA324</f>
        <v>20000</v>
      </c>
      <c r="AC324" s="26"/>
      <c r="AD324" s="51" t="n">
        <f aca="false">IF(AB324&gt;0, Y324/AB324*1000000000000, 0)</f>
        <v>220</v>
      </c>
      <c r="AE324" s="49" t="str">
        <f aca="false">IF(ISNUMBER($Q324), $AD324*1000/2^(($Q324-1.76)/6.02), "")</f>
        <v/>
      </c>
      <c r="AF324" s="49" t="n">
        <f aca="false">$AD324*1000/2^(($X324-1.76)/6.02)</f>
        <v>245.543535083724</v>
      </c>
      <c r="AG324" s="31" t="str">
        <f aca="false">IF(ISNUMBER($Q324), $Q324+10*LOG10($AB324/2/$Y324), "")</f>
        <v/>
      </c>
      <c r="AH324" s="31" t="n">
        <f aca="false">IF($Y324&gt;0, $X324+10*LOG10($AB324/2/$Y324), 0)</f>
        <v>154.365473235138</v>
      </c>
      <c r="AI324" s="26" t="n">
        <f aca="false">AF324/AB324</f>
        <v>0.0122771767541862</v>
      </c>
      <c r="AJ324" s="53" t="n">
        <f aca="false">AH324+10*LOG10(AB324)</f>
        <v>197.375773191778</v>
      </c>
    </row>
    <row r="325" customFormat="false" ht="12.75" hidden="false" customHeight="false" outlineLevel="0" collapsed="false">
      <c r="A325" s="32" t="n">
        <v>2018</v>
      </c>
      <c r="B325" s="22" t="n">
        <v>29.6</v>
      </c>
      <c r="C325" s="34" t="s">
        <v>139</v>
      </c>
      <c r="D325" s="23" t="s">
        <v>173</v>
      </c>
      <c r="E325" s="94" t="n">
        <v>0.065</v>
      </c>
      <c r="F325" s="75" t="s">
        <v>1529</v>
      </c>
      <c r="G325" s="102" t="s">
        <v>1530</v>
      </c>
      <c r="H325" s="86" t="s">
        <v>1531</v>
      </c>
      <c r="I325" s="76" t="s">
        <v>1532</v>
      </c>
      <c r="J325" s="46" t="str">
        <f aca="false">IF(I325&lt;&gt;"?", HYPERLINK(CONCATENATE("https://doi.org/",I325)), "")</f>
        <v>https://doi.org/10.1109/ISSCC.2018.8310388</v>
      </c>
      <c r="K325" s="28" t="s">
        <v>117</v>
      </c>
      <c r="L325" s="99" t="n">
        <v>0.8</v>
      </c>
      <c r="M325" s="99"/>
      <c r="N325" s="99"/>
      <c r="P325" s="29" t="n">
        <v>0</v>
      </c>
      <c r="R325" s="48" t="n">
        <v>500</v>
      </c>
      <c r="S325" s="41" t="n">
        <f aca="false">10.7*6.02+1.76</f>
        <v>66.174</v>
      </c>
      <c r="T325" s="41"/>
      <c r="U325" s="41" t="n">
        <v>92</v>
      </c>
      <c r="V325" s="41"/>
      <c r="W325" s="41"/>
      <c r="X325" s="49" t="n">
        <f aca="false">+IF(ISNUMBER($S325),$S325,MIN($V325,$T325,$U325,$W325))</f>
        <v>66.174</v>
      </c>
      <c r="Y325" s="26" t="n">
        <v>8E-007</v>
      </c>
      <c r="Z325" s="95" t="n">
        <f aca="false">AA325*AB325</f>
        <v>32000</v>
      </c>
      <c r="AA325" s="98" t="n">
        <v>32</v>
      </c>
      <c r="AB325" s="26" t="n">
        <v>1000</v>
      </c>
      <c r="AC325" s="26"/>
      <c r="AD325" s="51" t="n">
        <f aca="false">IF(AB325&gt;0, Y325/AB325*1000000000000, 0)</f>
        <v>800</v>
      </c>
      <c r="AE325" s="49" t="str">
        <f aca="false">IF(ISNUMBER($Q325), $AD325*1000/2^(($Q325-1.76)/6.02), "")</f>
        <v/>
      </c>
      <c r="AF325" s="49" t="n">
        <f aca="false">$AD325*1000/2^(($X325-1.76)/6.02)</f>
        <v>480.915786462858</v>
      </c>
      <c r="AG325" s="31" t="str">
        <f aca="false">IF(ISNUMBER($Q325), $Q325+10*LOG10($AB325/2/$Y325), "")</f>
        <v/>
      </c>
      <c r="AH325" s="31" t="n">
        <f aca="false">IF($Y325&gt;0, $X325+10*LOG10($AB325/2/$Y325), 0)</f>
        <v>154.132800173441</v>
      </c>
      <c r="AI325" s="26" t="n">
        <f aca="false">AF325/AB325</f>
        <v>0.480915786462858</v>
      </c>
      <c r="AJ325" s="53" t="n">
        <f aca="false">AH325+10*LOG10(AB325)</f>
        <v>184.132800173441</v>
      </c>
    </row>
    <row r="326" customFormat="false" ht="12.75" hidden="false" customHeight="false" outlineLevel="0" collapsed="false">
      <c r="A326" s="74" t="n">
        <v>2019</v>
      </c>
      <c r="B326" s="22" t="n">
        <v>3.1</v>
      </c>
      <c r="C326" s="34" t="s">
        <v>111</v>
      </c>
      <c r="D326" s="23" t="s">
        <v>191</v>
      </c>
      <c r="E326" s="94" t="n">
        <v>0.016</v>
      </c>
      <c r="F326" s="75" t="s">
        <v>1533</v>
      </c>
      <c r="G326" s="86" t="s">
        <v>1534</v>
      </c>
      <c r="H326" s="86" t="s">
        <v>1535</v>
      </c>
      <c r="I326" s="76" t="s">
        <v>1536</v>
      </c>
      <c r="J326" s="46" t="str">
        <f aca="false">IF(I326&lt;&gt;"?", HYPERLINK(CONCATENATE("https://doi.org/",I326)), "")</f>
        <v>https://doi.org/10.1109/ISSCC.2019.8662290</v>
      </c>
      <c r="K326" s="77" t="s">
        <v>117</v>
      </c>
      <c r="L326" s="54" t="n">
        <v>1.8</v>
      </c>
      <c r="M326" s="53" t="n">
        <v>0.85</v>
      </c>
      <c r="N326" s="54"/>
      <c r="P326" s="29" t="n">
        <v>0.194</v>
      </c>
      <c r="Q326" s="30" t="n">
        <v>62.9</v>
      </c>
      <c r="R326" s="48" t="n">
        <v>1600000000</v>
      </c>
      <c r="S326" s="41" t="n">
        <v>61.7</v>
      </c>
      <c r="T326" s="41"/>
      <c r="U326" s="41"/>
      <c r="V326" s="41" t="n">
        <v>71.4</v>
      </c>
      <c r="W326" s="41" t="n">
        <v>73.3</v>
      </c>
      <c r="X326" s="49" t="n">
        <f aca="false">+IF(ISNUMBER($S326),$S326,MIN($V326,$T326,$U326,$W326))</f>
        <v>61.7</v>
      </c>
      <c r="Y326" s="26" t="n">
        <v>0.0613</v>
      </c>
      <c r="Z326" s="95" t="n">
        <v>3200000000</v>
      </c>
      <c r="AA326" s="98" t="n">
        <v>1</v>
      </c>
      <c r="AB326" s="26" t="n">
        <f aca="false">Z326/AA326</f>
        <v>3200000000</v>
      </c>
      <c r="AC326" s="26"/>
      <c r="AD326" s="51" t="n">
        <f aca="false">IF(AB326&gt;0, Y326/AB326*1000000000000, 0)</f>
        <v>19.15625</v>
      </c>
      <c r="AE326" s="49" t="n">
        <f aca="false">IF(ISNUMBER($Q326), $AD326*1000/2^(($Q326-1.76)/6.02), "")</f>
        <v>16.7882665458656</v>
      </c>
      <c r="AF326" s="49" t="n">
        <f aca="false">$AD326*1000/2^(($X326-1.76)/6.02)</f>
        <v>19.2757744130333</v>
      </c>
      <c r="AG326" s="31" t="n">
        <f aca="false">IF(ISNUMBER($Q326), $Q326+10*LOG10($AB326/2/$Y326), "")</f>
        <v>167.066595081375</v>
      </c>
      <c r="AH326" s="31" t="n">
        <f aca="false">IF($Y326&gt;0, $X326+10*LOG10($AB326/2/$Y326), 0)</f>
        <v>165.866595081375</v>
      </c>
      <c r="AI326" s="26" t="n">
        <f aca="false">AF326/AB326</f>
        <v>6.02367950407291E-009</v>
      </c>
      <c r="AJ326" s="53" t="n">
        <f aca="false">AH326+10*LOG10(AB326)</f>
        <v>260.918094864574</v>
      </c>
    </row>
    <row r="327" customFormat="false" ht="12.75" hidden="false" customHeight="false" outlineLevel="0" collapsed="false">
      <c r="A327" s="32" t="n">
        <v>2019</v>
      </c>
      <c r="B327" s="22" t="n">
        <v>3.2</v>
      </c>
      <c r="C327" s="34" t="s">
        <v>111</v>
      </c>
      <c r="D327" s="23" t="s">
        <v>994</v>
      </c>
      <c r="E327" s="94" t="n">
        <v>0.028</v>
      </c>
      <c r="F327" s="75" t="s">
        <v>1537</v>
      </c>
      <c r="G327" s="86" t="s">
        <v>1538</v>
      </c>
      <c r="H327" s="86" t="s">
        <v>1539</v>
      </c>
      <c r="I327" s="76" t="s">
        <v>1540</v>
      </c>
      <c r="J327" s="46" t="str">
        <f aca="false">IF(I327&lt;&gt;"?", HYPERLINK(CONCATENATE("https://doi.org/",I327)), "")</f>
        <v>https://doi.org/10.1109/ISSCC.2019.8662524</v>
      </c>
      <c r="K327" s="28" t="s">
        <v>117</v>
      </c>
      <c r="L327" s="99"/>
      <c r="M327" s="99"/>
      <c r="N327" s="99"/>
      <c r="P327" s="29" t="n">
        <v>0.0091</v>
      </c>
      <c r="Q327" s="30" t="n">
        <v>61.36</v>
      </c>
      <c r="R327" s="48" t="n">
        <v>500000000</v>
      </c>
      <c r="S327" s="41" t="n">
        <v>60.002</v>
      </c>
      <c r="T327" s="41"/>
      <c r="U327" s="41"/>
      <c r="V327" s="41"/>
      <c r="W327" s="41" t="n">
        <v>74.56</v>
      </c>
      <c r="X327" s="49" t="n">
        <f aca="false">+IF(ISNUMBER($S327),$S327,MIN($V327,$T327,$U327,$W327))</f>
        <v>60.002</v>
      </c>
      <c r="Y327" s="26" t="n">
        <v>0.0076</v>
      </c>
      <c r="Z327" s="95" t="n">
        <v>1000000000</v>
      </c>
      <c r="AA327" s="98" t="n">
        <v>1</v>
      </c>
      <c r="AB327" s="26" t="n">
        <f aca="false">Z327/AA327</f>
        <v>1000000000</v>
      </c>
      <c r="AC327" s="26"/>
      <c r="AD327" s="51" t="n">
        <f aca="false">IF(AB327&gt;0, Y327/AB327*1000000000000, 0)</f>
        <v>7.6</v>
      </c>
      <c r="AE327" s="49" t="n">
        <f aca="false">IF(ISNUMBER($Q327), $AD327*1000/2^(($Q327-1.76)/6.02), "")</f>
        <v>7.95273708850968</v>
      </c>
      <c r="AF327" s="49" t="n">
        <f aca="false">$AD327*1000/2^(($X327-1.76)/6.02)</f>
        <v>9.29872473463352</v>
      </c>
      <c r="AG327" s="31" t="n">
        <f aca="false">IF(ISNUMBER($Q327), $Q327+10*LOG10($AB327/2/$Y327), "")</f>
        <v>169.541564120552</v>
      </c>
      <c r="AH327" s="31" t="n">
        <f aca="false">IF($Y327&gt;0, $X327+10*LOG10($AB327/2/$Y327), 0)</f>
        <v>168.183564120552</v>
      </c>
      <c r="AI327" s="26" t="n">
        <f aca="false">AF327/AB327</f>
        <v>9.29872473463352E-009</v>
      </c>
      <c r="AJ327" s="53" t="n">
        <f aca="false">AH327+10*LOG10(AB327)</f>
        <v>258.183564120552</v>
      </c>
    </row>
    <row r="328" customFormat="false" ht="12.75" hidden="false" customHeight="false" outlineLevel="0" collapsed="false">
      <c r="A328" s="32" t="n">
        <v>2019</v>
      </c>
      <c r="B328" s="22" t="n">
        <v>3.3</v>
      </c>
      <c r="C328" s="34" t="s">
        <v>111</v>
      </c>
      <c r="D328" s="23" t="s">
        <v>1215</v>
      </c>
      <c r="E328" s="94" t="n">
        <v>0.028</v>
      </c>
      <c r="F328" s="75" t="s">
        <v>1541</v>
      </c>
      <c r="G328" s="86" t="s">
        <v>1542</v>
      </c>
      <c r="H328" s="86" t="s">
        <v>1543</v>
      </c>
      <c r="I328" s="76" t="s">
        <v>1544</v>
      </c>
      <c r="J328" s="46" t="str">
        <f aca="false">IF(I328&lt;&gt;"?", HYPERLINK(CONCATENATE("https://doi.org/",I328)), "")</f>
        <v>https://doi.org/10.1109/ISSCC.2019.8662490</v>
      </c>
      <c r="K328" s="28" t="s">
        <v>117</v>
      </c>
      <c r="L328" s="99"/>
      <c r="M328" s="99"/>
      <c r="N328" s="99"/>
      <c r="O328" s="22" t="n">
        <v>0.256</v>
      </c>
      <c r="P328" s="29" t="n">
        <f aca="false">1.13*1.6</f>
        <v>1.808</v>
      </c>
      <c r="Q328" s="30" t="n">
        <v>61.3</v>
      </c>
      <c r="R328" s="48" t="n">
        <v>2400000000</v>
      </c>
      <c r="S328" s="41" t="n">
        <v>58.5</v>
      </c>
      <c r="T328" s="41"/>
      <c r="U328" s="41"/>
      <c r="V328" s="41"/>
      <c r="W328" s="41" t="n">
        <v>65.4</v>
      </c>
      <c r="X328" s="49" t="n">
        <f aca="false">+IF(ISNUMBER($S328),$S328,MIN($V328,$T328,$U328,$W328))</f>
        <v>58.5</v>
      </c>
      <c r="Y328" s="26" t="n">
        <v>0.1586</v>
      </c>
      <c r="Z328" s="95" t="n">
        <v>5000000000</v>
      </c>
      <c r="AA328" s="98" t="n">
        <v>1</v>
      </c>
      <c r="AB328" s="26" t="n">
        <f aca="false">Z328/AA328</f>
        <v>5000000000</v>
      </c>
      <c r="AC328" s="26"/>
      <c r="AD328" s="51" t="n">
        <f aca="false">IF(AB328&gt;0, Y328/AB328*1000000000000, 0)</f>
        <v>31.72</v>
      </c>
      <c r="AE328" s="49" t="n">
        <f aca="false">IF(ISNUMBER($Q328), $AD328*1000/2^(($Q328-1.76)/6.02), "")</f>
        <v>33.4223136545377</v>
      </c>
      <c r="AF328" s="49" t="n">
        <f aca="false">$AD328*1000/2^(($X328-1.76)/6.02)</f>
        <v>46.1371179611056</v>
      </c>
      <c r="AG328" s="31" t="n">
        <f aca="false">IF(ISNUMBER($Q328), $Q328+10*LOG10($AB328/2/$Y328), "")</f>
        <v>163.276368256905</v>
      </c>
      <c r="AH328" s="31" t="n">
        <f aca="false">IF($Y328&gt;0, $X328+10*LOG10($AB328/2/$Y328), 0)</f>
        <v>160.476368256905</v>
      </c>
      <c r="AI328" s="26" t="n">
        <f aca="false">AF328/AB328</f>
        <v>9.22742359222111E-009</v>
      </c>
      <c r="AJ328" s="53" t="n">
        <f aca="false">AH328+10*LOG10(AB328)</f>
        <v>257.466068300265</v>
      </c>
    </row>
    <row r="329" customFormat="false" ht="12.75" hidden="false" customHeight="false" outlineLevel="0" collapsed="false">
      <c r="A329" s="32" t="n">
        <v>2019</v>
      </c>
      <c r="B329" s="22" t="n">
        <v>3.4</v>
      </c>
      <c r="C329" s="34" t="s">
        <v>111</v>
      </c>
      <c r="D329" s="23" t="s">
        <v>994</v>
      </c>
      <c r="E329" s="94" t="n">
        <v>0.04</v>
      </c>
      <c r="F329" s="75" t="s">
        <v>1545</v>
      </c>
      <c r="G329" s="86" t="s">
        <v>1546</v>
      </c>
      <c r="H329" s="86" t="s">
        <v>1547</v>
      </c>
      <c r="I329" s="76" t="s">
        <v>1548</v>
      </c>
      <c r="J329" s="46" t="str">
        <f aca="false">IF(I329&lt;&gt;"?", HYPERLINK(CONCATENATE("https://doi.org/",I329)), "")</f>
        <v>https://doi.org/10.1109/ISSCC.2019.8662406</v>
      </c>
      <c r="K329" s="28" t="s">
        <v>117</v>
      </c>
      <c r="L329" s="99"/>
      <c r="M329" s="99"/>
      <c r="N329" s="99"/>
      <c r="O329" s="22" t="n">
        <v>0.12</v>
      </c>
      <c r="P329" s="29" t="n">
        <v>0.01</v>
      </c>
      <c r="Q329" s="30" t="n">
        <v>73.5</v>
      </c>
      <c r="R329" s="48" t="n">
        <v>1000000</v>
      </c>
      <c r="S329" s="41" t="n">
        <v>71.7</v>
      </c>
      <c r="T329" s="41"/>
      <c r="U329" s="41" t="n">
        <v>73.6</v>
      </c>
      <c r="V329" s="41"/>
      <c r="W329" s="41" t="n">
        <v>79.4</v>
      </c>
      <c r="X329" s="49" t="n">
        <f aca="false">+IF(ISNUMBER($S329),$S329,MIN($V329,$T329,$U329,$W329))</f>
        <v>71.7</v>
      </c>
      <c r="Y329" s="26" t="n">
        <v>2.52E-005</v>
      </c>
      <c r="Z329" s="95" t="n">
        <v>2000000</v>
      </c>
      <c r="AA329" s="98" t="n">
        <v>1</v>
      </c>
      <c r="AB329" s="26" t="n">
        <f aca="false">Z329/AA329</f>
        <v>2000000</v>
      </c>
      <c r="AC329" s="26"/>
      <c r="AD329" s="51" t="n">
        <f aca="false">IF(AB329&gt;0, Y329/AB329*1000000000000, 0)</f>
        <v>12.6</v>
      </c>
      <c r="AE329" s="49" t="n">
        <f aca="false">IF(ISNUMBER($Q329), $AD329*1000/2^(($Q329-1.76)/6.02), "")</f>
        <v>3.25846521004085</v>
      </c>
      <c r="AF329" s="49" t="n">
        <f aca="false">$AD329*1000/2^(($X329-1.76)/6.02)</f>
        <v>4.00887077676131</v>
      </c>
      <c r="AG329" s="31" t="n">
        <f aca="false">IF(ISNUMBER($Q329), $Q329+10*LOG10($AB329/2/$Y329), "")</f>
        <v>179.485994592185</v>
      </c>
      <c r="AH329" s="31" t="n">
        <f aca="false">IF($Y329&gt;0, $X329+10*LOG10($AB329/2/$Y329), 0)</f>
        <v>177.685994592185</v>
      </c>
      <c r="AI329" s="26" t="n">
        <f aca="false">AF329/AB329</f>
        <v>2.00443538838066E-006</v>
      </c>
      <c r="AJ329" s="53" t="n">
        <f aca="false">AH329+10*LOG10(AB329)</f>
        <v>240.696294548824</v>
      </c>
    </row>
    <row r="330" customFormat="false" ht="12.75" hidden="false" customHeight="false" outlineLevel="0" collapsed="false">
      <c r="A330" s="32" t="n">
        <v>2019</v>
      </c>
      <c r="B330" s="22" t="n">
        <v>3.5</v>
      </c>
      <c r="C330" s="34" t="s">
        <v>111</v>
      </c>
      <c r="D330" s="23" t="s">
        <v>994</v>
      </c>
      <c r="E330" s="94" t="n">
        <v>0.065</v>
      </c>
      <c r="F330" s="75" t="s">
        <v>1549</v>
      </c>
      <c r="G330" s="86" t="s">
        <v>1550</v>
      </c>
      <c r="H330" s="86" t="s">
        <v>1551</v>
      </c>
      <c r="I330" s="76" t="s">
        <v>1552</v>
      </c>
      <c r="J330" s="46" t="str">
        <f aca="false">IF(I330&lt;&gt;"?", HYPERLINK(CONCATENATE("https://doi.org/",I330)), "")</f>
        <v>https://doi.org/10.1109/ISSCC.2019.8662350</v>
      </c>
      <c r="K330" s="77" t="s">
        <v>117</v>
      </c>
      <c r="L330" s="54" t="n">
        <v>0.6</v>
      </c>
      <c r="M330" s="54"/>
      <c r="N330" s="54"/>
      <c r="P330" s="2" t="n">
        <v>0.053</v>
      </c>
      <c r="Q330" s="30" t="n">
        <v>71.5</v>
      </c>
      <c r="R330" s="48" t="n">
        <v>10000000</v>
      </c>
      <c r="S330" s="41" t="n">
        <v>71</v>
      </c>
      <c r="T330" s="41"/>
      <c r="U330" s="41"/>
      <c r="V330" s="41"/>
      <c r="W330" s="41" t="n">
        <v>89.5</v>
      </c>
      <c r="X330" s="49" t="n">
        <f aca="false">+IF(ISNUMBER($S330),$S330,MIN($V330,$T330,$U330,$W330))</f>
        <v>71</v>
      </c>
      <c r="Y330" s="26" t="n">
        <v>8.2E-005</v>
      </c>
      <c r="Z330" s="95" t="n">
        <v>20000000</v>
      </c>
      <c r="AA330" s="98" t="n">
        <v>1</v>
      </c>
      <c r="AB330" s="26" t="n">
        <f aca="false">Z330/AA330</f>
        <v>20000000</v>
      </c>
      <c r="AC330" s="26"/>
      <c r="AD330" s="51" t="n">
        <f aca="false">IF(AB330&gt;0, Y330/AB330*1000000000000, 0)</f>
        <v>4.1</v>
      </c>
      <c r="AE330" s="49" t="n">
        <f aca="false">IF(ISNUMBER($Q330), $AD330*1000/2^(($Q330-1.76)/6.02), "")</f>
        <v>1.33486198587703</v>
      </c>
      <c r="AF330" s="49" t="n">
        <f aca="false">$AD330*1000/2^(($X330-1.76)/6.02)</f>
        <v>1.41396564234121</v>
      </c>
      <c r="AG330" s="31" t="n">
        <f aca="false">IF(ISNUMBER($Q330), $Q330+10*LOG10($AB330/2/$Y330), "")</f>
        <v>182.361861476163</v>
      </c>
      <c r="AH330" s="31" t="n">
        <f aca="false">IF($Y330&gt;0, $X330+10*LOG10($AB330/2/$Y330), 0)</f>
        <v>181.861861476163</v>
      </c>
      <c r="AI330" s="26" t="n">
        <f aca="false">AF330/AB330</f>
        <v>7.06982821170603E-008</v>
      </c>
      <c r="AJ330" s="53" t="n">
        <f aca="false">AH330+10*LOG10(AB330)</f>
        <v>254.872161432803</v>
      </c>
    </row>
    <row r="331" customFormat="false" ht="12.75" hidden="false" customHeight="false" outlineLevel="0" collapsed="false">
      <c r="A331" s="32" t="n">
        <v>2019</v>
      </c>
      <c r="B331" s="22" t="n">
        <v>3.6</v>
      </c>
      <c r="C331" s="34" t="s">
        <v>111</v>
      </c>
      <c r="D331" s="23" t="s">
        <v>133</v>
      </c>
      <c r="E331" s="94" t="n">
        <v>0.016</v>
      </c>
      <c r="F331" s="75" t="s">
        <v>1553</v>
      </c>
      <c r="G331" s="86" t="s">
        <v>1554</v>
      </c>
      <c r="H331" s="86" t="s">
        <v>1555</v>
      </c>
      <c r="I331" s="76" t="s">
        <v>1556</v>
      </c>
      <c r="J331" s="46" t="str">
        <f aca="false">IF(I331&lt;&gt;"?", HYPERLINK(CONCATENATE("https://doi.org/",I331)), "")</f>
        <v>https://doi.org/10.1109/ISSCC.2019.8662319</v>
      </c>
      <c r="K331" s="28" t="s">
        <v>117</v>
      </c>
      <c r="L331" s="99"/>
      <c r="M331" s="99"/>
      <c r="N331" s="99"/>
      <c r="P331" s="29" t="n">
        <v>0</v>
      </c>
      <c r="Q331" s="30" t="n">
        <v>60.4</v>
      </c>
      <c r="R331" s="48" t="n">
        <v>300000000</v>
      </c>
      <c r="S331" s="41" t="n">
        <v>60.2</v>
      </c>
      <c r="T331" s="41"/>
      <c r="U331" s="41"/>
      <c r="V331" s="41"/>
      <c r="W331" s="41" t="n">
        <v>78.3</v>
      </c>
      <c r="X331" s="49" t="n">
        <f aca="false">+IF(ISNUMBER($S331),$S331,MIN($V331,$T331,$U331,$W331))</f>
        <v>60.2</v>
      </c>
      <c r="Y331" s="26" t="n">
        <v>0.006</v>
      </c>
      <c r="Z331" s="95" t="n">
        <v>600000000</v>
      </c>
      <c r="AA331" s="98" t="n">
        <v>1</v>
      </c>
      <c r="AB331" s="26" t="n">
        <f aca="false">Z331/AA331</f>
        <v>600000000</v>
      </c>
      <c r="AC331" s="26"/>
      <c r="AD331" s="51" t="n">
        <f aca="false">IF(AB331&gt;0, Y331/AB331*1000000000000, 0)</f>
        <v>10</v>
      </c>
      <c r="AE331" s="49" t="n">
        <f aca="false">IF(ISNUMBER($Q331), $AD331*1000/2^(($Q331-1.76)/6.02), "")</f>
        <v>11.6871284243268</v>
      </c>
      <c r="AF331" s="49" t="n">
        <f aca="false">$AD331*1000/2^(($X331-1.76)/6.02)</f>
        <v>11.9593840585132</v>
      </c>
      <c r="AG331" s="31" t="n">
        <f aca="false">IF(ISNUMBER($Q331), $Q331+10*LOG10($AB331/2/$Y331), "")</f>
        <v>167.38970004336</v>
      </c>
      <c r="AH331" s="31" t="n">
        <f aca="false">IF($Y331&gt;0, $X331+10*LOG10($AB331/2/$Y331), 0)</f>
        <v>167.18970004336</v>
      </c>
      <c r="AI331" s="26" t="n">
        <f aca="false">AF331/AB331</f>
        <v>1.99323067641887E-008</v>
      </c>
      <c r="AJ331" s="53" t="n">
        <f aca="false">AH331+10*LOG10(AB331)</f>
        <v>254.971212547197</v>
      </c>
    </row>
    <row r="332" customFormat="false" ht="12.75" hidden="false" customHeight="false" outlineLevel="0" collapsed="false">
      <c r="A332" s="32" t="n">
        <v>2019</v>
      </c>
      <c r="B332" s="22" t="n">
        <v>3.7</v>
      </c>
      <c r="C332" s="34" t="s">
        <v>111</v>
      </c>
      <c r="D332" s="23" t="s">
        <v>1506</v>
      </c>
      <c r="E332" s="94" t="n">
        <v>0.18</v>
      </c>
      <c r="F332" s="75" t="s">
        <v>1557</v>
      </c>
      <c r="G332" s="86" t="s">
        <v>1558</v>
      </c>
      <c r="H332" s="86" t="s">
        <v>1559</v>
      </c>
      <c r="I332" s="76" t="s">
        <v>1560</v>
      </c>
      <c r="J332" s="46" t="str">
        <f aca="false">IF(I332&lt;&gt;"?", HYPERLINK(CONCATENATE("https://doi.org/",I332)), "")</f>
        <v>https://doi.org/10.1109/ISSCC.2019.8662400</v>
      </c>
      <c r="K332" s="28" t="s">
        <v>117</v>
      </c>
      <c r="L332" s="99"/>
      <c r="M332" s="99"/>
      <c r="N332" s="99"/>
      <c r="P332" s="2" t="n">
        <v>16</v>
      </c>
      <c r="Q332" s="30" t="n">
        <v>91</v>
      </c>
      <c r="R332" s="48" t="n">
        <v>4000000</v>
      </c>
      <c r="S332" s="41" t="n">
        <v>88</v>
      </c>
      <c r="T332" s="41"/>
      <c r="U332" s="41" t="n">
        <v>93.9</v>
      </c>
      <c r="V332" s="41"/>
      <c r="W332" s="41" t="n">
        <v>96.5</v>
      </c>
      <c r="X332" s="49" t="n">
        <f aca="false">+IF(ISNUMBER($S332),$S332,MIN($V332,$T332,$U332,$W332))</f>
        <v>88</v>
      </c>
      <c r="Y332" s="26" t="n">
        <v>0.0098</v>
      </c>
      <c r="Z332" s="95" t="n">
        <v>15000000</v>
      </c>
      <c r="AA332" s="98" t="n">
        <v>1</v>
      </c>
      <c r="AB332" s="26" t="n">
        <f aca="false">Z332/AA332</f>
        <v>15000000</v>
      </c>
      <c r="AC332" s="26"/>
      <c r="AD332" s="51" t="n">
        <f aca="false">IF(AB332&gt;0, Y332/AB332*1000000000000, 0)</f>
        <v>653.333333333333</v>
      </c>
      <c r="AE332" s="49" t="n">
        <f aca="false">IF(ISNUMBER($Q332), $AD332*1000/2^(($Q332-1.76)/6.02), "")</f>
        <v>22.526315542853</v>
      </c>
      <c r="AF332" s="49" t="n">
        <f aca="false">$AD332*1000/2^(($X332-1.76)/6.02)</f>
        <v>31.8203616542029</v>
      </c>
      <c r="AG332" s="31" t="n">
        <f aca="false">IF(ISNUMBER($Q332), $Q332+10*LOG10($AB332/2/$Y332), "")</f>
        <v>179.838351876992</v>
      </c>
      <c r="AH332" s="31" t="n">
        <f aca="false">IF($Y332&gt;0, $X332+10*LOG10($AB332/2/$Y332), 0)</f>
        <v>176.838351876992</v>
      </c>
      <c r="AI332" s="26" t="n">
        <f aca="false">AF332/AB332</f>
        <v>2.12135744361353E-006</v>
      </c>
      <c r="AJ332" s="53" t="n">
        <f aca="false">AH332+10*LOG10(AB332)</f>
        <v>248.599264467549</v>
      </c>
    </row>
    <row r="333" customFormat="false" ht="12.75" hidden="false" customHeight="false" outlineLevel="0" collapsed="false">
      <c r="A333" s="32" t="n">
        <v>2019</v>
      </c>
      <c r="B333" s="22" t="n">
        <v>6.3</v>
      </c>
      <c r="C333" s="22" t="s">
        <v>111</v>
      </c>
      <c r="D333" s="23" t="s">
        <v>548</v>
      </c>
      <c r="E333" s="94" t="n">
        <v>0.007</v>
      </c>
      <c r="F333" s="75" t="s">
        <v>1561</v>
      </c>
      <c r="G333" s="86" t="s">
        <v>1562</v>
      </c>
      <c r="H333" s="86" t="s">
        <v>1563</v>
      </c>
      <c r="I333" s="76" t="s">
        <v>1564</v>
      </c>
      <c r="J333" s="46" t="str">
        <f aca="false">IF(I333&lt;&gt;"?", HYPERLINK(CONCATENATE("https://doi.org/",I333)), "")</f>
        <v>https://doi.org/10.1109/ISSCC.2019.8662428</v>
      </c>
      <c r="K333" s="77" t="s">
        <v>1565</v>
      </c>
      <c r="L333" s="54"/>
      <c r="M333" s="54"/>
      <c r="N333" s="54"/>
      <c r="O333" s="34"/>
      <c r="P333" s="29" t="n">
        <v>0</v>
      </c>
      <c r="R333" s="26" t="n">
        <v>14000000000</v>
      </c>
      <c r="S333" s="30" t="n">
        <v>32</v>
      </c>
      <c r="T333" s="41" t="n">
        <v>33.5</v>
      </c>
      <c r="V333" s="54" t="n">
        <v>39.8</v>
      </c>
      <c r="W333" s="22" t="n">
        <v>40</v>
      </c>
      <c r="X333" s="49" t="n">
        <f aca="false">+IF(ISNUMBER($S333),$S333,MIN($V333,$T333,$U333,$W333))</f>
        <v>32</v>
      </c>
      <c r="Y333" s="26" t="n">
        <v>0.0535</v>
      </c>
      <c r="Z333" s="95" t="n">
        <v>30000000000</v>
      </c>
      <c r="AA333" s="98" t="n">
        <v>1</v>
      </c>
      <c r="AB333" s="26" t="n">
        <f aca="false">Z333/AA333</f>
        <v>30000000000</v>
      </c>
      <c r="AC333" s="26"/>
      <c r="AD333" s="51" t="n">
        <f aca="false">IF(AB333&gt;0, Y333/AB333*1000000000000, 0)</f>
        <v>1.78333333333333</v>
      </c>
      <c r="AE333" s="49" t="str">
        <f aca="false">IF(ISNUMBER($Q333), $AD333*1000/2^(($Q333-1.76)/6.02), "")</f>
        <v/>
      </c>
      <c r="AF333" s="49" t="n">
        <f aca="false">$AD333*1000/2^(($X333-1.76)/6.02)</f>
        <v>54.8380308326619</v>
      </c>
      <c r="AG333" s="31" t="str">
        <f aca="false">IF(ISNUMBER($Q333), $Q333+10*LOG10($AB333/2/$Y333), "")</f>
        <v/>
      </c>
      <c r="AH333" s="31" t="n">
        <f aca="false">IF($Y333&gt;0, $X333+10*LOG10($AB333/2/$Y333), 0)</f>
        <v>146.477374770345</v>
      </c>
      <c r="AI333" s="26" t="n">
        <f aca="false">AF333/AB333</f>
        <v>1.82793436108873E-009</v>
      </c>
      <c r="AJ333" s="53" t="n">
        <f aca="false">AH333+10*LOG10(AB333)</f>
        <v>251.248587317541</v>
      </c>
    </row>
    <row r="334" customFormat="false" ht="12.75" hidden="false" customHeight="false" outlineLevel="0" collapsed="false">
      <c r="A334" s="32" t="n">
        <v>2019</v>
      </c>
      <c r="B334" s="22" t="n">
        <v>11.1</v>
      </c>
      <c r="C334" s="34" t="s">
        <v>111</v>
      </c>
      <c r="D334" s="23" t="s">
        <v>112</v>
      </c>
      <c r="E334" s="94" t="n">
        <v>0.18</v>
      </c>
      <c r="F334" s="75" t="s">
        <v>1566</v>
      </c>
      <c r="G334" s="86" t="s">
        <v>1567</v>
      </c>
      <c r="H334" s="86" t="s">
        <v>1568</v>
      </c>
      <c r="I334" s="76" t="s">
        <v>1569</v>
      </c>
      <c r="J334" s="46" t="str">
        <f aca="false">IF(I334&lt;&gt;"?", HYPERLINK(CONCATENATE("https://doi.org/",I334)), "")</f>
        <v>https://doi.org/10.1109/ISSCC.2019.8662531</v>
      </c>
      <c r="K334" s="28" t="s">
        <v>117</v>
      </c>
      <c r="L334" s="99"/>
      <c r="M334" s="99"/>
      <c r="N334" s="99"/>
      <c r="P334" s="2" t="n">
        <v>0.028</v>
      </c>
      <c r="R334" s="48" t="n">
        <v>5000000</v>
      </c>
      <c r="S334" s="41" t="n">
        <v>56.85</v>
      </c>
      <c r="T334" s="41"/>
      <c r="U334" s="41"/>
      <c r="V334" s="41"/>
      <c r="W334" s="41"/>
      <c r="X334" s="49" t="n">
        <f aca="false">+IF(ISNUMBER($S334),$S334,MIN($V334,$T334,$U334,$W334))</f>
        <v>56.85</v>
      </c>
      <c r="Y334" s="26" t="n">
        <v>0.00123</v>
      </c>
      <c r="Z334" s="95" t="n">
        <v>20000000</v>
      </c>
      <c r="AA334" s="98" t="n">
        <v>1</v>
      </c>
      <c r="AB334" s="26" t="n">
        <f aca="false">Z334/AA334</f>
        <v>20000000</v>
      </c>
      <c r="AC334" s="26"/>
      <c r="AD334" s="51" t="n">
        <f aca="false">IF(AB334&gt;0, Y334/AB334*1000000000000, 0)</f>
        <v>61.5</v>
      </c>
      <c r="AE334" s="49" t="str">
        <f aca="false">IF(ISNUMBER($Q334), $AD334*1000/2^(($Q334-1.76)/6.02), "")</f>
        <v/>
      </c>
      <c r="AF334" s="49" t="n">
        <f aca="false">$AD334*1000/2^(($X334-1.76)/6.02)</f>
        <v>108.16845349756</v>
      </c>
      <c r="AG334" s="31" t="str">
        <f aca="false">IF(ISNUMBER($Q334), $Q334+10*LOG10($AB334/2/$Y334), "")</f>
        <v/>
      </c>
      <c r="AH334" s="31" t="n">
        <f aca="false">IF($Y334&gt;0, $X334+10*LOG10($AB334/2/$Y334), 0)</f>
        <v>155.950948885606</v>
      </c>
      <c r="AI334" s="26" t="n">
        <f aca="false">AF334/AB334</f>
        <v>5.40842267487799E-006</v>
      </c>
      <c r="AJ334" s="53" t="n">
        <f aca="false">AH334+10*LOG10(AB334)</f>
        <v>228.961248842246</v>
      </c>
    </row>
    <row r="335" customFormat="false" ht="12.75" hidden="false" customHeight="false" outlineLevel="0" collapsed="false">
      <c r="A335" s="32" t="n">
        <v>2019</v>
      </c>
      <c r="B335" s="22" t="n">
        <v>20.1</v>
      </c>
      <c r="C335" s="34" t="s">
        <v>111</v>
      </c>
      <c r="D335" s="23" t="s">
        <v>1570</v>
      </c>
      <c r="E335" s="94" t="n">
        <v>0.028</v>
      </c>
      <c r="F335" s="75" t="s">
        <v>1571</v>
      </c>
      <c r="G335" s="86" t="s">
        <v>1572</v>
      </c>
      <c r="H335" s="86" t="s">
        <v>1573</v>
      </c>
      <c r="I335" s="76" t="s">
        <v>1574</v>
      </c>
      <c r="J335" s="46" t="str">
        <f aca="false">IF(I335&lt;&gt;"?", HYPERLINK(CONCATENATE("https://doi.org/",I335)), "")</f>
        <v>https://doi.org/10.1109/ISSCC.2019.8662412</v>
      </c>
      <c r="K335" s="28" t="s">
        <v>117</v>
      </c>
      <c r="L335" s="99"/>
      <c r="M335" s="99"/>
      <c r="N335" s="99"/>
      <c r="P335" s="2" t="n">
        <v>0.023</v>
      </c>
      <c r="Q335" s="30" t="n">
        <v>46.7</v>
      </c>
      <c r="R335" s="48" t="n">
        <v>2500000000</v>
      </c>
      <c r="S335" s="41" t="n">
        <v>45.2</v>
      </c>
      <c r="T335" s="41"/>
      <c r="U335" s="41"/>
      <c r="V335" s="41"/>
      <c r="W335" s="41" t="n">
        <v>57.1</v>
      </c>
      <c r="X335" s="49" t="n">
        <f aca="false">+IF(ISNUMBER($S335),$S335,MIN($V335,$T335,$U335,$W335))</f>
        <v>45.2</v>
      </c>
      <c r="Y335" s="26" t="n">
        <v>0.0227</v>
      </c>
      <c r="Z335" s="95" t="n">
        <v>5000000000</v>
      </c>
      <c r="AA335" s="98" t="n">
        <v>1</v>
      </c>
      <c r="AB335" s="26" t="n">
        <f aca="false">Z335/AA335</f>
        <v>5000000000</v>
      </c>
      <c r="AC335" s="26"/>
      <c r="AD335" s="51" t="n">
        <f aca="false">IF(AB335&gt;0, Y335/AB335*1000000000000, 0)</f>
        <v>4.54</v>
      </c>
      <c r="AE335" s="49" t="n">
        <f aca="false">IF(ISNUMBER($Q335), $AD335*1000/2^(($Q335-1.76)/6.02), "")</f>
        <v>25.6940125396159</v>
      </c>
      <c r="AF335" s="49" t="n">
        <f aca="false">$AD335*1000/2^(($X335-1.76)/6.02)</f>
        <v>30.5379166737104</v>
      </c>
      <c r="AG335" s="31" t="n">
        <f aca="false">IF(ISNUMBER($Q335), $Q335+10*LOG10($AB335/2/$Y335), "")</f>
        <v>157.119141514789</v>
      </c>
      <c r="AH335" s="31" t="n">
        <f aca="false">IF($Y335&gt;0, $X335+10*LOG10($AB335/2/$Y335), 0)</f>
        <v>155.619141514789</v>
      </c>
      <c r="AI335" s="26" t="n">
        <f aca="false">AF335/AB335</f>
        <v>6.10758333474208E-009</v>
      </c>
      <c r="AJ335" s="53" t="n">
        <f aca="false">AH335+10*LOG10(AB335)</f>
        <v>252.608841558149</v>
      </c>
    </row>
    <row r="336" customFormat="false" ht="12.75" hidden="false" customHeight="false" outlineLevel="0" collapsed="false">
      <c r="A336" s="32" t="n">
        <v>2019</v>
      </c>
      <c r="B336" s="22" t="n">
        <v>20.2</v>
      </c>
      <c r="C336" s="34" t="s">
        <v>139</v>
      </c>
      <c r="D336" s="23" t="s">
        <v>112</v>
      </c>
      <c r="E336" s="94" t="n">
        <v>0.014</v>
      </c>
      <c r="F336" s="75" t="s">
        <v>1575</v>
      </c>
      <c r="G336" s="86" t="s">
        <v>1576</v>
      </c>
      <c r="H336" s="86" t="s">
        <v>1577</v>
      </c>
      <c r="I336" s="76" t="s">
        <v>1578</v>
      </c>
      <c r="J336" s="46" t="str">
        <f aca="false">IF(I336&lt;&gt;"?", HYPERLINK(CONCATENATE("https://doi.org/",I336)), "")</f>
        <v>https://doi.org/10.1109/ISSCC.2019.8662299</v>
      </c>
      <c r="K336" s="28" t="s">
        <v>117</v>
      </c>
      <c r="L336" s="99" t="n">
        <v>0.9</v>
      </c>
      <c r="M336" s="99"/>
      <c r="N336" s="99"/>
      <c r="P336" s="2" t="n">
        <v>0.0021</v>
      </c>
      <c r="R336" s="48" t="n">
        <v>9.961</v>
      </c>
      <c r="S336" s="41" t="n">
        <v>66.6</v>
      </c>
      <c r="T336" s="41" t="n">
        <v>66.99</v>
      </c>
      <c r="U336" s="41"/>
      <c r="V336" s="41"/>
      <c r="W336" s="41" t="n">
        <v>77.44</v>
      </c>
      <c r="X336" s="49" t="n">
        <f aca="false">+IF(ISNUMBER($S336),$S336,MIN($V336,$T336,$U336,$W336))</f>
        <v>66.6</v>
      </c>
      <c r="Y336" s="26" t="n">
        <v>0.00125</v>
      </c>
      <c r="Z336" s="95" t="n">
        <v>320000000</v>
      </c>
      <c r="AA336" s="98" t="n">
        <v>4</v>
      </c>
      <c r="AB336" s="26" t="n">
        <f aca="false">Z336/AA336</f>
        <v>80000000</v>
      </c>
      <c r="AC336" s="26"/>
      <c r="AD336" s="51" t="n">
        <f aca="false">IF(AB336&gt;0, Y336/AB336*1000000000000, 0)</f>
        <v>15.625</v>
      </c>
      <c r="AE336" s="49" t="str">
        <f aca="false">IF(ISNUMBER($Q336), $AD336*1000/2^(($Q336-1.76)/6.02), "")</f>
        <v/>
      </c>
      <c r="AF336" s="49" t="n">
        <f aca="false">$AD336*1000/2^(($X336-1.76)/6.02)</f>
        <v>8.94328250723819</v>
      </c>
      <c r="AG336" s="31" t="str">
        <f aca="false">IF(ISNUMBER($Q336), $Q336+10*LOG10($AB336/2/$Y336), "")</f>
        <v/>
      </c>
      <c r="AH336" s="31" t="n">
        <f aca="false">IF($Y336&gt;0, $X336+10*LOG10($AB336/2/$Y336), 0)</f>
        <v>171.651499783199</v>
      </c>
      <c r="AI336" s="26" t="n">
        <f aca="false">AF336/AB336</f>
        <v>1.11791031340477E-007</v>
      </c>
      <c r="AJ336" s="53" t="n">
        <f aca="false">AH336+10*LOG10(AB336)</f>
        <v>250.682399653118</v>
      </c>
    </row>
    <row r="337" customFormat="false" ht="12.75" hidden="false" customHeight="false" outlineLevel="0" collapsed="false">
      <c r="A337" s="32" t="n">
        <v>2019</v>
      </c>
      <c r="B337" s="22" t="n">
        <v>20.3</v>
      </c>
      <c r="C337" s="34" t="s">
        <v>139</v>
      </c>
      <c r="D337" s="23" t="s">
        <v>548</v>
      </c>
      <c r="E337" s="94" t="n">
        <v>0.04</v>
      </c>
      <c r="F337" s="75" t="s">
        <v>1579</v>
      </c>
      <c r="G337" s="86" t="s">
        <v>1580</v>
      </c>
      <c r="H337" s="86" t="s">
        <v>1581</v>
      </c>
      <c r="I337" s="76" t="s">
        <v>1582</v>
      </c>
      <c r="J337" s="46" t="str">
        <f aca="false">IF(I337&lt;&gt;"?", HYPERLINK(CONCATENATE("https://doi.org/",I337)), "")</f>
        <v>https://doi.org/10.1109/ISSCC.2019.8662313</v>
      </c>
      <c r="K337" s="28" t="s">
        <v>117</v>
      </c>
      <c r="L337" s="99"/>
      <c r="M337" s="99"/>
      <c r="N337" s="99"/>
      <c r="P337" s="2" t="n">
        <v>0.06</v>
      </c>
      <c r="R337" s="48" t="n">
        <v>6000000</v>
      </c>
      <c r="S337" s="41" t="n">
        <v>70.4</v>
      </c>
      <c r="T337" s="41"/>
      <c r="U337" s="41"/>
      <c r="V337" s="41"/>
      <c r="W337" s="41" t="n">
        <v>88</v>
      </c>
      <c r="X337" s="49" t="n">
        <f aca="false">+IF(ISNUMBER($S337),$S337,MIN($V337,$T337,$U337,$W337))</f>
        <v>70.4</v>
      </c>
      <c r="Y337" s="26" t="n">
        <v>0.013</v>
      </c>
      <c r="Z337" s="95" t="n">
        <v>400000000</v>
      </c>
      <c r="AA337" s="98" t="n">
        <v>4</v>
      </c>
      <c r="AB337" s="26" t="n">
        <f aca="false">Z337/AA337</f>
        <v>100000000</v>
      </c>
      <c r="AC337" s="26"/>
      <c r="AD337" s="51" t="n">
        <f aca="false">IF(AB337&gt;0, Y337/AB337*1000000000000, 0)</f>
        <v>130</v>
      </c>
      <c r="AE337" s="49" t="str">
        <f aca="false">IF(ISNUMBER($Q337), $AD337*1000/2^(($Q337-1.76)/6.02), "")</f>
        <v/>
      </c>
      <c r="AF337" s="49" t="n">
        <f aca="false">$AD337*1000/2^(($X337-1.76)/6.02)</f>
        <v>48.0398167330602</v>
      </c>
      <c r="AG337" s="31" t="str">
        <f aca="false">IF(ISNUMBER($Q337), $Q337+10*LOG10($AB337/2/$Y337), "")</f>
        <v/>
      </c>
      <c r="AH337" s="31" t="n">
        <f aca="false">IF($Y337&gt;0, $X337+10*LOG10($AB337/2/$Y337), 0)</f>
        <v>166.250266520292</v>
      </c>
      <c r="AI337" s="26" t="n">
        <f aca="false">AF337/AB337</f>
        <v>4.80398167330602E-007</v>
      </c>
      <c r="AJ337" s="53" t="n">
        <f aca="false">AH337+10*LOG10(AB337)</f>
        <v>246.250266520292</v>
      </c>
    </row>
    <row r="338" customFormat="false" ht="12.75" hidden="false" customHeight="false" outlineLevel="0" collapsed="false">
      <c r="A338" s="32" t="n">
        <v>2019</v>
      </c>
      <c r="B338" s="22" t="n">
        <v>20.4</v>
      </c>
      <c r="C338" s="34" t="s">
        <v>139</v>
      </c>
      <c r="D338" s="23" t="s">
        <v>173</v>
      </c>
      <c r="E338" s="94" t="n">
        <v>0.007</v>
      </c>
      <c r="F338" s="75" t="s">
        <v>1583</v>
      </c>
      <c r="G338" s="86" t="s">
        <v>1584</v>
      </c>
      <c r="H338" s="86" t="s">
        <v>1585</v>
      </c>
      <c r="I338" s="76" t="s">
        <v>1586</v>
      </c>
      <c r="J338" s="46" t="str">
        <f aca="false">IF(I338&lt;&gt;"?", HYPERLINK(CONCATENATE("https://doi.org/",I338)), "")</f>
        <v>https://doi.org/10.1109/ISSCC.2019.8662371</v>
      </c>
      <c r="K338" s="28" t="s">
        <v>117</v>
      </c>
      <c r="L338" s="99" t="n">
        <v>1.3</v>
      </c>
      <c r="M338" s="99" t="n">
        <v>1</v>
      </c>
      <c r="N338" s="99"/>
      <c r="P338" s="2" t="n">
        <v>0.056</v>
      </c>
      <c r="R338" s="48" t="n">
        <v>7000000</v>
      </c>
      <c r="S338" s="41" t="n">
        <v>74</v>
      </c>
      <c r="T338" s="41"/>
      <c r="U338" s="41" t="n">
        <v>79.4</v>
      </c>
      <c r="V338" s="41"/>
      <c r="W338" s="41"/>
      <c r="X338" s="49" t="n">
        <f aca="false">+IF(ISNUMBER($S338),$S338,MIN($V338,$T338,$U338,$W338))</f>
        <v>74</v>
      </c>
      <c r="Y338" s="26" t="n">
        <v>0.0038</v>
      </c>
      <c r="Z338" s="95" t="n">
        <v>400000000</v>
      </c>
      <c r="AA338" s="98" t="n">
        <v>8</v>
      </c>
      <c r="AB338" s="26" t="n">
        <f aca="false">Z338/AA338</f>
        <v>50000000</v>
      </c>
      <c r="AC338" s="26"/>
      <c r="AD338" s="51" t="n">
        <f aca="false">IF(AB338&gt;0, Y338/AB338*1000000000000, 0)</f>
        <v>76</v>
      </c>
      <c r="AE338" s="49" t="str">
        <f aca="false">IF(ISNUMBER($Q338), $AD338*1000/2^(($Q338-1.76)/6.02), "")</f>
        <v/>
      </c>
      <c r="AF338" s="49" t="n">
        <f aca="false">$AD338*1000/2^(($X338-1.76)/6.02)</f>
        <v>18.5546875</v>
      </c>
      <c r="AG338" s="31" t="str">
        <f aca="false">IF(ISNUMBER($Q338), $Q338+10*LOG10($AB338/2/$Y338), "")</f>
        <v/>
      </c>
      <c r="AH338" s="31" t="n">
        <f aca="false">IF($Y338&gt;0, $X338+10*LOG10($AB338/2/$Y338), 0)</f>
        <v>172.181564120552</v>
      </c>
      <c r="AI338" s="26" t="n">
        <f aca="false">AF338/AB338</f>
        <v>3.7109375E-007</v>
      </c>
      <c r="AJ338" s="53" t="n">
        <f aca="false">AH338+10*LOG10(AB338)</f>
        <v>249.171264163912</v>
      </c>
    </row>
    <row r="339" customFormat="false" ht="12.75" hidden="false" customHeight="false" outlineLevel="0" collapsed="false">
      <c r="A339" s="32" t="n">
        <v>2019</v>
      </c>
      <c r="B339" s="22" t="n">
        <v>20.5</v>
      </c>
      <c r="C339" s="34" t="s">
        <v>139</v>
      </c>
      <c r="D339" s="23" t="s">
        <v>173</v>
      </c>
      <c r="E339" s="94" t="n">
        <v>0.028</v>
      </c>
      <c r="F339" s="75" t="s">
        <v>1587</v>
      </c>
      <c r="G339" s="86" t="s">
        <v>1588</v>
      </c>
      <c r="H339" s="103" t="s">
        <v>1589</v>
      </c>
      <c r="I339" s="76" t="s">
        <v>1590</v>
      </c>
      <c r="J339" s="46" t="str">
        <f aca="false">IF(I339&lt;&gt;"?", HYPERLINK(CONCATENATE("https://doi.org/",I339)), "")</f>
        <v>https://doi.org/10.1109/ISSCC.2019.8662529</v>
      </c>
      <c r="K339" s="28" t="s">
        <v>117</v>
      </c>
      <c r="L339" s="99" t="n">
        <v>1.5</v>
      </c>
      <c r="M339" s="99" t="n">
        <v>1.2</v>
      </c>
      <c r="N339" s="99"/>
      <c r="P339" s="2" t="n">
        <v>0.085</v>
      </c>
      <c r="R339" s="48" t="n">
        <v>6000000</v>
      </c>
      <c r="S339" s="41" t="n">
        <v>76.6</v>
      </c>
      <c r="T339" s="41" t="n">
        <v>77.4</v>
      </c>
      <c r="U339" s="41"/>
      <c r="V339" s="41"/>
      <c r="W339" s="41" t="n">
        <v>87.8</v>
      </c>
      <c r="X339" s="49" t="n">
        <f aca="false">+IF(ISNUMBER($S339),$S339,MIN($V339,$T339,$U339,$W339))</f>
        <v>76.6</v>
      </c>
      <c r="Y339" s="26" t="n">
        <v>0.0292</v>
      </c>
      <c r="Z339" s="95" t="n">
        <v>1200000000</v>
      </c>
      <c r="AA339" s="98" t="n">
        <v>12</v>
      </c>
      <c r="AB339" s="26" t="n">
        <f aca="false">Z339/AA339</f>
        <v>100000000</v>
      </c>
      <c r="AC339" s="26"/>
      <c r="AD339" s="51" t="n">
        <f aca="false">IF(AB339&gt;0, Y339/AB339*1000000000000, 0)</f>
        <v>292</v>
      </c>
      <c r="AE339" s="49" t="str">
        <f aca="false">IF(ISNUMBER($Q339), $AD339*1000/2^(($Q339-1.76)/6.02), "")</f>
        <v/>
      </c>
      <c r="AF339" s="49" t="n">
        <f aca="false">$AD339*1000/2^(($X339-1.76)/6.02)</f>
        <v>52.8457357202702</v>
      </c>
      <c r="AG339" s="31" t="str">
        <f aca="false">IF(ISNUMBER($Q339), $Q339+10*LOG10($AB339/2/$Y339), "")</f>
        <v/>
      </c>
      <c r="AH339" s="31" t="n">
        <f aca="false">IF($Y339&gt;0, $X339+10*LOG10($AB339/2/$Y339), 0)</f>
        <v>168.935871528876</v>
      </c>
      <c r="AI339" s="26" t="n">
        <f aca="false">AF339/AB339</f>
        <v>5.28457357202702E-007</v>
      </c>
      <c r="AJ339" s="53" t="n">
        <f aca="false">AH339+10*LOG10(AB339)</f>
        <v>248.935871528876</v>
      </c>
    </row>
    <row r="340" customFormat="false" ht="12.75" hidden="false" customHeight="false" outlineLevel="0" collapsed="false">
      <c r="A340" s="32" t="n">
        <v>2019</v>
      </c>
      <c r="B340" s="22" t="n">
        <v>20.6</v>
      </c>
      <c r="C340" s="34" t="s">
        <v>139</v>
      </c>
      <c r="D340" s="23" t="s">
        <v>173</v>
      </c>
      <c r="E340" s="94" t="n">
        <v>0.028</v>
      </c>
      <c r="F340" s="75" t="s">
        <v>1591</v>
      </c>
      <c r="G340" s="86" t="s">
        <v>1592</v>
      </c>
      <c r="H340" s="86" t="s">
        <v>1593</v>
      </c>
      <c r="I340" s="76" t="s">
        <v>1594</v>
      </c>
      <c r="J340" s="46" t="s">
        <v>1595</v>
      </c>
      <c r="K340" s="28" t="s">
        <v>117</v>
      </c>
      <c r="L340" s="99" t="n">
        <v>2</v>
      </c>
      <c r="M340" s="99" t="n">
        <v>1.15</v>
      </c>
      <c r="N340" s="99"/>
      <c r="P340" s="2" t="n">
        <v>0.06</v>
      </c>
      <c r="R340" s="48" t="n">
        <v>10000000</v>
      </c>
      <c r="S340" s="41" t="n">
        <v>64.9</v>
      </c>
      <c r="T340" s="41" t="n">
        <v>65.7</v>
      </c>
      <c r="U340" s="41" t="n">
        <v>68</v>
      </c>
      <c r="V340" s="41"/>
      <c r="W340" s="41"/>
      <c r="X340" s="49" t="n">
        <f aca="false">+IF(ISNUMBER($S340),$S340,MIN($V340,$T340,$U340,$W340))</f>
        <v>64.9</v>
      </c>
      <c r="Y340" s="26" t="n">
        <v>0.00733</v>
      </c>
      <c r="Z340" s="95" t="n">
        <v>960000000</v>
      </c>
      <c r="AA340" s="98" t="n">
        <v>6</v>
      </c>
      <c r="AB340" s="26" t="n">
        <f aca="false">Z340/AA340</f>
        <v>160000000</v>
      </c>
      <c r="AC340" s="26"/>
      <c r="AD340" s="51" t="n">
        <f aca="false">IF(AB340&gt;0, Y340/AB340*1000000000000, 0)</f>
        <v>45.8125</v>
      </c>
      <c r="AE340" s="49" t="str">
        <f aca="false">IF(ISNUMBER($Q340), $AD340*1000/2^(($Q340-1.76)/6.02), "")</f>
        <v/>
      </c>
      <c r="AF340" s="49" t="n">
        <f aca="false">$AD340*1000/2^(($X340-1.76)/6.02)</f>
        <v>31.8910916983521</v>
      </c>
      <c r="AG340" s="31" t="str">
        <f aca="false">IF(ISNUMBER($Q340), $Q340+10*LOG10($AB340/2/$Y340), "")</f>
        <v/>
      </c>
      <c r="AH340" s="31" t="n">
        <f aca="false">IF($Y340&gt;0, $X340+10*LOG10($AB340/2/$Y340), 0)</f>
        <v>165.279860123508</v>
      </c>
      <c r="AI340" s="26" t="n">
        <f aca="false">AF340/AB340</f>
        <v>1.99319323114701E-007</v>
      </c>
      <c r="AJ340" s="53" t="n">
        <f aca="false">AH340+10*LOG10(AB340)</f>
        <v>247.321059950067</v>
      </c>
    </row>
    <row r="341" customFormat="false" ht="12.75" hidden="false" customHeight="false" outlineLevel="0" collapsed="false">
      <c r="A341" s="32" t="n">
        <v>2019</v>
      </c>
      <c r="B341" s="22" t="n">
        <v>20.7</v>
      </c>
      <c r="C341" s="34" t="s">
        <v>139</v>
      </c>
      <c r="D341" s="23" t="s">
        <v>173</v>
      </c>
      <c r="E341" s="94" t="n">
        <v>0.028</v>
      </c>
      <c r="F341" s="90" t="s">
        <v>1596</v>
      </c>
      <c r="G341" s="86" t="s">
        <v>1597</v>
      </c>
      <c r="H341" s="86" t="s">
        <v>1598</v>
      </c>
      <c r="I341" s="76" t="s">
        <v>1599</v>
      </c>
      <c r="J341" s="46" t="str">
        <f aca="false">IF(I341&lt;&gt;"?", HYPERLINK(CONCATENATE("https://doi.org/",I341)), "")</f>
        <v>https://doi.org/10.1109/ISSCC.2019.8662317</v>
      </c>
      <c r="K341" s="28" t="s">
        <v>117</v>
      </c>
      <c r="L341" s="99"/>
      <c r="M341" s="99"/>
      <c r="N341" s="99"/>
      <c r="P341" s="2" t="n">
        <v>0.019</v>
      </c>
      <c r="R341" s="48" t="n">
        <v>18000000</v>
      </c>
      <c r="S341" s="41" t="n">
        <v>72.6</v>
      </c>
      <c r="T341" s="41"/>
      <c r="U341" s="41"/>
      <c r="V341" s="41"/>
      <c r="W341" s="41" t="n">
        <v>76.3</v>
      </c>
      <c r="X341" s="49" t="n">
        <f aca="false">+IF(ISNUMBER($S341),$S341,MIN($V341,$T341,$U341,$W341))</f>
        <v>72.6</v>
      </c>
      <c r="Y341" s="26" t="n">
        <v>0.0163</v>
      </c>
      <c r="Z341" s="95" t="n">
        <v>2000000000</v>
      </c>
      <c r="AA341" s="98" t="n">
        <v>10</v>
      </c>
      <c r="AB341" s="26" t="n">
        <f aca="false">Z341/AA341</f>
        <v>200000000</v>
      </c>
      <c r="AC341" s="26"/>
      <c r="AD341" s="51" t="n">
        <f aca="false">IF(AB341&gt;0, Y341/AB341*1000000000000, 0)</f>
        <v>81.5</v>
      </c>
      <c r="AE341" s="49" t="str">
        <f aca="false">IF(ISNUMBER($Q341), $AD341*1000/2^(($Q341-1.76)/6.02), "")</f>
        <v/>
      </c>
      <c r="AF341" s="49" t="n">
        <f aca="false">$AD341*1000/2^(($X341-1.76)/6.02)</f>
        <v>23.3778537023108</v>
      </c>
      <c r="AG341" s="31" t="str">
        <f aca="false">IF(ISNUMBER($Q341), $Q341+10*LOG10($AB341/2/$Y341), "")</f>
        <v/>
      </c>
      <c r="AH341" s="31" t="n">
        <f aca="false">IF($Y341&gt;0, $X341+10*LOG10($AB341/2/$Y341), 0)</f>
        <v>170.47812395596</v>
      </c>
      <c r="AI341" s="26" t="n">
        <f aca="false">AF341/AB341</f>
        <v>1.16889268511554E-007</v>
      </c>
      <c r="AJ341" s="53" t="n">
        <f aca="false">AH341+10*LOG10(AB341)</f>
        <v>253.4884239126</v>
      </c>
    </row>
    <row r="342" customFormat="false" ht="12.75" hidden="false" customHeight="false" outlineLevel="0" collapsed="false">
      <c r="A342" s="32" t="n">
        <v>2019</v>
      </c>
      <c r="B342" s="22" t="n">
        <v>22.1</v>
      </c>
      <c r="C342" s="34" t="s">
        <v>139</v>
      </c>
      <c r="D342" s="23" t="s">
        <v>112</v>
      </c>
      <c r="E342" s="94" t="n">
        <v>0.055</v>
      </c>
      <c r="F342" s="75" t="s">
        <v>1600</v>
      </c>
      <c r="G342" s="86" t="s">
        <v>1601</v>
      </c>
      <c r="H342" s="86" t="s">
        <v>1602</v>
      </c>
      <c r="I342" s="76" t="s">
        <v>1603</v>
      </c>
      <c r="J342" s="46" t="str">
        <f aca="false">IF(I342&lt;&gt;"?", HYPERLINK(CONCATENATE("https://doi.org/",I342)), "")</f>
        <v>https://doi.org/10.1109/ISSCC.2019.8662520</v>
      </c>
      <c r="K342" s="28" t="s">
        <v>117</v>
      </c>
      <c r="L342" s="99"/>
      <c r="M342" s="99"/>
      <c r="N342" s="99"/>
      <c r="P342" s="29" t="n">
        <v>0</v>
      </c>
      <c r="R342" s="48" t="n">
        <v>150</v>
      </c>
      <c r="S342" s="41" t="n">
        <f aca="false">12.8*6.02+1.76</f>
        <v>78.816</v>
      </c>
      <c r="T342" s="41"/>
      <c r="U342" s="41"/>
      <c r="V342" s="41"/>
      <c r="W342" s="41"/>
      <c r="X342" s="49" t="n">
        <f aca="false">+IF(ISNUMBER($S342),$S342,MIN($V342,$T342,$U342,$W342))</f>
        <v>78.816</v>
      </c>
      <c r="Y342" s="26" t="n">
        <v>9E-007</v>
      </c>
      <c r="Z342" s="95" t="n">
        <v>32000</v>
      </c>
      <c r="AA342" s="98" t="n">
        <f aca="false">32000/300</f>
        <v>106.666666666667</v>
      </c>
      <c r="AB342" s="26" t="n">
        <f aca="false">Z342/AA342</f>
        <v>300</v>
      </c>
      <c r="AC342" s="26"/>
      <c r="AD342" s="51" t="n">
        <f aca="false">IF(AB342&gt;0, Y342/AB342*1000000000000, 0)</f>
        <v>3000</v>
      </c>
      <c r="AE342" s="49" t="str">
        <f aca="false">IF(ISNUMBER($Q342), $AD342*1000/2^(($Q342-1.76)/6.02), "")</f>
        <v/>
      </c>
      <c r="AF342" s="49" t="n">
        <f aca="false">$AD342*1000/2^(($X342-1.76)/6.02)</f>
        <v>420.665901488172</v>
      </c>
      <c r="AG342" s="31" t="str">
        <f aca="false">IF(ISNUMBER($Q342), $Q342+10*LOG10($AB342/2/$Y342), "")</f>
        <v/>
      </c>
      <c r="AH342" s="31" t="n">
        <f aca="false">IF($Y342&gt;0, $X342+10*LOG10($AB342/2/$Y342), 0)</f>
        <v>161.034487496164</v>
      </c>
      <c r="AI342" s="26" t="n">
        <f aca="false">AF342/AB342</f>
        <v>1.40221967162724</v>
      </c>
      <c r="AJ342" s="53" t="n">
        <f aca="false">AH342+10*LOG10(AB342)</f>
        <v>185.80570004336</v>
      </c>
    </row>
    <row r="343" customFormat="false" ht="12.75" hidden="false" customHeight="false" outlineLevel="0" collapsed="false">
      <c r="A343" s="74" t="n">
        <v>2020</v>
      </c>
      <c r="B343" s="22" t="n">
        <v>5.1</v>
      </c>
      <c r="C343" s="34" t="s">
        <v>139</v>
      </c>
      <c r="D343" s="23" t="s">
        <v>1410</v>
      </c>
      <c r="E343" s="94" t="n">
        <v>0.028</v>
      </c>
      <c r="F343" s="75" t="s">
        <v>1604</v>
      </c>
      <c r="G343" s="86" t="s">
        <v>1605</v>
      </c>
      <c r="H343" s="86" t="s">
        <v>1606</v>
      </c>
      <c r="I343" s="76" t="s">
        <v>1607</v>
      </c>
      <c r="J343" s="46" t="str">
        <f aca="false">IF(I343&lt;&gt;"?", HYPERLINK(CONCATENATE("https://doi.org/",I343)), "")</f>
        <v>https://doi.org/10.1109/ISSCC19947.2020.9063148</v>
      </c>
      <c r="K343" s="28" t="s">
        <v>117</v>
      </c>
      <c r="L343" s="99"/>
      <c r="M343" s="99"/>
      <c r="N343" s="99"/>
      <c r="P343" s="2" t="n">
        <v>0.003</v>
      </c>
      <c r="R343" s="48" t="n">
        <v>10000000</v>
      </c>
      <c r="S343" s="41" t="n">
        <v>39.3</v>
      </c>
      <c r="T343" s="41"/>
      <c r="U343" s="41"/>
      <c r="V343" s="41"/>
      <c r="W343" s="41" t="n">
        <v>49.8</v>
      </c>
      <c r="X343" s="49" t="n">
        <f aca="false">+IF(ISNUMBER($S343),$S343,MIN($V343,$T343,$U343,$W343))</f>
        <v>39.3</v>
      </c>
      <c r="Y343" s="26" t="n">
        <v>0.00138</v>
      </c>
      <c r="Z343" s="95" t="n">
        <v>400000000</v>
      </c>
      <c r="AA343" s="98" t="n">
        <v>2</v>
      </c>
      <c r="AB343" s="26" t="n">
        <f aca="false">Z343/AA343</f>
        <v>200000000</v>
      </c>
      <c r="AC343" s="26"/>
      <c r="AD343" s="51" t="n">
        <f aca="false">IF(AB343&gt;0, Y343/AB343*1000000000000, 0)</f>
        <v>6.9</v>
      </c>
      <c r="AE343" s="49" t="str">
        <f aca="false">IF(ISNUMBER($Q343), $AD343*1000/2^(($Q343-1.76)/6.02), "")</f>
        <v/>
      </c>
      <c r="AF343" s="49" t="n">
        <f aca="false">$AD343*1000/2^(($X343-1.76)/6.02)</f>
        <v>91.5507784361996</v>
      </c>
      <c r="AG343" s="31" t="str">
        <f aca="false">IF(ISNUMBER($Q343), $Q343+10*LOG10($AB343/2/$Y343), "")</f>
        <v/>
      </c>
      <c r="AH343" s="31" t="n">
        <f aca="false">IF($Y343&gt;0, $X343+10*LOG10($AB343/2/$Y343), 0)</f>
        <v>147.901209135988</v>
      </c>
      <c r="AI343" s="26" t="n">
        <f aca="false">AF343/AB343</f>
        <v>4.57753892180998E-007</v>
      </c>
      <c r="AJ343" s="53" t="n">
        <f aca="false">AH343+10*LOG10(AB343)</f>
        <v>230.911509092627</v>
      </c>
    </row>
    <row r="344" customFormat="false" ht="12.75" hidden="false" customHeight="false" outlineLevel="0" collapsed="false">
      <c r="A344" s="23" t="n">
        <v>2020</v>
      </c>
      <c r="B344" s="22" t="n">
        <v>9.1</v>
      </c>
      <c r="C344" s="22" t="s">
        <v>139</v>
      </c>
      <c r="D344" s="23" t="s">
        <v>1608</v>
      </c>
      <c r="E344" s="94" t="n">
        <v>0.055</v>
      </c>
      <c r="F344" s="75" t="s">
        <v>1609</v>
      </c>
      <c r="G344" s="86" t="s">
        <v>1610</v>
      </c>
      <c r="H344" s="86" t="s">
        <v>1611</v>
      </c>
      <c r="I344" s="76" t="s">
        <v>1612</v>
      </c>
      <c r="J344" s="46" t="str">
        <f aca="false">IF(I344&lt;&gt;"?", HYPERLINK(CONCATENATE("https://doi.org/",I344)), "")</f>
        <v>https://doi.org/10.1109/ISSCC19947.2020.9062990</v>
      </c>
      <c r="K344" s="28" t="s">
        <v>117</v>
      </c>
      <c r="L344" s="99"/>
      <c r="M344" s="99"/>
      <c r="N344" s="99"/>
      <c r="P344" s="29" t="n">
        <f aca="false">0.77*0.76</f>
        <v>0.5852</v>
      </c>
      <c r="R344" s="48" t="n">
        <v>2000</v>
      </c>
      <c r="S344" s="41" t="n">
        <v>101.9</v>
      </c>
      <c r="T344" s="41"/>
      <c r="U344" s="41" t="n">
        <v>140</v>
      </c>
      <c r="V344" s="41"/>
      <c r="W344" s="41"/>
      <c r="X344" s="49" t="n">
        <f aca="false">+IF(ISNUMBER($S344),$S344,MIN($V344,$T344,$U344,$W344))</f>
        <v>101.9</v>
      </c>
      <c r="Y344" s="26" t="n">
        <v>0.001011</v>
      </c>
      <c r="Z344" s="95" t="n">
        <v>2048000</v>
      </c>
      <c r="AA344" s="98" t="n">
        <v>512</v>
      </c>
      <c r="AB344" s="26" t="n">
        <f aca="false">Z344/AA344</f>
        <v>4000</v>
      </c>
      <c r="AC344" s="26"/>
      <c r="AD344" s="51" t="n">
        <f aca="false">IF(AB344&gt;0, Y344/AB344*1000000000000, 0)</f>
        <v>252750</v>
      </c>
      <c r="AE344" s="49" t="str">
        <f aca="false">IF(ISNUMBER($Q344), $AD344*1000/2^(($Q344-1.76)/6.02), "")</f>
        <v/>
      </c>
      <c r="AF344" s="49" t="n">
        <f aca="false">$AD344*1000/2^(($X344-1.76)/6.02)</f>
        <v>2484.23227519634</v>
      </c>
      <c r="AG344" s="31" t="str">
        <f aca="false">IF(ISNUMBER($Q344), $Q344+10*LOG10($AB344/2/$Y344), "")</f>
        <v/>
      </c>
      <c r="AH344" s="31" t="n">
        <f aca="false">IF($Y344&gt;0, $X344+10*LOG10($AB344/2/$Y344), 0)</f>
        <v>164.86278840073</v>
      </c>
      <c r="AI344" s="26" t="n">
        <f aca="false">AF344/AB344</f>
        <v>0.621058068799085</v>
      </c>
      <c r="AJ344" s="53" t="n">
        <f aca="false">AH344+10*LOG10(AB344)</f>
        <v>200.883388314009</v>
      </c>
    </row>
    <row r="345" customFormat="false" ht="12.75" hidden="false" customHeight="false" outlineLevel="0" collapsed="false">
      <c r="A345" s="32" t="n">
        <v>2020</v>
      </c>
      <c r="B345" s="22" t="n">
        <v>9.2</v>
      </c>
      <c r="C345" s="22" t="s">
        <v>139</v>
      </c>
      <c r="D345" s="23" t="s">
        <v>173</v>
      </c>
      <c r="E345" s="94" t="n">
        <v>0.065</v>
      </c>
      <c r="F345" s="75" t="s">
        <v>1613</v>
      </c>
      <c r="G345" s="86" t="s">
        <v>1614</v>
      </c>
      <c r="H345" s="86" t="s">
        <v>1615</v>
      </c>
      <c r="I345" s="76" t="s">
        <v>1616</v>
      </c>
      <c r="J345" s="46" t="str">
        <f aca="false">IF(I345&lt;&gt;"?", HYPERLINK(CONCATENATE("https://doi.org/",I345)), "")</f>
        <v>https://doi.org/10.1109/ISSCC19947.2020.9062904</v>
      </c>
      <c r="K345" s="28" t="s">
        <v>117</v>
      </c>
      <c r="L345" s="99"/>
      <c r="M345" s="99"/>
      <c r="N345" s="99"/>
      <c r="P345" s="2" t="n">
        <v>0.28</v>
      </c>
      <c r="R345" s="48" t="n">
        <v>12000</v>
      </c>
      <c r="S345" s="41" t="n">
        <v>99.4</v>
      </c>
      <c r="T345" s="41" t="n">
        <v>101</v>
      </c>
      <c r="U345" s="41" t="n">
        <v>103.5</v>
      </c>
      <c r="V345" s="41"/>
      <c r="W345" s="41"/>
      <c r="X345" s="49" t="n">
        <f aca="false">+IF(ISNUMBER($S345),$S345,MIN($V345,$T345,$U345,$W345))</f>
        <v>99.4</v>
      </c>
      <c r="Y345" s="26" t="n">
        <v>0.000134</v>
      </c>
      <c r="Z345" s="95" t="n">
        <v>8000000</v>
      </c>
      <c r="AA345" s="98" t="n">
        <f aca="false">Z345/AB345</f>
        <v>166.666666666667</v>
      </c>
      <c r="AB345" s="26" t="n">
        <v>48000</v>
      </c>
      <c r="AC345" s="26"/>
      <c r="AD345" s="51" t="n">
        <f aca="false">IF(AB345&gt;0, Y345/AB345*1000000000000, 0)</f>
        <v>2791.66666666667</v>
      </c>
      <c r="AE345" s="49" t="str">
        <f aca="false">IF(ISNUMBER($Q345), $AD345*1000/2^(($Q345-1.76)/6.02), "")</f>
        <v/>
      </c>
      <c r="AF345" s="49" t="n">
        <f aca="false">$AD345*1000/2^(($X345-1.76)/6.02)</f>
        <v>36.5912337805547</v>
      </c>
      <c r="AG345" s="31" t="str">
        <f aca="false">IF(ISNUMBER($Q345), $Q345+10*LOG10($AB345/2/$Y345), "")</f>
        <v/>
      </c>
      <c r="AH345" s="31" t="n">
        <f aca="false">IF($Y345&gt;0, $X345+10*LOG10($AB345/2/$Y345), 0)</f>
        <v>181.931064433468</v>
      </c>
      <c r="AI345" s="26" t="n">
        <f aca="false">AF345/AB345</f>
        <v>0.000762317370428222</v>
      </c>
      <c r="AJ345" s="53" t="n">
        <f aca="false">AH345+10*LOG10(AB345)</f>
        <v>228.743476807224</v>
      </c>
    </row>
    <row r="346" customFormat="false" ht="12.75" hidden="false" customHeight="false" outlineLevel="0" collapsed="false">
      <c r="A346" s="32" t="n">
        <v>2020</v>
      </c>
      <c r="B346" s="22" t="n">
        <v>9.3</v>
      </c>
      <c r="C346" s="22" t="s">
        <v>139</v>
      </c>
      <c r="D346" s="23" t="s">
        <v>112</v>
      </c>
      <c r="E346" s="94" t="n">
        <v>0.04</v>
      </c>
      <c r="F346" s="75" t="s">
        <v>1617</v>
      </c>
      <c r="G346" s="86" t="s">
        <v>1618</v>
      </c>
      <c r="H346" s="86" t="s">
        <v>1619</v>
      </c>
      <c r="I346" s="76" t="s">
        <v>1620</v>
      </c>
      <c r="J346" s="46" t="str">
        <f aca="false">IF(I346&lt;&gt;"?", HYPERLINK(CONCATENATE("https://doi.org/",I346)), "")</f>
        <v>https://doi.org/10.1109/ISSCC19947.2020.9063159</v>
      </c>
      <c r="K346" s="28" t="s">
        <v>117</v>
      </c>
      <c r="L346" s="99"/>
      <c r="M346" s="99"/>
      <c r="N346" s="99"/>
      <c r="P346" s="29" t="n">
        <v>0.061</v>
      </c>
      <c r="R346" s="48" t="n">
        <v>40000</v>
      </c>
      <c r="S346" s="41" t="n">
        <v>90.5</v>
      </c>
      <c r="T346" s="41" t="n">
        <v>90.9</v>
      </c>
      <c r="U346" s="41" t="n">
        <v>94.3</v>
      </c>
      <c r="V346" s="41"/>
      <c r="W346" s="41" t="n">
        <v>102.2</v>
      </c>
      <c r="X346" s="49" t="n">
        <f aca="false">+IF(ISNUMBER($S346),$S346,MIN($V346,$T346,$U346,$W346))</f>
        <v>90.5</v>
      </c>
      <c r="Y346" s="26" t="n">
        <v>6.74E-005</v>
      </c>
      <c r="Z346" s="95" t="n">
        <v>2000000</v>
      </c>
      <c r="AA346" s="98" t="n">
        <v>25</v>
      </c>
      <c r="AB346" s="26" t="n">
        <v>80000</v>
      </c>
      <c r="AC346" s="26"/>
      <c r="AD346" s="51" t="n">
        <f aca="false">IF(AB346&gt;0, Y346/AB346*1000000000000, 0)</f>
        <v>842.5</v>
      </c>
      <c r="AE346" s="49" t="str">
        <f aca="false">IF(ISNUMBER($Q346), $AD346*1000/2^(($Q346-1.76)/6.02), "")</f>
        <v/>
      </c>
      <c r="AF346" s="49" t="n">
        <f aca="false">$AD346*1000/2^(($X346-1.76)/6.02)</f>
        <v>30.7700178046729</v>
      </c>
      <c r="AG346" s="31" t="str">
        <f aca="false">IF(ISNUMBER($Q346), $Q346+10*LOG10($AB346/2/$Y346), "")</f>
        <v/>
      </c>
      <c r="AH346" s="31" t="n">
        <f aca="false">IF($Y346&gt;0, $X346+10*LOG10($AB346/2/$Y346), 0)</f>
        <v>178.234000947926</v>
      </c>
      <c r="AI346" s="26" t="n">
        <f aca="false">AF346/AB346</f>
        <v>0.000384625222558412</v>
      </c>
      <c r="AJ346" s="53" t="n">
        <f aca="false">AH346+10*LOG10(AB346)</f>
        <v>227.264900817846</v>
      </c>
    </row>
    <row r="347" customFormat="false" ht="12.75" hidden="false" customHeight="false" outlineLevel="0" collapsed="false">
      <c r="A347" s="32" t="n">
        <v>2020</v>
      </c>
      <c r="B347" s="22" t="n">
        <v>9.4</v>
      </c>
      <c r="C347" s="22" t="s">
        <v>139</v>
      </c>
      <c r="D347" s="23" t="s">
        <v>112</v>
      </c>
      <c r="E347" s="94" t="n">
        <v>0.028</v>
      </c>
      <c r="F347" s="25" t="s">
        <v>1621</v>
      </c>
      <c r="G347" s="86" t="s">
        <v>1622</v>
      </c>
      <c r="H347" s="86" t="s">
        <v>1623</v>
      </c>
      <c r="I347" s="76" t="s">
        <v>1624</v>
      </c>
      <c r="J347" s="46" t="str">
        <f aca="false">IF(I347&lt;&gt;"?", HYPERLINK(CONCATENATE("https://doi.org/",I347)), "")</f>
        <v>https://doi.org/10.1109/ISSCC19947.2020.9062905</v>
      </c>
      <c r="K347" s="28" t="s">
        <v>117</v>
      </c>
      <c r="L347" s="99"/>
      <c r="M347" s="99"/>
      <c r="N347" s="99"/>
      <c r="P347" s="2" t="n">
        <v>0.02</v>
      </c>
      <c r="R347" s="48" t="n">
        <v>100000</v>
      </c>
      <c r="S347" s="41" t="n">
        <v>87.6</v>
      </c>
      <c r="T347" s="41" t="n">
        <v>87.9</v>
      </c>
      <c r="U347" s="41" t="n">
        <v>89</v>
      </c>
      <c r="V347" s="41"/>
      <c r="W347" s="41" t="n">
        <v>102.8</v>
      </c>
      <c r="X347" s="49" t="n">
        <f aca="false">+IF(ISNUMBER($S347),$S347,MIN($V347,$T347,$U347,$W347))</f>
        <v>87.6</v>
      </c>
      <c r="Y347" s="26" t="n">
        <v>0.00012</v>
      </c>
      <c r="Z347" s="95" t="n">
        <v>2000000</v>
      </c>
      <c r="AA347" s="98" t="n">
        <v>10</v>
      </c>
      <c r="AB347" s="26" t="n">
        <f aca="false">Z347/AA347</f>
        <v>200000</v>
      </c>
      <c r="AC347" s="26"/>
      <c r="AD347" s="51" t="n">
        <f aca="false">IF(AB347&gt;0, Y347/AB347*1000000000000, 0)</f>
        <v>600</v>
      </c>
      <c r="AE347" s="49" t="str">
        <f aca="false">IF(ISNUMBER($Q347), $AD347*1000/2^(($Q347-1.76)/6.02), "")</f>
        <v/>
      </c>
      <c r="AF347" s="49" t="n">
        <f aca="false">$AD347*1000/2^(($X347-1.76)/6.02)</f>
        <v>30.6001487848751</v>
      </c>
      <c r="AG347" s="31" t="str">
        <f aca="false">IF(ISNUMBER($Q347), $Q347+10*LOG10($AB347/2/$Y347), "")</f>
        <v/>
      </c>
      <c r="AH347" s="31" t="n">
        <f aca="false">IF($Y347&gt;0, $X347+10*LOG10($AB347/2/$Y347), 0)</f>
        <v>176.808187539524</v>
      </c>
      <c r="AI347" s="26" t="n">
        <f aca="false">AF347/AB347</f>
        <v>0.000153000743924376</v>
      </c>
      <c r="AJ347" s="53" t="n">
        <f aca="false">AH347+10*LOG10(AB347)</f>
        <v>229.818487496164</v>
      </c>
    </row>
    <row r="348" customFormat="false" ht="12.75" hidden="false" customHeight="false" outlineLevel="0" collapsed="false">
      <c r="A348" s="32" t="n">
        <v>2020</v>
      </c>
      <c r="B348" s="22" t="n">
        <v>9.5</v>
      </c>
      <c r="C348" s="22" t="s">
        <v>139</v>
      </c>
      <c r="D348" s="23" t="s">
        <v>112</v>
      </c>
      <c r="E348" s="94" t="n">
        <v>0.04</v>
      </c>
      <c r="F348" s="25" t="s">
        <v>1625</v>
      </c>
      <c r="G348" s="86" t="s">
        <v>1626</v>
      </c>
      <c r="H348" s="86" t="s">
        <v>1627</v>
      </c>
      <c r="I348" s="76" t="s">
        <v>1628</v>
      </c>
      <c r="J348" s="46" t="str">
        <f aca="false">IF(I348&lt;&gt;"?", HYPERLINK(CONCATENATE("https://doi.org/",I348)), "")</f>
        <v>https://doi.org/10.1109/ISSCC19947.2020.9063058</v>
      </c>
      <c r="K348" s="28" t="s">
        <v>117</v>
      </c>
      <c r="L348" s="99"/>
      <c r="M348" s="99"/>
      <c r="N348" s="99"/>
      <c r="P348" s="2" t="n">
        <v>0.037</v>
      </c>
      <c r="R348" s="48" t="n">
        <v>625000</v>
      </c>
      <c r="S348" s="41" t="n">
        <v>83.8</v>
      </c>
      <c r="T348" s="41"/>
      <c r="U348" s="41" t="n">
        <v>85.5</v>
      </c>
      <c r="V348" s="41"/>
      <c r="W348" s="41" t="n">
        <v>94.3</v>
      </c>
      <c r="X348" s="49" t="n">
        <f aca="false">+IF(ISNUMBER($S348),$S348,MIN($V348,$T348,$U348,$W348))</f>
        <v>83.8</v>
      </c>
      <c r="Y348" s="26" t="n">
        <v>0.000107</v>
      </c>
      <c r="Z348" s="95" t="n">
        <v>10000000</v>
      </c>
      <c r="AA348" s="98" t="n">
        <v>8</v>
      </c>
      <c r="AB348" s="26" t="n">
        <f aca="false">Z348/AA348</f>
        <v>1250000</v>
      </c>
      <c r="AC348" s="26"/>
      <c r="AD348" s="51" t="n">
        <f aca="false">IF(AB348&gt;0, Y348/AB348*1000000000000, 0)</f>
        <v>85.6</v>
      </c>
      <c r="AE348" s="49" t="str">
        <f aca="false">IF(ISNUMBER($Q348), $AD348*1000/2^(($Q348-1.76)/6.02), "")</f>
        <v/>
      </c>
      <c r="AF348" s="49" t="n">
        <f aca="false">$AD348*1000/2^(($X348-1.76)/6.02)</f>
        <v>6.76184150044711</v>
      </c>
      <c r="AG348" s="31" t="str">
        <f aca="false">IF(ISNUMBER($Q348), $Q348+10*LOG10($AB348/2/$Y348), "")</f>
        <v/>
      </c>
      <c r="AH348" s="31" t="n">
        <f aca="false">IF($Y348&gt;0, $X348+10*LOG10($AB348/2/$Y348), 0)</f>
        <v>181.464962396589</v>
      </c>
      <c r="AI348" s="26" t="n">
        <f aca="false">AF348/AB348</f>
        <v>5.40947320035769E-006</v>
      </c>
      <c r="AJ348" s="53" t="n">
        <f aca="false">AH348+10*LOG10(AB348)</f>
        <v>242.434062526669</v>
      </c>
    </row>
    <row r="349" customFormat="false" ht="12.75" hidden="false" customHeight="false" outlineLevel="0" collapsed="false">
      <c r="A349" s="32" t="n">
        <v>2020</v>
      </c>
      <c r="B349" s="22" t="n">
        <v>9.6</v>
      </c>
      <c r="C349" s="22" t="s">
        <v>139</v>
      </c>
      <c r="D349" s="23" t="s">
        <v>1506</v>
      </c>
      <c r="E349" s="94" t="n">
        <v>0.028</v>
      </c>
      <c r="F349" s="25" t="s">
        <v>1629</v>
      </c>
      <c r="G349" s="86" t="s">
        <v>1630</v>
      </c>
      <c r="H349" s="86" t="s">
        <v>1631</v>
      </c>
      <c r="I349" s="76" t="s">
        <v>1632</v>
      </c>
      <c r="J349" s="46" t="str">
        <f aca="false">IF(I349&lt;&gt;"?", HYPERLINK(CONCATENATE("https://doi.org/",I349)), "")</f>
        <v>https://doi.org/10.1109/ISSCC19947.2020.9063047</v>
      </c>
      <c r="K349" s="77" t="s">
        <v>117</v>
      </c>
      <c r="L349" s="54"/>
      <c r="M349" s="54"/>
      <c r="N349" s="54"/>
      <c r="P349" s="2" t="n">
        <v>0.016</v>
      </c>
      <c r="R349" s="48" t="n">
        <v>2000000</v>
      </c>
      <c r="S349" s="41" t="n">
        <v>75.2</v>
      </c>
      <c r="T349" s="41"/>
      <c r="U349" s="41" t="n">
        <v>76.6</v>
      </c>
      <c r="V349" s="41"/>
      <c r="W349" s="41" t="n">
        <v>87.1</v>
      </c>
      <c r="X349" s="49" t="n">
        <f aca="false">+IF(ISNUMBER($S349),$S349,MIN($V349,$T349,$U349,$W349))</f>
        <v>75.2</v>
      </c>
      <c r="Y349" s="26" t="n">
        <v>0.00256</v>
      </c>
      <c r="Z349" s="95" t="n">
        <v>600000000</v>
      </c>
      <c r="AA349" s="97" t="n">
        <v>7.5</v>
      </c>
      <c r="AB349" s="26" t="n">
        <f aca="false">Z349/AA349</f>
        <v>80000000</v>
      </c>
      <c r="AC349" s="26"/>
      <c r="AD349" s="51" t="n">
        <f aca="false">IF(AB349&gt;0, Y349/AB349*1000000000000, 0)</f>
        <v>32</v>
      </c>
      <c r="AE349" s="49" t="str">
        <f aca="false">IF(ISNUMBER($Q349), $AD349*1000/2^(($Q349-1.76)/6.02), "")</f>
        <v/>
      </c>
      <c r="AF349" s="49" t="n">
        <f aca="false">$AD349*1000/2^(($X349-1.76)/6.02)</f>
        <v>6.80430936672988</v>
      </c>
      <c r="AG349" s="31" t="str">
        <f aca="false">IF(ISNUMBER($Q349), $Q349+10*LOG10($AB349/2/$Y349), "")</f>
        <v/>
      </c>
      <c r="AH349" s="31" t="n">
        <f aca="false">IF($Y349&gt;0, $X349+10*LOG10($AB349/2/$Y349), 0)</f>
        <v>177.138200260161</v>
      </c>
      <c r="AI349" s="26" t="n">
        <f aca="false">AF349/AB349</f>
        <v>8.50538670841235E-008</v>
      </c>
      <c r="AJ349" s="53" t="n">
        <f aca="false">AH349+10*LOG10(AB349)</f>
        <v>256.169100130081</v>
      </c>
    </row>
    <row r="350" customFormat="false" ht="12.75" hidden="false" customHeight="false" outlineLevel="0" collapsed="false">
      <c r="A350" s="32" t="n">
        <v>2020</v>
      </c>
      <c r="B350" s="22" t="n">
        <v>9.7</v>
      </c>
      <c r="C350" s="22" t="s">
        <v>139</v>
      </c>
      <c r="D350" s="23" t="s">
        <v>173</v>
      </c>
      <c r="E350" s="94" t="n">
        <v>0.028</v>
      </c>
      <c r="F350" s="25" t="s">
        <v>1633</v>
      </c>
      <c r="G350" s="86" t="s">
        <v>1634</v>
      </c>
      <c r="H350" s="86" t="s">
        <v>1635</v>
      </c>
      <c r="I350" s="76" t="s">
        <v>1636</v>
      </c>
      <c r="J350" s="46" t="str">
        <f aca="false">IF(I350&lt;&gt;"?", HYPERLINK(CONCATENATE("https://doi.org/",I350)), "")</f>
        <v>https://doi.org/10.1109/ISSCC19947.2020.9063026</v>
      </c>
      <c r="K350" s="77" t="s">
        <v>117</v>
      </c>
      <c r="L350" s="54"/>
      <c r="M350" s="54"/>
      <c r="N350" s="54"/>
      <c r="P350" s="2" t="n">
        <v>0.28</v>
      </c>
      <c r="R350" s="48" t="n">
        <v>168460</v>
      </c>
      <c r="S350" s="41" t="n">
        <v>67.5</v>
      </c>
      <c r="T350" s="41"/>
      <c r="U350" s="41" t="n">
        <v>74.3</v>
      </c>
      <c r="V350" s="41"/>
      <c r="W350" s="41"/>
      <c r="X350" s="49" t="n">
        <f aca="false">+IF(ISNUMBER($S350),$S350,MIN($V350,$T350,$U350,$W350))</f>
        <v>67.5</v>
      </c>
      <c r="Y350" s="26" t="n">
        <v>0.019</v>
      </c>
      <c r="Z350" s="95" t="n">
        <v>480000000</v>
      </c>
      <c r="AA350" s="98" t="n">
        <v>16</v>
      </c>
      <c r="AB350" s="26" t="n">
        <f aca="false">Z350/AA350</f>
        <v>30000000</v>
      </c>
      <c r="AC350" s="26"/>
      <c r="AD350" s="51" t="n">
        <f aca="false">IF(AB350&gt;0, Y350/AB350*1000000000000, 0)</f>
        <v>633.333333333333</v>
      </c>
      <c r="AE350" s="49" t="str">
        <f aca="false">IF(ISNUMBER($Q350), $AD350*1000/2^(($Q350-1.76)/6.02), "")</f>
        <v/>
      </c>
      <c r="AF350" s="49" t="n">
        <f aca="false">$AD350*1000/2^(($X350-1.76)/6.02)</f>
        <v>326.81711025924</v>
      </c>
      <c r="AG350" s="31" t="str">
        <f aca="false">IF(ISNUMBER($Q350), $Q350+10*LOG10($AB350/2/$Y350), "")</f>
        <v/>
      </c>
      <c r="AH350" s="31" t="n">
        <f aca="false">IF($Y350&gt;0, $X350+10*LOG10($AB350/2/$Y350), 0)</f>
        <v>156.473376581029</v>
      </c>
      <c r="AI350" s="26" t="n">
        <f aca="false">AF350/AB350</f>
        <v>1.0893903675308E-005</v>
      </c>
      <c r="AJ350" s="53" t="n">
        <f aca="false">AH350+10*LOG10(AB350)</f>
        <v>231.244589128225</v>
      </c>
    </row>
    <row r="351" customFormat="false" ht="12.75" hidden="false" customHeight="false" outlineLevel="0" collapsed="false">
      <c r="A351" s="32" t="n">
        <v>2020</v>
      </c>
      <c r="B351" s="22" t="n">
        <v>9.8</v>
      </c>
      <c r="C351" s="22" t="s">
        <v>139</v>
      </c>
      <c r="D351" s="23" t="s">
        <v>173</v>
      </c>
      <c r="E351" s="94" t="n">
        <v>0.028</v>
      </c>
      <c r="F351" s="25" t="s">
        <v>1637</v>
      </c>
      <c r="G351" s="86" t="s">
        <v>1638</v>
      </c>
      <c r="H351" s="103" t="s">
        <v>1639</v>
      </c>
      <c r="I351" s="76" t="s">
        <v>1640</v>
      </c>
      <c r="J351" s="46" t="str">
        <f aca="false">IF(I351&lt;&gt;"?", HYPERLINK(CONCATENATE("https://doi.org/",I351)), "")</f>
        <v>https://doi.org/10.1109/ISSCC19947.2020.9062936</v>
      </c>
      <c r="K351" s="77" t="s">
        <v>117</v>
      </c>
      <c r="L351" s="54"/>
      <c r="M351" s="54"/>
      <c r="N351" s="54"/>
      <c r="P351" s="2" t="n">
        <v>0.3</v>
      </c>
      <c r="R351" s="48" t="n">
        <v>22.05</v>
      </c>
      <c r="S351" s="41"/>
      <c r="T351" s="41" t="n">
        <v>106</v>
      </c>
      <c r="U351" s="41"/>
      <c r="V351" s="41" t="n">
        <v>91</v>
      </c>
      <c r="W351" s="41"/>
      <c r="X351" s="49" t="n">
        <f aca="false">+IF(ISNUMBER($S351),$S351,MIN($V351,$T351,$U351,$W351))</f>
        <v>91</v>
      </c>
      <c r="Y351" s="26" t="n">
        <v>0.006</v>
      </c>
      <c r="Z351" s="95" t="n">
        <v>135500</v>
      </c>
      <c r="AA351" s="98" t="n">
        <f aca="false">Z351/AB351</f>
        <v>3.07256235827664</v>
      </c>
      <c r="AB351" s="26" t="n">
        <v>44100</v>
      </c>
      <c r="AC351" s="26"/>
      <c r="AD351" s="51" t="n">
        <f aca="false">IF(AB351&gt;0, Y351/AB351*1000000000000, 0)</f>
        <v>136054.421768707</v>
      </c>
      <c r="AE351" s="49" t="str">
        <f aca="false">IF(ISNUMBER($Q351), $AD351*1000/2^(($Q351-1.76)/6.02), "")</f>
        <v/>
      </c>
      <c r="AF351" s="49" t="n">
        <f aca="false">$AD351*1000/2^(($X351-1.76)/6.02)</f>
        <v>4691.02780984027</v>
      </c>
      <c r="AG351" s="31" t="str">
        <f aca="false">IF(ISNUMBER($Q351), $Q351+10*LOG10($AB351/2/$Y351), "")</f>
        <v/>
      </c>
      <c r="AH351" s="31" t="n">
        <f aca="false">IF($Y351&gt;0, $X351+10*LOG10($AB351/2/$Y351), 0)</f>
        <v>156.652573434202</v>
      </c>
      <c r="AI351" s="26" t="n">
        <f aca="false">AF351/AB351</f>
        <v>0.106372512694791</v>
      </c>
      <c r="AJ351" s="53" t="n">
        <f aca="false">AH351+10*LOG10(AB351)</f>
        <v>203.096959328881</v>
      </c>
    </row>
    <row r="352" customFormat="false" ht="12.75" hidden="false" customHeight="false" outlineLevel="0" collapsed="false">
      <c r="A352" s="32" t="n">
        <v>2020</v>
      </c>
      <c r="B352" s="22" t="n">
        <v>16.1</v>
      </c>
      <c r="C352" s="22" t="s">
        <v>111</v>
      </c>
      <c r="D352" s="23" t="s">
        <v>191</v>
      </c>
      <c r="E352" s="94" t="n">
        <v>0.016</v>
      </c>
      <c r="F352" s="75" t="s">
        <v>1641</v>
      </c>
      <c r="G352" s="86" t="s">
        <v>1642</v>
      </c>
      <c r="H352" s="103" t="s">
        <v>1643</v>
      </c>
      <c r="I352" s="76" t="s">
        <v>1644</v>
      </c>
      <c r="J352" s="46" t="str">
        <f aca="false">IF(I352&lt;&gt;"?", HYPERLINK(CONCATENATE("https://doi.org/",I352)), "")</f>
        <v>https://doi.org/10.1109/ISSCC19947.2020.9063011</v>
      </c>
      <c r="K352" s="77" t="s">
        <v>117</v>
      </c>
      <c r="L352" s="54"/>
      <c r="M352" s="54"/>
      <c r="N352" s="54"/>
      <c r="P352" s="2" t="n">
        <v>2.6</v>
      </c>
      <c r="Q352" s="30" t="n">
        <v>53</v>
      </c>
      <c r="R352" s="48" t="n">
        <v>8000000000</v>
      </c>
      <c r="S352" s="41" t="n">
        <v>48</v>
      </c>
      <c r="T352" s="41"/>
      <c r="U352" s="41"/>
      <c r="V352" s="41"/>
      <c r="W352" s="41" t="n">
        <v>54</v>
      </c>
      <c r="X352" s="49" t="n">
        <f aca="false">+IF(ISNUMBER($S352),$S352,MIN($V352,$T352,$U352,$W352))</f>
        <v>48</v>
      </c>
      <c r="Y352" s="26" t="n">
        <v>1.3</v>
      </c>
      <c r="Z352" s="95" t="n">
        <v>18000000000</v>
      </c>
      <c r="AA352" s="98" t="n">
        <v>1</v>
      </c>
      <c r="AB352" s="26" t="n">
        <f aca="false">Z352/AA352</f>
        <v>18000000000</v>
      </c>
      <c r="AC352" s="26"/>
      <c r="AD352" s="51" t="n">
        <f aca="false">IF(AB352&gt;0, Y352/AB352*1000000000000, 0)</f>
        <v>72.2222222222222</v>
      </c>
      <c r="AE352" s="49" t="n">
        <f aca="false">IF(ISNUMBER($Q352), $AD352*1000/2^(($Q352-1.76)/6.02), "")</f>
        <v>197.886212041411</v>
      </c>
      <c r="AF352" s="49" t="n">
        <f aca="false">$AD352*1000/2^(($X352-1.76)/6.02)</f>
        <v>351.917163584684</v>
      </c>
      <c r="AG352" s="31" t="n">
        <f aca="false">IF(ISNUMBER($Q352), $Q352+10*LOG10($AB352/2/$Y352), "")</f>
        <v>151.402991571325</v>
      </c>
      <c r="AH352" s="31" t="n">
        <f aca="false">IF($Y352&gt;0, $X352+10*LOG10($AB352/2/$Y352), 0)</f>
        <v>146.402991571325</v>
      </c>
      <c r="AI352" s="26" t="n">
        <f aca="false">AF352/AB352</f>
        <v>1.95509535324824E-008</v>
      </c>
      <c r="AJ352" s="53" t="n">
        <f aca="false">AH352+10*LOG10(AB352)</f>
        <v>248.955716622358</v>
      </c>
    </row>
    <row r="353" customFormat="false" ht="12.75" hidden="false" customHeight="false" outlineLevel="0" collapsed="false">
      <c r="A353" s="32" t="n">
        <v>2020</v>
      </c>
      <c r="B353" s="22" t="n">
        <v>16.2</v>
      </c>
      <c r="C353" s="22" t="s">
        <v>111</v>
      </c>
      <c r="D353" s="23" t="s">
        <v>1645</v>
      </c>
      <c r="E353" s="94" t="n">
        <v>0.065</v>
      </c>
      <c r="F353" s="25" t="s">
        <v>1646</v>
      </c>
      <c r="G353" s="86" t="s">
        <v>1647</v>
      </c>
      <c r="H353" s="103" t="s">
        <v>1648</v>
      </c>
      <c r="I353" s="76" t="s">
        <v>1649</v>
      </c>
      <c r="J353" s="46" t="str">
        <f aca="false">IF(I353&lt;&gt;"?", HYPERLINK(CONCATENATE("https://doi.org/",I353)), "")</f>
        <v>https://doi.org/10.1109/ISSCC19947.2020.9062986</v>
      </c>
      <c r="K353" s="77" t="s">
        <v>117</v>
      </c>
      <c r="L353" s="54"/>
      <c r="M353" s="54"/>
      <c r="N353" s="54"/>
      <c r="P353" s="2" t="n">
        <v>0.095</v>
      </c>
      <c r="R353" s="48" t="n">
        <v>5000000000</v>
      </c>
      <c r="S353" s="41" t="n">
        <v>40.1</v>
      </c>
      <c r="T353" s="41"/>
      <c r="U353" s="41"/>
      <c r="V353" s="41"/>
      <c r="W353" s="41" t="n">
        <v>52.8</v>
      </c>
      <c r="X353" s="49" t="n">
        <f aca="false">+IF(ISNUMBER($S353),$S353,MIN($V353,$T353,$U353,$W353))</f>
        <v>40.1</v>
      </c>
      <c r="Y353" s="26" t="n">
        <v>0.0508</v>
      </c>
      <c r="Z353" s="95" t="n">
        <v>10000000000</v>
      </c>
      <c r="AA353" s="98" t="n">
        <v>1</v>
      </c>
      <c r="AB353" s="26" t="n">
        <f aca="false">Z353/AA353</f>
        <v>10000000000</v>
      </c>
      <c r="AC353" s="26"/>
      <c r="AD353" s="51" t="n">
        <f aca="false">IF(AB353&gt;0, Y353/AB353*1000000000000, 0)</f>
        <v>5.08</v>
      </c>
      <c r="AE353" s="49" t="str">
        <f aca="false">IF(ISNUMBER($Q353), $AD353*1000/2^(($Q353-1.76)/6.02), "")</f>
        <v/>
      </c>
      <c r="AF353" s="49" t="n">
        <f aca="false">$AD353*1000/2^(($X353-1.76)/6.02)</f>
        <v>61.4713394994654</v>
      </c>
      <c r="AG353" s="31" t="str">
        <f aca="false">IF(ISNUMBER($Q353), $Q353+10*LOG10($AB353/2/$Y353), "")</f>
        <v/>
      </c>
      <c r="AH353" s="31" t="n">
        <f aca="false">IF($Y353&gt;0, $X353+10*LOG10($AB353/2/$Y353), 0)</f>
        <v>150.031062920521</v>
      </c>
      <c r="AI353" s="26" t="n">
        <f aca="false">AF353/AB353</f>
        <v>6.14713394994654E-009</v>
      </c>
      <c r="AJ353" s="53" t="n">
        <f aca="false">AH353+10*LOG10(AB353)</f>
        <v>250.031062920521</v>
      </c>
    </row>
    <row r="354" customFormat="false" ht="12.75" hidden="false" customHeight="false" outlineLevel="0" collapsed="false">
      <c r="A354" s="32" t="n">
        <v>2020</v>
      </c>
      <c r="B354" s="22" t="n">
        <v>16.3</v>
      </c>
      <c r="C354" s="22" t="s">
        <v>111</v>
      </c>
      <c r="D354" s="23" t="s">
        <v>133</v>
      </c>
      <c r="E354" s="94" t="n">
        <v>0.028</v>
      </c>
      <c r="F354" s="25" t="s">
        <v>1650</v>
      </c>
      <c r="G354" s="86" t="s">
        <v>1651</v>
      </c>
      <c r="H354" s="103" t="s">
        <v>1652</v>
      </c>
      <c r="I354" s="76" t="s">
        <v>1653</v>
      </c>
      <c r="J354" s="46" t="str">
        <f aca="false">IF(I354&lt;&gt;"?", HYPERLINK(CONCATENATE("https://doi.org/",I354)), "")</f>
        <v>https://doi.org/10.1109/ISSCC19947.2020.9062895</v>
      </c>
      <c r="K354" s="77" t="s">
        <v>117</v>
      </c>
      <c r="L354" s="54"/>
      <c r="M354" s="54"/>
      <c r="N354" s="54"/>
      <c r="P354" s="2" t="n">
        <v>0.0166</v>
      </c>
      <c r="R354" s="48" t="n">
        <v>1650000000</v>
      </c>
      <c r="S354" s="41" t="n">
        <v>34.16</v>
      </c>
      <c r="T354" s="41"/>
      <c r="U354" s="41"/>
      <c r="V354" s="41"/>
      <c r="W354" s="41" t="n">
        <v>45.45</v>
      </c>
      <c r="X354" s="49" t="n">
        <f aca="false">+IF(ISNUMBER($S354),$S354,MIN($V354,$T354,$U354,$W354))</f>
        <v>34.16</v>
      </c>
      <c r="Y354" s="26" t="n">
        <v>0.0055</v>
      </c>
      <c r="Z354" s="95" t="n">
        <v>3300000000</v>
      </c>
      <c r="AA354" s="98" t="n">
        <v>1</v>
      </c>
      <c r="AB354" s="26" t="n">
        <f aca="false">Z354/AA354</f>
        <v>3300000000</v>
      </c>
      <c r="AC354" s="26"/>
      <c r="AD354" s="51" t="n">
        <f aca="false">IF(AB354&gt;0, Y354/AB354*1000000000000, 0)</f>
        <v>1.66666666666667</v>
      </c>
      <c r="AE354" s="49" t="str">
        <f aca="false">IF(ISNUMBER($Q354), $AD354*1000/2^(($Q354-1.76)/6.02), "")</f>
        <v/>
      </c>
      <c r="AF354" s="49" t="n">
        <f aca="false">$AD354*1000/2^(($X354-1.76)/6.02)</f>
        <v>39.9656896113988</v>
      </c>
      <c r="AG354" s="31" t="str">
        <f aca="false">IF(ISNUMBER($Q354), $Q354+10*LOG10($AB354/2/$Y354), "")</f>
        <v/>
      </c>
      <c r="AH354" s="31" t="n">
        <f aca="false">IF($Y354&gt;0, $X354+10*LOG10($AB354/2/$Y354), 0)</f>
        <v>148.931212547197</v>
      </c>
      <c r="AI354" s="26" t="n">
        <f aca="false">AF354/AB354</f>
        <v>1.21108150337572E-008</v>
      </c>
      <c r="AJ354" s="53" t="n">
        <f aca="false">AH354+10*LOG10(AB354)</f>
        <v>244.116351945976</v>
      </c>
    </row>
    <row r="355" customFormat="false" ht="12.75" hidden="false" customHeight="false" outlineLevel="0" collapsed="false">
      <c r="A355" s="32" t="n">
        <v>2020</v>
      </c>
      <c r="B355" s="22" t="n">
        <v>16.4</v>
      </c>
      <c r="C355" s="22" t="s">
        <v>111</v>
      </c>
      <c r="D355" s="23" t="s">
        <v>994</v>
      </c>
      <c r="E355" s="94" t="n">
        <v>0.028</v>
      </c>
      <c r="F355" s="25" t="s">
        <v>1654</v>
      </c>
      <c r="G355" s="86" t="s">
        <v>1655</v>
      </c>
      <c r="H355" s="103" t="s">
        <v>1656</v>
      </c>
      <c r="I355" s="76" t="s">
        <v>1657</v>
      </c>
      <c r="J355" s="46" t="str">
        <f aca="false">IF(I355&lt;&gt;"?", HYPERLINK(CONCATENATE("https://doi.org/",I355)), "")</f>
        <v>https://doi.org/10.1109/ISSCC19947.2020.9063055</v>
      </c>
      <c r="K355" s="77" t="s">
        <v>117</v>
      </c>
      <c r="L355" s="54"/>
      <c r="M355" s="54"/>
      <c r="N355" s="54"/>
      <c r="P355" s="2" t="n">
        <v>0.018</v>
      </c>
      <c r="R355" s="48" t="n">
        <v>50000000</v>
      </c>
      <c r="S355" s="41" t="n">
        <v>71.7</v>
      </c>
      <c r="T355" s="41"/>
      <c r="U355" s="41"/>
      <c r="V355" s="41"/>
      <c r="W355" s="41" t="n">
        <v>87</v>
      </c>
      <c r="X355" s="49" t="n">
        <f aca="false">+IF(ISNUMBER($S355),$S355,MIN($V355,$T355,$U355,$W355))</f>
        <v>71.7</v>
      </c>
      <c r="Y355" s="26" t="n">
        <v>0.0007</v>
      </c>
      <c r="Z355" s="95" t="n">
        <v>100000000</v>
      </c>
      <c r="AA355" s="98" t="n">
        <v>1</v>
      </c>
      <c r="AB355" s="26" t="n">
        <f aca="false">Z355/AA355</f>
        <v>100000000</v>
      </c>
      <c r="AC355" s="26"/>
      <c r="AD355" s="51" t="n">
        <f aca="false">IF(AB355&gt;0, Y355/AB355*1000000000000, 0)</f>
        <v>7</v>
      </c>
      <c r="AE355" s="49" t="str">
        <f aca="false">IF(ISNUMBER($Q355), $AD355*1000/2^(($Q355-1.76)/6.02), "")</f>
        <v/>
      </c>
      <c r="AF355" s="49" t="n">
        <f aca="false">$AD355*1000/2^(($X355-1.76)/6.02)</f>
        <v>2.22715043153406</v>
      </c>
      <c r="AG355" s="31" t="str">
        <f aca="false">IF(ISNUMBER($Q355), $Q355+10*LOG10($AB355/2/$Y355), "")</f>
        <v/>
      </c>
      <c r="AH355" s="31" t="n">
        <f aca="false">IF($Y355&gt;0, $X355+10*LOG10($AB355/2/$Y355), 0)</f>
        <v>180.238719643218</v>
      </c>
      <c r="AI355" s="26" t="n">
        <f aca="false">AF355/AB355</f>
        <v>2.22715043153406E-008</v>
      </c>
      <c r="AJ355" s="53" t="n">
        <f aca="false">AH355+10*LOG10(AB355)</f>
        <v>260.238719643218</v>
      </c>
    </row>
    <row r="356" customFormat="false" ht="12.75" hidden="false" customHeight="false" outlineLevel="0" collapsed="false">
      <c r="A356" s="32" t="n">
        <v>2020</v>
      </c>
      <c r="B356" s="22" t="n">
        <v>16.5</v>
      </c>
      <c r="C356" s="22" t="s">
        <v>111</v>
      </c>
      <c r="D356" s="23" t="s">
        <v>112</v>
      </c>
      <c r="E356" s="94" t="n">
        <v>0.04</v>
      </c>
      <c r="F356" s="75" t="s">
        <v>1658</v>
      </c>
      <c r="G356" s="86" t="s">
        <v>1659</v>
      </c>
      <c r="H356" s="103" t="s">
        <v>1660</v>
      </c>
      <c r="I356" s="76" t="s">
        <v>1661</v>
      </c>
      <c r="J356" s="46" t="str">
        <f aca="false">IF(I356&lt;&gt;"?", HYPERLINK(CONCATENATE("https://doi.org/",I356)), "")</f>
        <v>https://doi.org/10.1109/ISSCC19947.2020.9063156</v>
      </c>
      <c r="K356" s="77" t="s">
        <v>117</v>
      </c>
      <c r="L356" s="54"/>
      <c r="M356" s="54"/>
      <c r="N356" s="54"/>
      <c r="O356" s="22" t="n">
        <v>0.24</v>
      </c>
      <c r="P356" s="2" t="n">
        <v>0.005</v>
      </c>
      <c r="R356" s="48" t="n">
        <v>19100000</v>
      </c>
      <c r="S356" s="41" t="n">
        <v>69</v>
      </c>
      <c r="T356" s="41"/>
      <c r="U356" s="41"/>
      <c r="V356" s="41"/>
      <c r="W356" s="41" t="n">
        <v>79.2</v>
      </c>
      <c r="X356" s="49" t="n">
        <f aca="false">+IF(ISNUMBER($S356),$S356,MIN($V356,$T356,$U356,$W356))</f>
        <v>69</v>
      </c>
      <c r="Y356" s="26" t="n">
        <v>0.000591</v>
      </c>
      <c r="Z356" s="95" t="n">
        <v>40000000</v>
      </c>
      <c r="AA356" s="98" t="n">
        <v>1</v>
      </c>
      <c r="AB356" s="26" t="n">
        <f aca="false">Z356/AA356</f>
        <v>40000000</v>
      </c>
      <c r="AC356" s="26"/>
      <c r="AD356" s="51" t="n">
        <f aca="false">IF(AB356&gt;0, Y356/AB356*1000000000000, 0)</f>
        <v>14.775</v>
      </c>
      <c r="AE356" s="49" t="str">
        <f aca="false">IF(ISNUMBER($Q356), $AD356*1000/2^(($Q356-1.76)/6.02), "")</f>
        <v/>
      </c>
      <c r="AF356" s="49" t="n">
        <f aca="false">$AD356*1000/2^(($X356-1.76)/6.02)</f>
        <v>6.41493787632576</v>
      </c>
      <c r="AG356" s="31" t="str">
        <f aca="false">IF(ISNUMBER($Q356), $Q356+10*LOG10($AB356/2/$Y356), "")</f>
        <v/>
      </c>
      <c r="AH356" s="31" t="n">
        <f aca="false">IF($Y356&gt;0, $X356+10*LOG10($AB356/2/$Y356), 0)</f>
        <v>174.294425147827</v>
      </c>
      <c r="AI356" s="26" t="n">
        <f aca="false">AF356/AB356</f>
        <v>1.60373446908144E-007</v>
      </c>
      <c r="AJ356" s="53" t="n">
        <f aca="false">AH356+10*LOG10(AB356)</f>
        <v>250.315025061107</v>
      </c>
    </row>
    <row r="357" customFormat="false" ht="12.75" hidden="false" customHeight="false" outlineLevel="0" collapsed="false">
      <c r="A357" s="32" t="n">
        <v>2020</v>
      </c>
      <c r="B357" s="22" t="n">
        <v>16.6</v>
      </c>
      <c r="C357" s="34" t="s">
        <v>139</v>
      </c>
      <c r="D357" s="23" t="s">
        <v>1662</v>
      </c>
      <c r="E357" s="94" t="n">
        <v>0.016</v>
      </c>
      <c r="F357" s="25" t="s">
        <v>1663</v>
      </c>
      <c r="G357" s="86" t="s">
        <v>1664</v>
      </c>
      <c r="H357" s="103" t="s">
        <v>1665</v>
      </c>
      <c r="I357" s="76" t="s">
        <v>1666</v>
      </c>
      <c r="J357" s="46" t="str">
        <f aca="false">IF(I357&lt;&gt;"?", HYPERLINK(CONCATENATE("https://doi.org/",I357)), "")</f>
        <v>https://doi.org/10.1109/ISSCC19947.2020.9062917</v>
      </c>
      <c r="K357" s="77" t="s">
        <v>117</v>
      </c>
      <c r="L357" s="54"/>
      <c r="M357" s="54"/>
      <c r="N357" s="54"/>
      <c r="P357" s="2" t="n">
        <v>0.34</v>
      </c>
      <c r="R357" s="48" t="n">
        <v>800000000</v>
      </c>
      <c r="S357" s="41" t="n">
        <v>58</v>
      </c>
      <c r="T357" s="41"/>
      <c r="U357" s="41" t="n">
        <v>60</v>
      </c>
      <c r="V357" s="41"/>
      <c r="W357" s="41" t="n">
        <v>73</v>
      </c>
      <c r="X357" s="49" t="n">
        <f aca="false">+IF(ISNUMBER($S357),$S357,MIN($V357,$T357,$U357,$W357))</f>
        <v>58</v>
      </c>
      <c r="Y357" s="26" t="n">
        <v>0.28</v>
      </c>
      <c r="Z357" s="95" t="n">
        <v>6400000000</v>
      </c>
      <c r="AA357" s="98" t="n">
        <v>4</v>
      </c>
      <c r="AB357" s="26" t="n">
        <f aca="false">Z357/AA357</f>
        <v>1600000000</v>
      </c>
      <c r="AC357" s="26"/>
      <c r="AD357" s="51" t="n">
        <f aca="false">IF(AB357&gt;0, Y357/AB357*1000000000000, 0)</f>
        <v>175</v>
      </c>
      <c r="AE357" s="49" t="str">
        <f aca="false">IF(ISNUMBER($Q357), $AD357*1000/2^(($Q357-1.76)/6.02), "")</f>
        <v/>
      </c>
      <c r="AF357" s="49" t="n">
        <f aca="false">$AD357*1000/2^(($X357-1.76)/6.02)</f>
        <v>269.623550543367</v>
      </c>
      <c r="AG357" s="31" t="str">
        <f aca="false">IF(ISNUMBER($Q357), $Q357+10*LOG10($AB357/2/$Y357), "")</f>
        <v/>
      </c>
      <c r="AH357" s="31" t="n">
        <f aca="false">IF($Y357&gt;0, $X357+10*LOG10($AB357/2/$Y357), 0)</f>
        <v>152.559319556497</v>
      </c>
      <c r="AI357" s="26" t="n">
        <f aca="false">AF357/AB357</f>
        <v>1.68514719089604E-007</v>
      </c>
      <c r="AJ357" s="53" t="n">
        <f aca="false">AH357+10*LOG10(AB357)</f>
        <v>244.600519383056</v>
      </c>
    </row>
    <row r="358" customFormat="false" ht="12.75" hidden="false" customHeight="false" outlineLevel="0" collapsed="false">
      <c r="A358" s="32" t="n">
        <v>2020</v>
      </c>
      <c r="B358" s="22" t="n">
        <v>16.7</v>
      </c>
      <c r="C358" s="22" t="s">
        <v>111</v>
      </c>
      <c r="D358" s="23" t="s">
        <v>1667</v>
      </c>
      <c r="E358" s="94" t="n">
        <v>0.028</v>
      </c>
      <c r="F358" s="75" t="s">
        <v>1668</v>
      </c>
      <c r="G358" s="86" t="s">
        <v>1669</v>
      </c>
      <c r="H358" s="103" t="s">
        <v>1670</v>
      </c>
      <c r="I358" s="76" t="s">
        <v>1671</v>
      </c>
      <c r="J358" s="46" t="str">
        <f aca="false">IF(I358&lt;&gt;"?", HYPERLINK(CONCATENATE("https://doi.org/",I358)), "")</f>
        <v>https://doi.org/10.1109/ISSCC19947.2020.9063022</v>
      </c>
      <c r="K358" s="77" t="s">
        <v>117</v>
      </c>
      <c r="L358" s="54"/>
      <c r="M358" s="54"/>
      <c r="N358" s="54"/>
      <c r="P358" s="29" t="n">
        <f aca="false">0.1*0.23</f>
        <v>0.023</v>
      </c>
      <c r="R358" s="48" t="n">
        <v>40000000</v>
      </c>
      <c r="S358" s="41" t="n">
        <v>76.2</v>
      </c>
      <c r="T358" s="41"/>
      <c r="U358" s="41" t="n">
        <v>78</v>
      </c>
      <c r="V358" s="41"/>
      <c r="W358" s="41"/>
      <c r="X358" s="49" t="n">
        <f aca="false">+IF(ISNUMBER($S358),$S358,MIN($V358,$T358,$U358,$W358))</f>
        <v>76.2</v>
      </c>
      <c r="Y358" s="26" t="n">
        <v>0.0175</v>
      </c>
      <c r="Z358" s="95" t="n">
        <v>2000000000</v>
      </c>
      <c r="AA358" s="98" t="n">
        <f aca="false">Z358/AB358</f>
        <v>25</v>
      </c>
      <c r="AB358" s="26" t="n">
        <v>80000000</v>
      </c>
      <c r="AC358" s="26"/>
      <c r="AD358" s="51" t="n">
        <f aca="false">IF(AB358&gt;0, Y358/AB358*1000000000000, 0)</f>
        <v>218.75</v>
      </c>
      <c r="AE358" s="49" t="str">
        <f aca="false">IF(ISNUMBER($Q358), $AD358*1000/2^(($Q358-1.76)/6.02), "")</f>
        <v/>
      </c>
      <c r="AF358" s="49" t="n">
        <f aca="false">$AD358*1000/2^(($X358-1.76)/6.02)</f>
        <v>41.4550221810531</v>
      </c>
      <c r="AG358" s="31" t="str">
        <f aca="false">IF(ISNUMBER($Q358), $Q358+10*LOG10($AB358/2/$Y358), "")</f>
        <v/>
      </c>
      <c r="AH358" s="31" t="n">
        <f aca="false">IF($Y358&gt;0, $X358+10*LOG10($AB358/2/$Y358), 0)</f>
        <v>169.790219426417</v>
      </c>
      <c r="AI358" s="26" t="n">
        <f aca="false">AF358/AB358</f>
        <v>5.18187777263163E-007</v>
      </c>
      <c r="AJ358" s="53" t="n">
        <f aca="false">AH358+10*LOG10(AB358)</f>
        <v>248.821119296336</v>
      </c>
    </row>
    <row r="359" customFormat="false" ht="12.75" hidden="false" customHeight="false" outlineLevel="0" collapsed="false">
      <c r="A359" s="32" t="n">
        <v>2020</v>
      </c>
      <c r="B359" s="22" t="n">
        <v>26.6</v>
      </c>
      <c r="C359" s="34" t="s">
        <v>139</v>
      </c>
      <c r="D359" s="23" t="s">
        <v>981</v>
      </c>
      <c r="E359" s="24" t="n">
        <v>0.11</v>
      </c>
      <c r="F359" s="75" t="s">
        <v>1672</v>
      </c>
      <c r="G359" s="86" t="s">
        <v>1673</v>
      </c>
      <c r="H359" s="103" t="s">
        <v>1674</v>
      </c>
      <c r="I359" s="76" t="s">
        <v>1675</v>
      </c>
      <c r="J359" s="46" t="str">
        <f aca="false">IF(I359&lt;&gt;"?", HYPERLINK(CONCATENATE("https://doi.org/",I359)), "")</f>
        <v>https://doi.org/10.1109/ISSCC19947.2020.9063074</v>
      </c>
      <c r="K359" s="77" t="s">
        <v>117</v>
      </c>
      <c r="L359" s="54"/>
      <c r="M359" s="54"/>
      <c r="N359" s="54"/>
      <c r="P359" s="29" t="n">
        <v>0.078</v>
      </c>
      <c r="R359" s="48" t="n">
        <v>10000</v>
      </c>
      <c r="S359" s="41" t="n">
        <v>80.4</v>
      </c>
      <c r="T359" s="41"/>
      <c r="U359" s="41"/>
      <c r="V359" s="41"/>
      <c r="W359" s="41" t="n">
        <v>92.2</v>
      </c>
      <c r="X359" s="49" t="n">
        <f aca="false">+IF(ISNUMBER($S359),$S359,MIN($V359,$T359,$U359,$W359))</f>
        <v>80.4</v>
      </c>
      <c r="Y359" s="26" t="n">
        <v>6.5E-006</v>
      </c>
      <c r="Z359" s="95" t="n">
        <v>1280000</v>
      </c>
      <c r="AA359" s="98" t="n">
        <v>64</v>
      </c>
      <c r="AB359" s="26" t="n">
        <f aca="false">Z359/AA359</f>
        <v>20000</v>
      </c>
      <c r="AC359" s="26"/>
      <c r="AD359" s="51" t="n">
        <f aca="false">IF(AB359&gt;0, Y359/AB359*1000000000000, 0)</f>
        <v>325</v>
      </c>
      <c r="AE359" s="49" t="str">
        <f aca="false">IF(ISNUMBER($Q359), $AD359*1000/2^(($Q359-1.76)/6.02), "")</f>
        <v/>
      </c>
      <c r="AF359" s="49" t="n">
        <f aca="false">$AD359*1000/2^(($X359-1.76)/6.02)</f>
        <v>37.9744527476232</v>
      </c>
      <c r="AG359" s="31" t="str">
        <f aca="false">IF(ISNUMBER($Q359), $Q359+10*LOG10($AB359/2/$Y359), "")</f>
        <v/>
      </c>
      <c r="AH359" s="31" t="n">
        <f aca="false">IF($Y359&gt;0, $X359+10*LOG10($AB359/2/$Y359), 0)</f>
        <v>172.270866433571</v>
      </c>
      <c r="AI359" s="26" t="n">
        <f aca="false">AF359/AB359</f>
        <v>0.00189872263738116</v>
      </c>
      <c r="AJ359" s="53" t="n">
        <f aca="false">AH359+10*LOG10(AB359)</f>
        <v>215.281166390211</v>
      </c>
    </row>
    <row r="360" customFormat="false" ht="12.75" hidden="false" customHeight="false" outlineLevel="0" collapsed="false">
      <c r="A360" s="32" t="n">
        <v>2020</v>
      </c>
      <c r="B360" s="22" t="n">
        <v>26.8</v>
      </c>
      <c r="C360" s="34" t="s">
        <v>111</v>
      </c>
      <c r="D360" s="23" t="s">
        <v>112</v>
      </c>
      <c r="E360" s="24" t="n">
        <v>0.35</v>
      </c>
      <c r="F360" s="75" t="s">
        <v>1676</v>
      </c>
      <c r="G360" s="86" t="s">
        <v>1677</v>
      </c>
      <c r="H360" s="103" t="s">
        <v>1678</v>
      </c>
      <c r="I360" s="76" t="s">
        <v>1679</v>
      </c>
      <c r="J360" s="46" t="str">
        <f aca="false">IF(I360&lt;&gt;"?", HYPERLINK(CONCATENATE("https://doi.org/",I360)), "")</f>
        <v>https://doi.org/10.1109/ISSCC19947.2020.9063065</v>
      </c>
      <c r="K360" s="77" t="s">
        <v>117</v>
      </c>
      <c r="L360" s="54"/>
      <c r="M360" s="54"/>
      <c r="N360" s="54"/>
      <c r="P360" s="29" t="n">
        <v>0</v>
      </c>
      <c r="R360" s="48" t="n">
        <v>33</v>
      </c>
      <c r="S360" s="41" t="n">
        <f aca="false">8.7*6.02+1.76</f>
        <v>54.134</v>
      </c>
      <c r="T360" s="41" t="n">
        <v>54.2</v>
      </c>
      <c r="U360" s="41"/>
      <c r="V360" s="41"/>
      <c r="W360" s="41" t="n">
        <v>64.1</v>
      </c>
      <c r="X360" s="49" t="n">
        <f aca="false">+IF(ISNUMBER($S360),$S360,MIN($V360,$T360,$U360,$W360))</f>
        <v>54.134</v>
      </c>
      <c r="Y360" s="26" t="n">
        <f aca="false">0.0000000000000786*2^8.7*25000</f>
        <v>8.17190890926081E-007</v>
      </c>
      <c r="Z360" s="95" t="n">
        <v>25000</v>
      </c>
      <c r="AA360" s="98" t="n">
        <v>1</v>
      </c>
      <c r="AB360" s="26" t="n">
        <f aca="false">Z360/AA360</f>
        <v>25000</v>
      </c>
      <c r="AC360" s="26"/>
      <c r="AD360" s="51" t="n">
        <f aca="false">IF(AB360&gt;0, Y360/AB360*1000000000000, 0)</f>
        <v>32.6876356370432</v>
      </c>
      <c r="AE360" s="49" t="str">
        <f aca="false">IF(ISNUMBER($Q360), $AD360*1000/2^(($Q360-1.76)/6.02), "")</f>
        <v/>
      </c>
      <c r="AF360" s="49" t="n">
        <f aca="false">$AD360*1000/2^(($X360-1.76)/6.02)</f>
        <v>78.6</v>
      </c>
      <c r="AG360" s="31" t="str">
        <f aca="false">IF(ISNUMBER($Q360), $Q360+10*LOG10($AB360/2/$Y360), "")</f>
        <v/>
      </c>
      <c r="AH360" s="31" t="n">
        <f aca="false">IF($Y360&gt;0, $X360+10*LOG10($AB360/2/$Y360), 0)</f>
        <v>155.9798649602</v>
      </c>
      <c r="AI360" s="26" t="n">
        <f aca="false">AF360/AB360</f>
        <v>0.003144</v>
      </c>
      <c r="AJ360" s="53" t="n">
        <f aca="false">AH360+10*LOG10(AB360)</f>
        <v>199.95926504692</v>
      </c>
    </row>
    <row r="361" customFormat="false" ht="12.75" hidden="false" customHeight="false" outlineLevel="0" collapsed="false">
      <c r="A361" s="74" t="n">
        <v>2021</v>
      </c>
      <c r="B361" s="22" t="n">
        <v>8.6</v>
      </c>
      <c r="C361" s="34" t="s">
        <v>111</v>
      </c>
      <c r="D361" s="23" t="s">
        <v>548</v>
      </c>
      <c r="E361" s="94" t="n">
        <v>0.007</v>
      </c>
      <c r="F361" s="75" t="s">
        <v>1680</v>
      </c>
      <c r="G361" s="86" t="s">
        <v>1681</v>
      </c>
      <c r="H361" s="86" t="s">
        <v>1682</v>
      </c>
      <c r="I361" s="76" t="s">
        <v>1683</v>
      </c>
      <c r="J361" s="46" t="str">
        <f aca="false">IF(I361&lt;&gt;"?", HYPERLINK(CONCATENATE("https://doi.org/",I361)), "")</f>
        <v>https://doi.org/10.1109/ISSCC42613.2021.9365746</v>
      </c>
      <c r="K361" s="77" t="s">
        <v>1684</v>
      </c>
      <c r="L361" s="54"/>
      <c r="M361" s="54"/>
      <c r="N361" s="54"/>
      <c r="P361" s="29" t="n">
        <v>0</v>
      </c>
      <c r="Q361" s="30" t="n">
        <v>44.5</v>
      </c>
      <c r="R361" s="48" t="n">
        <v>19390000000</v>
      </c>
      <c r="S361" s="41" t="n">
        <v>35.1</v>
      </c>
      <c r="T361" s="41" t="n">
        <v>36.1</v>
      </c>
      <c r="U361" s="41"/>
      <c r="V361" s="41"/>
      <c r="W361" s="41" t="n">
        <v>42.4</v>
      </c>
      <c r="X361" s="49" t="n">
        <f aca="false">+IF(ISNUMBER($S361),$S361,MIN($V361,$T361,$U361,$W361))</f>
        <v>35.1</v>
      </c>
      <c r="Y361" s="26" t="n">
        <f aca="false">0.000000000000067*AB361*2^((X361-1.76)/6.02)</f>
        <v>0.311344304066298</v>
      </c>
      <c r="Z361" s="104" t="n">
        <v>100000000000</v>
      </c>
      <c r="AA361" s="98" t="n">
        <v>1</v>
      </c>
      <c r="AB361" s="26" t="n">
        <v>100000000000</v>
      </c>
      <c r="AC361" s="26"/>
      <c r="AD361" s="51" t="n">
        <f aca="false">IF(AB361&gt;0, Y361/AB361*1000000000000, 0)</f>
        <v>3.11344304066298</v>
      </c>
      <c r="AE361" s="49" t="n">
        <f aca="false">IF(ISNUMBER($Q361), $AD361*1000/2^(($Q361-1.76)/6.02), "")</f>
        <v>22.7001102048317</v>
      </c>
      <c r="AF361" s="49" t="n">
        <f aca="false">$AD361*1000/2^(($X361-1.76)/6.02)</f>
        <v>67</v>
      </c>
      <c r="AG361" s="31" t="n">
        <f aca="false">IF(ISNUMBER($Q361), $Q361+10*LOG10($AB361/2/$Y361), "")</f>
        <v>156.557290794696</v>
      </c>
      <c r="AH361" s="31" t="n">
        <f aca="false">IF($Y361&gt;0, $X361+10*LOG10($AB361/2/$Y361), 0)</f>
        <v>147.157290794696</v>
      </c>
      <c r="AI361" s="26" t="n">
        <f aca="false">AF361/AB361</f>
        <v>6.7E-010</v>
      </c>
      <c r="AJ361" s="53" t="n">
        <f aca="false">AH361+10*LOG10(AB361)</f>
        <v>257.157290794696</v>
      </c>
    </row>
    <row r="362" customFormat="false" ht="12.75" hidden="false" customHeight="false" outlineLevel="0" collapsed="false">
      <c r="A362" s="23" t="n">
        <v>2021</v>
      </c>
      <c r="B362" s="22" t="n">
        <v>10.1</v>
      </c>
      <c r="C362" s="34" t="s">
        <v>139</v>
      </c>
      <c r="D362" s="23" t="s">
        <v>173</v>
      </c>
      <c r="E362" s="94" t="n">
        <v>0.028</v>
      </c>
      <c r="F362" s="75" t="s">
        <v>1685</v>
      </c>
      <c r="G362" s="86" t="s">
        <v>1686</v>
      </c>
      <c r="H362" s="86" t="s">
        <v>1687</v>
      </c>
      <c r="I362" s="76" t="s">
        <v>1688</v>
      </c>
      <c r="J362" s="46" t="str">
        <f aca="false">IF(I362&lt;&gt;"?", HYPERLINK(CONCATENATE("https://doi.org/",I362)), "")</f>
        <v>https://doi.org/10.1109/ISSCC42613.2021.9365807</v>
      </c>
      <c r="K362" s="77" t="s">
        <v>117</v>
      </c>
      <c r="L362" s="54"/>
      <c r="M362" s="54"/>
      <c r="N362" s="54"/>
      <c r="P362" s="2" t="n">
        <v>0.07</v>
      </c>
      <c r="R362" s="48" t="n">
        <v>24000</v>
      </c>
      <c r="S362" s="41" t="n">
        <v>100.6</v>
      </c>
      <c r="T362" s="41"/>
      <c r="U362" s="41" t="n">
        <v>104.4</v>
      </c>
      <c r="V362" s="41"/>
      <c r="W362" s="41"/>
      <c r="X362" s="49" t="n">
        <f aca="false">+IF(ISNUMBER($S362),$S362,MIN($V362,$T362,$U362,$W362))</f>
        <v>100.6</v>
      </c>
      <c r="Y362" s="26" t="n">
        <v>0.000116</v>
      </c>
      <c r="Z362" s="95" t="n">
        <f aca="false">AA362*AB362</f>
        <v>6144000</v>
      </c>
      <c r="AA362" s="98" t="n">
        <v>128</v>
      </c>
      <c r="AB362" s="26" t="n">
        <f aca="false">48000</f>
        <v>48000</v>
      </c>
      <c r="AC362" s="26"/>
      <c r="AD362" s="51" t="n">
        <f aca="false">IF(AB362&gt;0, Y362/AB362*1000000000000, 0)</f>
        <v>2416.66666666667</v>
      </c>
      <c r="AE362" s="49" t="str">
        <f aca="false">IF(ISNUMBER($Q362), $AD362*1000/2^(($Q362-1.76)/6.02), "")</f>
        <v/>
      </c>
      <c r="AF362" s="49" t="n">
        <f aca="false">$AD362*1000/2^(($X362-1.76)/6.02)</f>
        <v>27.5882571189252</v>
      </c>
      <c r="AG362" s="31" t="str">
        <f aca="false">IF(ISNUMBER($Q362), $Q362+10*LOG10($AB362/2/$Y362), "")</f>
        <v/>
      </c>
      <c r="AH362" s="31" t="n">
        <f aca="false">IF($Y362&gt;0, $X362+10*LOG10($AB362/2/$Y362), 0)</f>
        <v>183.757532524847</v>
      </c>
      <c r="AI362" s="26" t="n">
        <f aca="false">AF362/AB362</f>
        <v>0.000574755356644274</v>
      </c>
      <c r="AJ362" s="53" t="n">
        <f aca="false">AH362+10*LOG10(AB362)</f>
        <v>230.569944898603</v>
      </c>
    </row>
    <row r="363" customFormat="false" ht="12.75" hidden="false" customHeight="false" outlineLevel="0" collapsed="false">
      <c r="A363" s="32" t="n">
        <v>2021</v>
      </c>
      <c r="B363" s="22" t="n">
        <v>10.2</v>
      </c>
      <c r="C363" s="34" t="s">
        <v>139</v>
      </c>
      <c r="D363" s="23" t="s">
        <v>173</v>
      </c>
      <c r="E363" s="94" t="n">
        <v>0.065</v>
      </c>
      <c r="F363" s="75" t="s">
        <v>1689</v>
      </c>
      <c r="G363" s="86" t="s">
        <v>1690</v>
      </c>
      <c r="H363" s="86" t="s">
        <v>1691</v>
      </c>
      <c r="I363" s="76" t="s">
        <v>1692</v>
      </c>
      <c r="J363" s="46" t="str">
        <f aca="false">IF(I363&lt;&gt;"?", HYPERLINK(CONCATENATE("https://doi.org/",I363)), "")</f>
        <v>https://doi.org/10.1109/ISSCC42613.2021.9366002</v>
      </c>
      <c r="K363" s="77" t="s">
        <v>117</v>
      </c>
      <c r="L363" s="54"/>
      <c r="M363" s="54"/>
      <c r="N363" s="54"/>
      <c r="P363" s="2" t="n">
        <v>0.39</v>
      </c>
      <c r="R363" s="26" t="n">
        <v>24000</v>
      </c>
      <c r="S363" s="30" t="n">
        <v>100.9</v>
      </c>
      <c r="T363" s="54" t="n">
        <v>102</v>
      </c>
      <c r="U363" s="30" t="n">
        <v>104.8</v>
      </c>
      <c r="W363" s="22" t="n">
        <v>113.7</v>
      </c>
      <c r="X363" s="49" t="n">
        <f aca="false">+IF(ISNUMBER($S363),$S363,MIN($V363,$T363,$U363,$W363))</f>
        <v>100.9</v>
      </c>
      <c r="Y363" s="26" t="n">
        <v>0.000139</v>
      </c>
      <c r="Z363" s="104" t="n">
        <v>7200000</v>
      </c>
      <c r="AA363" s="98" t="n">
        <v>150</v>
      </c>
      <c r="AB363" s="105" t="n">
        <f aca="false">Z363/AA363</f>
        <v>48000</v>
      </c>
      <c r="AC363" s="105"/>
      <c r="AD363" s="51" t="n">
        <f aca="false">IF(AB363&gt;0, Y363/AB363*1000000000000, 0)</f>
        <v>2895.83333333333</v>
      </c>
      <c r="AE363" s="49" t="str">
        <f aca="false">IF(ISNUMBER($Q363), $AD363*1000/2^(($Q363-1.76)/6.02), "")</f>
        <v/>
      </c>
      <c r="AF363" s="49" t="n">
        <f aca="false">$AD363*1000/2^(($X363-1.76)/6.02)</f>
        <v>31.9359309887993</v>
      </c>
      <c r="AG363" s="31" t="str">
        <f aca="false">IF(ISNUMBER($Q363), $Q363+10*LOG10($AB363/2/$Y363), "")</f>
        <v/>
      </c>
      <c r="AH363" s="31" t="n">
        <f aca="false">IF($Y363&gt;0, $X363+10*LOG10($AB363/2/$Y363), 0)</f>
        <v>183.271964414575</v>
      </c>
      <c r="AI363" s="26" t="n">
        <f aca="false">AF363/AB363</f>
        <v>0.000665331895599985</v>
      </c>
      <c r="AJ363" s="53" t="n">
        <f aca="false">AH363+10*LOG10(AB363)</f>
        <v>230.084376788331</v>
      </c>
    </row>
    <row r="364" customFormat="false" ht="12.75" hidden="false" customHeight="false" outlineLevel="0" collapsed="false">
      <c r="A364" s="32" t="n">
        <v>2021</v>
      </c>
      <c r="B364" s="22" t="n">
        <v>10.3</v>
      </c>
      <c r="C364" s="34" t="s">
        <v>139</v>
      </c>
      <c r="D364" s="23" t="s">
        <v>156</v>
      </c>
      <c r="E364" s="94" t="n">
        <v>0.028</v>
      </c>
      <c r="F364" s="75" t="s">
        <v>1693</v>
      </c>
      <c r="G364" s="86" t="s">
        <v>1694</v>
      </c>
      <c r="H364" s="86" t="s">
        <v>1695</v>
      </c>
      <c r="I364" s="76" t="s">
        <v>1696</v>
      </c>
      <c r="J364" s="46" t="str">
        <f aca="false">IF(I364&lt;&gt;"?", HYPERLINK(CONCATENATE("https://doi.org/",I364)), "")</f>
        <v>https://doi.org/10.1109/ISSCC42613.2021.9366006</v>
      </c>
      <c r="K364" s="77" t="s">
        <v>117</v>
      </c>
      <c r="L364" s="54"/>
      <c r="M364" s="54"/>
      <c r="N364" s="54"/>
      <c r="P364" s="2" t="n">
        <v>0.088</v>
      </c>
      <c r="R364" s="26" t="n">
        <v>10000000</v>
      </c>
      <c r="S364" s="30" t="n">
        <v>67.5</v>
      </c>
      <c r="T364" s="54" t="n">
        <v>68.2</v>
      </c>
      <c r="U364" s="30" t="n">
        <v>69</v>
      </c>
      <c r="W364" s="22" t="n">
        <v>82</v>
      </c>
      <c r="X364" s="49" t="n">
        <f aca="false">+IF(ISNUMBER($S364),$S364,MIN($V364,$T364,$U364,$W364))</f>
        <v>67.5</v>
      </c>
      <c r="Y364" s="26" t="n">
        <v>0.0134</v>
      </c>
      <c r="Z364" s="104" t="n">
        <v>1600000000</v>
      </c>
      <c r="AA364" s="98" t="n">
        <f aca="false">Z364/AB364</f>
        <v>8</v>
      </c>
      <c r="AB364" s="26" t="n">
        <v>200000000</v>
      </c>
      <c r="AC364" s="26"/>
      <c r="AD364" s="51" t="n">
        <f aca="false">IF(AB364&gt;0, Y364/AB364*1000000000000, 0)</f>
        <v>67</v>
      </c>
      <c r="AE364" s="49" t="str">
        <f aca="false">IF(ISNUMBER($Q364), $AD364*1000/2^(($Q364-1.76)/6.02), "")</f>
        <v/>
      </c>
      <c r="AF364" s="49" t="n">
        <f aca="false">$AD364*1000/2^(($X364-1.76)/6.02)</f>
        <v>34.5738100853196</v>
      </c>
      <c r="AG364" s="31" t="str">
        <f aca="false">IF(ISNUMBER($Q364), $Q364+10*LOG10($AB364/2/$Y364), "")</f>
        <v/>
      </c>
      <c r="AH364" s="31" t="n">
        <f aca="false">IF($Y364&gt;0, $X364+10*LOG10($AB364/2/$Y364), 0)</f>
        <v>166.228952016352</v>
      </c>
      <c r="AI364" s="26" t="n">
        <f aca="false">AF364/AB364</f>
        <v>1.72869050426598E-007</v>
      </c>
      <c r="AJ364" s="53" t="n">
        <f aca="false">AH364+10*LOG10(AB364)</f>
        <v>249.239251972992</v>
      </c>
    </row>
    <row r="365" customFormat="false" ht="12.75" hidden="false" customHeight="false" outlineLevel="0" collapsed="false">
      <c r="A365" s="32" t="n">
        <v>2021</v>
      </c>
      <c r="B365" s="22" t="n">
        <v>10.4</v>
      </c>
      <c r="C365" s="34" t="s">
        <v>139</v>
      </c>
      <c r="D365" s="23" t="s">
        <v>173</v>
      </c>
      <c r="E365" s="94" t="n">
        <v>0.04</v>
      </c>
      <c r="F365" s="75" t="s">
        <v>1697</v>
      </c>
      <c r="G365" s="86" t="s">
        <v>1698</v>
      </c>
      <c r="H365" s="86" t="s">
        <v>1699</v>
      </c>
      <c r="I365" s="76" t="s">
        <v>1700</v>
      </c>
      <c r="J365" s="46" t="str">
        <f aca="false">IF(I365&lt;&gt;"?", HYPERLINK(CONCATENATE("https://doi.org/",I365)), "")</f>
        <v>https://doi.org/10.1109/ISSCC42613.2021.9366023</v>
      </c>
      <c r="K365" s="77" t="s">
        <v>117</v>
      </c>
      <c r="L365" s="54"/>
      <c r="M365" s="54"/>
      <c r="N365" s="54"/>
      <c r="P365" s="2" t="n">
        <v>0.057</v>
      </c>
      <c r="R365" s="26" t="n">
        <v>3000000</v>
      </c>
      <c r="S365" s="30" t="n">
        <v>80.9</v>
      </c>
      <c r="U365" s="30" t="n">
        <v>82.2</v>
      </c>
      <c r="W365" s="22" t="n">
        <v>89.3</v>
      </c>
      <c r="X365" s="49" t="n">
        <f aca="false">+IF(ISNUMBER($S365),$S365,MIN($V365,$T365,$U365,$W365))</f>
        <v>80.9</v>
      </c>
      <c r="Y365" s="26" t="n">
        <v>0.0037</v>
      </c>
      <c r="Z365" s="104" t="n">
        <v>500000000</v>
      </c>
      <c r="AA365" s="98" t="n">
        <f aca="false">Z365/AB365</f>
        <v>20</v>
      </c>
      <c r="AB365" s="26" t="n">
        <v>25000000</v>
      </c>
      <c r="AC365" s="26"/>
      <c r="AD365" s="51" t="n">
        <f aca="false">IF(AB365&gt;0, Y365/AB365*1000000000000, 0)</f>
        <v>148</v>
      </c>
      <c r="AE365" s="49" t="str">
        <f aca="false">IF(ISNUMBER($Q365), $AD365*1000/2^(($Q365-1.76)/6.02), "")</f>
        <v/>
      </c>
      <c r="AF365" s="49" t="n">
        <f aca="false">$AD365*1000/2^(($X365-1.76)/6.02)</f>
        <v>16.3255336722681</v>
      </c>
      <c r="AG365" s="31" t="str">
        <f aca="false">IF(ISNUMBER($Q365), $Q365+10*LOG10($AB365/2/$Y365), "")</f>
        <v/>
      </c>
      <c r="AH365" s="31" t="n">
        <f aca="false">IF($Y365&gt;0, $X365+10*LOG10($AB365/2/$Y365), 0)</f>
        <v>176.187082889411</v>
      </c>
      <c r="AI365" s="26" t="n">
        <f aca="false">AF365/AB365</f>
        <v>6.53021346890726E-007</v>
      </c>
      <c r="AJ365" s="53" t="n">
        <f aca="false">AH365+10*LOG10(AB365)</f>
        <v>250.166482976131</v>
      </c>
    </row>
    <row r="366" customFormat="false" ht="12.75" hidden="false" customHeight="false" outlineLevel="0" collapsed="false">
      <c r="A366" s="32" t="n">
        <v>2021</v>
      </c>
      <c r="B366" s="22" t="n">
        <v>10.5</v>
      </c>
      <c r="C366" s="34" t="s">
        <v>111</v>
      </c>
      <c r="D366" s="23" t="s">
        <v>1701</v>
      </c>
      <c r="E366" s="94" t="n">
        <v>0.007</v>
      </c>
      <c r="F366" s="75" t="s">
        <v>1702</v>
      </c>
      <c r="G366" s="86" t="s">
        <v>1703</v>
      </c>
      <c r="H366" s="86" t="s">
        <v>1704</v>
      </c>
      <c r="I366" s="76" t="s">
        <v>1705</v>
      </c>
      <c r="J366" s="46" t="str">
        <f aca="false">IF(I366&lt;&gt;"?", HYPERLINK(CONCATENATE("https://doi.org/",I366)), "")</f>
        <v>https://doi.org/10.1109/ISSCC42613.2021.9366051</v>
      </c>
      <c r="K366" s="77" t="s">
        <v>117</v>
      </c>
      <c r="L366" s="54"/>
      <c r="M366" s="54"/>
      <c r="N366" s="54"/>
      <c r="P366" s="2" t="n">
        <v>0.037</v>
      </c>
      <c r="R366" s="26" t="n">
        <v>300000000</v>
      </c>
      <c r="S366" s="30" t="n">
        <v>55.3</v>
      </c>
      <c r="W366" s="22" t="n">
        <v>67.8</v>
      </c>
      <c r="X366" s="49" t="n">
        <f aca="false">+IF(ISNUMBER($S366),$S366,MIN($V366,$T366,$U366,$W366))</f>
        <v>55.3</v>
      </c>
      <c r="Y366" s="26" t="n">
        <v>0.013</v>
      </c>
      <c r="Z366" s="104" t="n">
        <v>600000000</v>
      </c>
      <c r="AA366" s="98" t="n">
        <v>1</v>
      </c>
      <c r="AB366" s="26" t="n">
        <v>600000000</v>
      </c>
      <c r="AC366" s="26"/>
      <c r="AD366" s="51" t="n">
        <f aca="false">IF(AB366&gt;0, Y366/AB366*1000000000000, 0)</f>
        <v>21.6666666666667</v>
      </c>
      <c r="AE366" s="49" t="str">
        <f aca="false">IF(ISNUMBER($Q366), $AD366*1000/2^(($Q366-1.76)/6.02), "")</f>
        <v/>
      </c>
      <c r="AF366" s="49" t="n">
        <f aca="false">$AD366*1000/2^(($X366-1.76)/6.02)</f>
        <v>45.5538754300175</v>
      </c>
      <c r="AG366" s="31" t="str">
        <f aca="false">IF(ISNUMBER($Q366), $Q366+10*LOG10($AB366/2/$Y366), "")</f>
        <v/>
      </c>
      <c r="AH366" s="31" t="n">
        <f aca="false">IF($Y366&gt;0, $X366+10*LOG10($AB366/2/$Y366), 0)</f>
        <v>158.931779024128</v>
      </c>
      <c r="AI366" s="26" t="n">
        <f aca="false">AF366/AB366</f>
        <v>7.59231257166958E-008</v>
      </c>
      <c r="AJ366" s="53" t="n">
        <f aca="false">AH366+10*LOG10(AB366)</f>
        <v>246.713291527965</v>
      </c>
    </row>
    <row r="367" customFormat="false" ht="12.75" hidden="false" customHeight="false" outlineLevel="0" collapsed="false">
      <c r="A367" s="32" t="n">
        <v>2021</v>
      </c>
      <c r="B367" s="22" t="n">
        <v>13.4</v>
      </c>
      <c r="C367" s="34" t="s">
        <v>111</v>
      </c>
      <c r="D367" s="23" t="s">
        <v>112</v>
      </c>
      <c r="E367" s="94" t="n">
        <v>0.04</v>
      </c>
      <c r="F367" s="75" t="s">
        <v>1706</v>
      </c>
      <c r="G367" s="86" t="s">
        <v>1707</v>
      </c>
      <c r="H367" s="86" t="s">
        <v>1708</v>
      </c>
      <c r="I367" s="76" t="s">
        <v>1709</v>
      </c>
      <c r="J367" s="46" t="str">
        <f aca="false">IF(I367&lt;&gt;"?", HYPERLINK(CONCATENATE("https://doi.org/",I367)), "")</f>
        <v>https://doi.org/10.1109/ISSCC42613.2021.9365927</v>
      </c>
      <c r="K367" s="77" t="s">
        <v>1710</v>
      </c>
      <c r="L367" s="54"/>
      <c r="M367" s="54"/>
      <c r="N367" s="54"/>
      <c r="P367" s="2" t="n">
        <v>0.045</v>
      </c>
      <c r="R367" s="48" t="n">
        <v>450000000</v>
      </c>
      <c r="S367" s="41" t="n">
        <v>33.4</v>
      </c>
      <c r="T367" s="41"/>
      <c r="U367" s="41"/>
      <c r="V367" s="41"/>
      <c r="W367" s="41" t="n">
        <v>48.4</v>
      </c>
      <c r="X367" s="49" t="n">
        <f aca="false">+IF(ISNUMBER($S367),$S367,MIN($V367,$T367,$U367,$W367))</f>
        <v>33.4</v>
      </c>
      <c r="Y367" s="26" t="n">
        <v>0.0007</v>
      </c>
      <c r="Z367" s="104" t="n">
        <v>900000000</v>
      </c>
      <c r="AA367" s="98" t="n">
        <v>1</v>
      </c>
      <c r="AB367" s="26" t="n">
        <v>900000000</v>
      </c>
      <c r="AC367" s="26"/>
      <c r="AD367" s="51" t="n">
        <f aca="false">IF(AB367&gt;0, Y367/AB367*1000000000000, 0)</f>
        <v>0.777777777777778</v>
      </c>
      <c r="AE367" s="49" t="str">
        <f aca="false">IF(ISNUMBER($Q367), $AD367*1000/2^(($Q367-1.76)/6.02), "")</f>
        <v/>
      </c>
      <c r="AF367" s="49" t="n">
        <f aca="false">$AD367*1000/2^(($X367-1.76)/6.02)</f>
        <v>20.3562548295359</v>
      </c>
      <c r="AG367" s="31" t="str">
        <f aca="false">IF(ISNUMBER($Q367), $Q367+10*LOG10($AB367/2/$Y367), "")</f>
        <v/>
      </c>
      <c r="AH367" s="31" t="n">
        <f aca="false">IF($Y367&gt;0, $X367+10*LOG10($AB367/2/$Y367), 0)</f>
        <v>151.481144737611</v>
      </c>
      <c r="AI367" s="26" t="n">
        <f aca="false">AF367/AB367</f>
        <v>2.26180609217066E-008</v>
      </c>
      <c r="AJ367" s="53" t="n">
        <f aca="false">AH367+10*LOG10(AB367)</f>
        <v>241.023569832004</v>
      </c>
    </row>
    <row r="368" customFormat="false" ht="12.75" hidden="false" customHeight="false" outlineLevel="0" collapsed="false">
      <c r="A368" s="32" t="n">
        <v>2021</v>
      </c>
      <c r="B368" s="22" t="n">
        <v>27.1</v>
      </c>
      <c r="C368" s="34" t="s">
        <v>139</v>
      </c>
      <c r="D368" s="23" t="s">
        <v>112</v>
      </c>
      <c r="E368" s="94" t="n">
        <v>0.04</v>
      </c>
      <c r="F368" s="75" t="s">
        <v>1711</v>
      </c>
      <c r="G368" s="86" t="s">
        <v>1712</v>
      </c>
      <c r="H368" s="86" t="s">
        <v>1713</v>
      </c>
      <c r="I368" s="76" t="s">
        <v>1714</v>
      </c>
      <c r="J368" s="46" t="str">
        <f aca="false">IF(I368&lt;&gt;"?", HYPERLINK(CONCATENATE("https://doi.org/",I368)), "")</f>
        <v>https://doi.org/10.1109/ISSCC42613.2021.9366008</v>
      </c>
      <c r="K368" s="77" t="s">
        <v>117</v>
      </c>
      <c r="L368" s="54"/>
      <c r="M368" s="54"/>
      <c r="N368" s="54"/>
      <c r="P368" s="2" t="n">
        <v>0.094</v>
      </c>
      <c r="R368" s="26" t="n">
        <v>0.05</v>
      </c>
      <c r="S368" s="30" t="n">
        <v>93.3</v>
      </c>
      <c r="T368" s="54" t="n">
        <v>94</v>
      </c>
      <c r="U368" s="30" t="n">
        <v>95</v>
      </c>
      <c r="W368" s="22" t="n">
        <v>104.4</v>
      </c>
      <c r="X368" s="49" t="n">
        <f aca="false">+IF(ISNUMBER($S368),$S368,MIN($V368,$T368,$U368,$W368))</f>
        <v>93.3</v>
      </c>
      <c r="Y368" s="26" t="n">
        <v>0.00034</v>
      </c>
      <c r="Z368" s="104" t="n">
        <v>5000000</v>
      </c>
      <c r="AA368" s="98" t="n">
        <f aca="false">Z368/AB368</f>
        <v>10</v>
      </c>
      <c r="AB368" s="26" t="n">
        <v>500000</v>
      </c>
      <c r="AC368" s="26"/>
      <c r="AD368" s="51" t="n">
        <f aca="false">IF(AB368&gt;0, Y368/AB368*1000000000000, 0)</f>
        <v>680</v>
      </c>
      <c r="AE368" s="49" t="str">
        <f aca="false">IF(ISNUMBER($Q368), $AD368*1000/2^(($Q368-1.76)/6.02), "")</f>
        <v/>
      </c>
      <c r="AF368" s="49" t="n">
        <f aca="false">$AD368*1000/2^(($X368-1.76)/6.02)</f>
        <v>17.9908962568276</v>
      </c>
      <c r="AG368" s="31" t="str">
        <f aca="false">IF(ISNUMBER($Q368), $Q368+10*LOG10($AB368/2/$Y368), "")</f>
        <v/>
      </c>
      <c r="AH368" s="31" t="n">
        <f aca="false">IF($Y368&gt;0, $X368+10*LOG10($AB368/2/$Y368), 0)</f>
        <v>181.964610916298</v>
      </c>
      <c r="AI368" s="26" t="n">
        <f aca="false">AF368/AB368</f>
        <v>3.59817925136552E-005</v>
      </c>
      <c r="AJ368" s="53" t="n">
        <f aca="false">AH368+10*LOG10(AB368)</f>
        <v>238.954310959658</v>
      </c>
    </row>
    <row r="369" customFormat="false" ht="12" hidden="false" customHeight="true" outlineLevel="0" collapsed="false">
      <c r="A369" s="32" t="n">
        <v>2021</v>
      </c>
      <c r="B369" s="22" t="n">
        <v>27.2</v>
      </c>
      <c r="C369" s="34" t="s">
        <v>111</v>
      </c>
      <c r="D369" s="23" t="s">
        <v>112</v>
      </c>
      <c r="E369" s="94" t="n">
        <v>0.18</v>
      </c>
      <c r="F369" s="75" t="s">
        <v>1715</v>
      </c>
      <c r="G369" s="86" t="s">
        <v>1716</v>
      </c>
      <c r="H369" s="86" t="s">
        <v>1717</v>
      </c>
      <c r="I369" s="76" t="s">
        <v>1718</v>
      </c>
      <c r="J369" s="46" t="str">
        <f aca="false">IF(I369&lt;&gt;"?", HYPERLINK(CONCATENATE("https://doi.org/",I369)), "")</f>
        <v>https://doi.org/10.1109/ISSCC42613.2021.9365863</v>
      </c>
      <c r="K369" s="77" t="s">
        <v>117</v>
      </c>
      <c r="L369" s="54"/>
      <c r="M369" s="54"/>
      <c r="N369" s="54"/>
      <c r="P369" s="2" t="n">
        <v>0.348</v>
      </c>
      <c r="R369" s="48" t="n">
        <v>3000</v>
      </c>
      <c r="S369" s="41" t="n">
        <v>86.66</v>
      </c>
      <c r="T369" s="41"/>
      <c r="U369" s="41"/>
      <c r="V369" s="41"/>
      <c r="W369" s="41"/>
      <c r="X369" s="49" t="n">
        <f aca="false">+IF(ISNUMBER($S369),$S369,MIN($V369,$T369,$U369,$W369))</f>
        <v>86.66</v>
      </c>
      <c r="Y369" s="26" t="n">
        <v>4.68E-007</v>
      </c>
      <c r="Z369" s="104" t="n">
        <v>6000</v>
      </c>
      <c r="AA369" s="98" t="n">
        <v>1</v>
      </c>
      <c r="AB369" s="26" t="n">
        <v>6000</v>
      </c>
      <c r="AC369" s="26"/>
      <c r="AD369" s="51" t="n">
        <f aca="false">IF(AB369&gt;0, Y369/AB369*1000000000000, 0)</f>
        <v>78</v>
      </c>
      <c r="AE369" s="49" t="str">
        <f aca="false">IF(ISNUMBER($Q369), $AD369*1000/2^(($Q369-1.76)/6.02), "")</f>
        <v/>
      </c>
      <c r="AF369" s="49" t="n">
        <f aca="false">$AD369*1000/2^(($X369-1.76)/6.02)</f>
        <v>4.43273301250898</v>
      </c>
      <c r="AG369" s="31" t="str">
        <f aca="false">IF(ISNUMBER($Q369), $Q369+10*LOG10($AB369/2/$Y369), "")</f>
        <v/>
      </c>
      <c r="AH369" s="31" t="n">
        <f aca="false">IF($Y369&gt;0, $X369+10*LOG10($AB369/2/$Y369), 0)</f>
        <v>184.728754016455</v>
      </c>
      <c r="AI369" s="26" t="n">
        <f aca="false">AF369/AB369</f>
        <v>0.000738788835418164</v>
      </c>
      <c r="AJ369" s="53" t="n">
        <f aca="false">AH369+10*LOG10(AB369)</f>
        <v>222.510266520292</v>
      </c>
    </row>
    <row r="370" customFormat="false" ht="12.75" hidden="false" customHeight="false" outlineLevel="0" collapsed="false">
      <c r="A370" s="32" t="n">
        <v>2021</v>
      </c>
      <c r="B370" s="22" t="n">
        <v>27.3</v>
      </c>
      <c r="C370" s="34" t="s">
        <v>139</v>
      </c>
      <c r="D370" s="23" t="s">
        <v>112</v>
      </c>
      <c r="E370" s="94" t="n">
        <v>0.065</v>
      </c>
      <c r="F370" s="75" t="s">
        <v>1719</v>
      </c>
      <c r="G370" s="86" t="s">
        <v>1720</v>
      </c>
      <c r="H370" s="86" t="s">
        <v>1721</v>
      </c>
      <c r="I370" s="76" t="s">
        <v>1722</v>
      </c>
      <c r="J370" s="46" t="str">
        <f aca="false">IF(I370&lt;&gt;"?", HYPERLINK(CONCATENATE("https://doi.org/",I370)), "")</f>
        <v>https://doi.org/10.1109/ISSCC42613.2021.9365990</v>
      </c>
      <c r="K370" s="77" t="s">
        <v>117</v>
      </c>
      <c r="L370" s="54"/>
      <c r="M370" s="54"/>
      <c r="N370" s="54"/>
      <c r="O370" s="22" t="n">
        <v>0.4</v>
      </c>
      <c r="P370" s="2" t="n">
        <v>0.04</v>
      </c>
      <c r="R370" s="48" t="n">
        <v>100000</v>
      </c>
      <c r="S370" s="41" t="n">
        <v>84.8</v>
      </c>
      <c r="T370" s="41" t="n">
        <v>85.1</v>
      </c>
      <c r="U370" s="41" t="n">
        <v>86.5</v>
      </c>
      <c r="V370" s="41"/>
      <c r="W370" s="41"/>
      <c r="X370" s="49" t="n">
        <f aca="false">+IF(ISNUMBER($S370),$S370,MIN($V370,$T370,$U370,$W370))</f>
        <v>84.8</v>
      </c>
      <c r="Y370" s="26" t="n">
        <v>0.000119</v>
      </c>
      <c r="Z370" s="104" t="n">
        <v>10000000</v>
      </c>
      <c r="AA370" s="98" t="n">
        <v>8</v>
      </c>
      <c r="AB370" s="26" t="n">
        <v>1250000</v>
      </c>
      <c r="AC370" s="26"/>
      <c r="AD370" s="51" t="n">
        <f aca="false">IF(AB370&gt;0, Y370/AB370*1000000000000, 0)</f>
        <v>95.2</v>
      </c>
      <c r="AE370" s="49" t="str">
        <f aca="false">IF(ISNUMBER($Q370), $AD370*1000/2^(($Q370-1.76)/6.02), "")</f>
        <v/>
      </c>
      <c r="AF370" s="49" t="n">
        <f aca="false">$AD370*1000/2^(($X370-1.76)/6.02)</f>
        <v>6.70228957241944</v>
      </c>
      <c r="AG370" s="31" t="str">
        <f aca="false">IF(ISNUMBER($Q370), $Q370+10*LOG10($AB370/2/$Y370), "")</f>
        <v/>
      </c>
      <c r="AH370" s="31" t="n">
        <f aca="false">IF($Y370&gt;0, $X370+10*LOG10($AB370/2/$Y370), 0)</f>
        <v>182.003330559515</v>
      </c>
      <c r="AI370" s="26" t="n">
        <f aca="false">AF370/AB370</f>
        <v>5.36183165793555E-006</v>
      </c>
      <c r="AJ370" s="53" t="n">
        <f aca="false">AH370+10*LOG10(AB370)</f>
        <v>242.972430689596</v>
      </c>
    </row>
    <row r="371" customFormat="false" ht="12.75" hidden="false" customHeight="false" outlineLevel="0" collapsed="false">
      <c r="A371" s="32" t="n">
        <v>2021</v>
      </c>
      <c r="B371" s="22" t="n">
        <v>27.4</v>
      </c>
      <c r="C371" s="34" t="s">
        <v>111</v>
      </c>
      <c r="D371" s="23" t="s">
        <v>994</v>
      </c>
      <c r="E371" s="94" t="n">
        <v>0.04</v>
      </c>
      <c r="F371" s="75" t="s">
        <v>1723</v>
      </c>
      <c r="G371" s="86" t="s">
        <v>1724</v>
      </c>
      <c r="H371" s="86" t="s">
        <v>1725</v>
      </c>
      <c r="I371" s="76" t="s">
        <v>1726</v>
      </c>
      <c r="J371" s="46" t="str">
        <f aca="false">IF(I371&lt;&gt;"?", HYPERLINK(CONCATENATE("https://doi.org/",I371)), "")</f>
        <v>https://doi.org/10.1109/ISSCC42613.2021.9365753</v>
      </c>
      <c r="K371" s="77" t="s">
        <v>117</v>
      </c>
      <c r="L371" s="54"/>
      <c r="M371" s="54"/>
      <c r="N371" s="54"/>
      <c r="O371" s="22" t="n">
        <v>4</v>
      </c>
      <c r="P371" s="2" t="n">
        <v>0.056</v>
      </c>
      <c r="Q371" s="30" t="n">
        <v>77.6</v>
      </c>
      <c r="R371" s="48" t="n">
        <v>18000000</v>
      </c>
      <c r="S371" s="41" t="n">
        <v>75.7</v>
      </c>
      <c r="T371" s="41"/>
      <c r="U371" s="41" t="n">
        <v>79.5</v>
      </c>
      <c r="V371" s="41"/>
      <c r="W371" s="41" t="n">
        <v>81.4</v>
      </c>
      <c r="X371" s="49" t="n">
        <f aca="false">+IF(ISNUMBER($S371),$S371,MIN($V371,$T371,$U371,$W371))</f>
        <v>75.7</v>
      </c>
      <c r="Y371" s="26" t="n">
        <v>0.000821</v>
      </c>
      <c r="Z371" s="104" t="n">
        <v>40000000</v>
      </c>
      <c r="AA371" s="98" t="n">
        <v>1</v>
      </c>
      <c r="AB371" s="26" t="n">
        <f aca="false">40000000</f>
        <v>40000000</v>
      </c>
      <c r="AC371" s="26"/>
      <c r="AD371" s="51" t="n">
        <f aca="false">IF(AB371&gt;0, Y371/AB371*1000000000000, 0)</f>
        <v>20.525</v>
      </c>
      <c r="AE371" s="49" t="n">
        <f aca="false">IF(ISNUMBER($Q371), $AD371*1000/2^(($Q371-1.76)/6.02), "")</f>
        <v>3.31058909540942</v>
      </c>
      <c r="AF371" s="49" t="n">
        <f aca="false">$AD371*1000/2^(($X371-1.76)/6.02)</f>
        <v>4.12016631624</v>
      </c>
      <c r="AG371" s="31" t="n">
        <f aca="false">IF(ISNUMBER($Q371), $Q371+10*LOG10($AB371/2/$Y371), "")</f>
        <v>181.466868385445</v>
      </c>
      <c r="AH371" s="31" t="n">
        <f aca="false">IF($Y371&gt;0, $X371+10*LOG10($AB371/2/$Y371), 0)</f>
        <v>179.566868385445</v>
      </c>
      <c r="AI371" s="26" t="n">
        <f aca="false">AF371/AB371</f>
        <v>1.03004157906E-007</v>
      </c>
      <c r="AJ371" s="53" t="n">
        <f aca="false">AH371+10*LOG10(AB371)</f>
        <v>255.587468298725</v>
      </c>
    </row>
    <row r="372" customFormat="false" ht="12.75" hidden="false" customHeight="true" outlineLevel="0" collapsed="false">
      <c r="A372" s="32" t="n">
        <v>2021</v>
      </c>
      <c r="B372" s="22" t="n">
        <v>27.5</v>
      </c>
      <c r="C372" s="34" t="s">
        <v>139</v>
      </c>
      <c r="D372" s="23" t="s">
        <v>548</v>
      </c>
      <c r="E372" s="94" t="n">
        <v>0.022</v>
      </c>
      <c r="F372" s="75" t="s">
        <v>1727</v>
      </c>
      <c r="G372" s="86" t="s">
        <v>1728</v>
      </c>
      <c r="H372" s="86" t="s">
        <v>1729</v>
      </c>
      <c r="I372" s="76" t="s">
        <v>1730</v>
      </c>
      <c r="J372" s="46" t="str">
        <f aca="false">IF(I372&lt;&gt;"?", HYPERLINK(CONCATENATE("https://doi.org/",I372)), "")</f>
        <v>https://doi.org/10.1109/ISSCC42613.2021.9365754</v>
      </c>
      <c r="K372" s="77" t="s">
        <v>117</v>
      </c>
      <c r="L372" s="54"/>
      <c r="M372" s="54"/>
      <c r="N372" s="54"/>
      <c r="P372" s="2" t="n">
        <v>0.006</v>
      </c>
      <c r="R372" s="48" t="n">
        <v>12000000</v>
      </c>
      <c r="S372" s="41" t="n">
        <v>66.32</v>
      </c>
      <c r="T372" s="41" t="n">
        <v>67.35</v>
      </c>
      <c r="U372" s="41" t="n">
        <v>70.2</v>
      </c>
      <c r="V372" s="41"/>
      <c r="W372" s="41"/>
      <c r="X372" s="49" t="n">
        <f aca="false">+IF(ISNUMBER($S372),$S372,MIN($V372,$T372,$U372,$W372))</f>
        <v>66.32</v>
      </c>
      <c r="Y372" s="26" t="n">
        <v>0.00256</v>
      </c>
      <c r="Z372" s="104" t="n">
        <f aca="false">AA372*AB372</f>
        <v>640000000</v>
      </c>
      <c r="AA372" s="98" t="n">
        <v>4</v>
      </c>
      <c r="AB372" s="26" t="n">
        <v>160000000</v>
      </c>
      <c r="AC372" s="26"/>
      <c r="AD372" s="51" t="n">
        <f aca="false">IF(AB372&gt;0, Y372/AB372*1000000000000, 0)</f>
        <v>16</v>
      </c>
      <c r="AE372" s="49" t="str">
        <f aca="false">IF(ISNUMBER($Q372), $AD372*1000/2^(($Q372-1.76)/6.02), "")</f>
        <v/>
      </c>
      <c r="AF372" s="49" t="n">
        <f aca="false">$AD372*1000/2^(($X372-1.76)/6.02)</f>
        <v>9.45797804582577</v>
      </c>
      <c r="AG372" s="31" t="str">
        <f aca="false">IF(ISNUMBER($Q372), $Q372+10*LOG10($AB372/2/$Y372), "")</f>
        <v/>
      </c>
      <c r="AH372" s="31" t="n">
        <f aca="false">IF($Y372&gt;0, $X372+10*LOG10($AB372/2/$Y372), 0)</f>
        <v>171.268500216801</v>
      </c>
      <c r="AI372" s="26" t="n">
        <f aca="false">AF372/AB372</f>
        <v>5.91123627864111E-008</v>
      </c>
      <c r="AJ372" s="53" t="n">
        <f aca="false">AH372+10*LOG10(AB372)</f>
        <v>253.30970004336</v>
      </c>
    </row>
    <row r="373" customFormat="false" ht="13.5" hidden="false" customHeight="true" outlineLevel="0" collapsed="false">
      <c r="A373" s="32" t="n">
        <v>2021</v>
      </c>
      <c r="B373" s="22" t="n">
        <v>27.6</v>
      </c>
      <c r="C373" s="34" t="s">
        <v>139</v>
      </c>
      <c r="D373" s="23" t="s">
        <v>994</v>
      </c>
      <c r="E373" s="94" t="n">
        <v>0.028</v>
      </c>
      <c r="F373" s="75" t="s">
        <v>1731</v>
      </c>
      <c r="G373" s="86" t="s">
        <v>1732</v>
      </c>
      <c r="H373" s="86" t="s">
        <v>1733</v>
      </c>
      <c r="I373" s="76" t="s">
        <v>1734</v>
      </c>
      <c r="J373" s="46" t="str">
        <f aca="false">IF(I373&lt;&gt;"?", HYPERLINK(CONCATENATE("https://doi.org/",I373)), "")</f>
        <v>https://doi.org/10.1109/ISSCC42613.2021.9365833</v>
      </c>
      <c r="K373" s="77" t="s">
        <v>117</v>
      </c>
      <c r="L373" s="54"/>
      <c r="M373" s="54"/>
      <c r="N373" s="54"/>
      <c r="P373" s="2" t="n">
        <v>0.027</v>
      </c>
      <c r="R373" s="48" t="n">
        <v>2000000</v>
      </c>
      <c r="S373" s="41" t="n">
        <v>75</v>
      </c>
      <c r="T373" s="41" t="n">
        <v>75.3</v>
      </c>
      <c r="U373" s="41" t="n">
        <v>76.3</v>
      </c>
      <c r="V373" s="41"/>
      <c r="W373" s="41" t="n">
        <v>92.1</v>
      </c>
      <c r="X373" s="49" t="n">
        <f aca="false">+IF(ISNUMBER($S373),$S373,MIN($V373,$T373,$U373,$W373))</f>
        <v>75</v>
      </c>
      <c r="Y373" s="26" t="n">
        <v>0.00126</v>
      </c>
      <c r="Z373" s="104" t="n">
        <v>400000000</v>
      </c>
      <c r="AA373" s="98" t="n">
        <v>8</v>
      </c>
      <c r="AB373" s="26" t="n">
        <v>50000000</v>
      </c>
      <c r="AC373" s="26"/>
      <c r="AD373" s="51" t="n">
        <f aca="false">IF(AB373&gt;0, Y373/AB373*1000000000000, 0)</f>
        <v>25.2</v>
      </c>
      <c r="AE373" s="49" t="str">
        <f aca="false">IF(ISNUMBER($Q373), $AD373*1000/2^(($Q373-1.76)/6.02), "")</f>
        <v/>
      </c>
      <c r="AF373" s="49" t="n">
        <f aca="false">$AD373*1000/2^(($X373-1.76)/6.02)</f>
        <v>5.48321922947465</v>
      </c>
      <c r="AG373" s="31" t="str">
        <f aca="false">IF(ISNUMBER($Q373), $Q373+10*LOG10($AB373/2/$Y373), "")</f>
        <v/>
      </c>
      <c r="AH373" s="31" t="n">
        <f aca="false">IF($Y373&gt;0, $X373+10*LOG10($AB373/2/$Y373), 0)</f>
        <v>177.975694635545</v>
      </c>
      <c r="AI373" s="26" t="n">
        <f aca="false">AF373/AB373</f>
        <v>1.09664384589493E-007</v>
      </c>
      <c r="AJ373" s="53" t="n">
        <f aca="false">AH373+10*LOG10(AB373)</f>
        <v>254.965394678905</v>
      </c>
    </row>
    <row r="374" customFormat="false" ht="12.75" hidden="false" customHeight="false" outlineLevel="0" collapsed="false">
      <c r="A374" s="32" t="n">
        <v>2021</v>
      </c>
      <c r="B374" s="22" t="n">
        <v>27.7</v>
      </c>
      <c r="C374" s="34" t="s">
        <v>139</v>
      </c>
      <c r="D374" s="23" t="s">
        <v>1735</v>
      </c>
      <c r="E374" s="94" t="n">
        <v>0.04</v>
      </c>
      <c r="F374" s="75" t="s">
        <v>1736</v>
      </c>
      <c r="G374" s="86" t="s">
        <v>1737</v>
      </c>
      <c r="H374" s="86" t="s">
        <v>1738</v>
      </c>
      <c r="I374" s="76" t="s">
        <v>1739</v>
      </c>
      <c r="J374" s="46" t="str">
        <f aca="false">IF(I374&lt;&gt;"?", HYPERLINK(CONCATENATE("https://doi.org/",I374)), "")</f>
        <v>https://doi.org/10.1109/ISSCC42613.2021.9365962</v>
      </c>
      <c r="K374" s="77" t="s">
        <v>1740</v>
      </c>
      <c r="L374" s="54"/>
      <c r="M374" s="54"/>
      <c r="N374" s="54"/>
      <c r="P374" s="2" t="n">
        <v>0.19</v>
      </c>
      <c r="R374" s="48" t="n">
        <v>55600000</v>
      </c>
      <c r="S374" s="41" t="n">
        <v>78.8</v>
      </c>
      <c r="T374" s="41"/>
      <c r="U374" s="41" t="n">
        <v>79.8</v>
      </c>
      <c r="V374" s="41"/>
      <c r="W374" s="41"/>
      <c r="X374" s="49" t="n">
        <f aca="false">+IF(ISNUMBER($S374),$S374,MIN($V374,$T374,$U374,$W374))</f>
        <v>78.8</v>
      </c>
      <c r="Y374" s="26" t="n">
        <v>0.00504</v>
      </c>
      <c r="Z374" s="104" t="n">
        <v>450000000</v>
      </c>
      <c r="AA374" s="98" t="n">
        <f aca="false">Z374/AB374</f>
        <v>64.2857142857143</v>
      </c>
      <c r="AB374" s="26" t="n">
        <v>7000000</v>
      </c>
      <c r="AC374" s="26" t="n">
        <v>56300000</v>
      </c>
      <c r="AD374" s="51" t="n">
        <f aca="false">IF(AB374&gt;0, Y374/AB374*1000000000000, 0)</f>
        <v>720</v>
      </c>
      <c r="AE374" s="49" t="str">
        <f aca="false">IF(ISNUMBER($Q374), $AD374*1000/2^(($Q374-1.76)/6.02), "")</f>
        <v/>
      </c>
      <c r="AF374" s="49" t="n">
        <f aca="false">$AD374*1000/2^(($X374-1.76)/6.02)</f>
        <v>101.145981173258</v>
      </c>
      <c r="AG374" s="31" t="str">
        <f aca="false">IF(ISNUMBER($Q374), $Q374+10*LOG10($AB374/2/$Y374), "")</f>
        <v/>
      </c>
      <c r="AH374" s="31" t="n">
        <f aca="false">IF($Y374&gt;0, $X374+10*LOG10($AB374/2/$Y374), 0)</f>
        <v>167.216375079048</v>
      </c>
      <c r="AI374" s="26" t="n">
        <f aca="false">AF374/AB374</f>
        <v>1.44494258818939E-005</v>
      </c>
      <c r="AJ374" s="53" t="n">
        <f aca="false">AH374+10*LOG10(AB374)</f>
        <v>235.66735547919</v>
      </c>
    </row>
    <row r="375" customFormat="false" ht="12.75" hidden="false" customHeight="false" outlineLevel="0" collapsed="false">
      <c r="A375" s="32" t="n">
        <v>2021</v>
      </c>
      <c r="B375" s="22" t="n">
        <v>28.1</v>
      </c>
      <c r="C375" s="34" t="s">
        <v>139</v>
      </c>
      <c r="D375" s="23" t="s">
        <v>1410</v>
      </c>
      <c r="E375" s="94" t="n">
        <v>0.065</v>
      </c>
      <c r="F375" s="75" t="s">
        <v>1741</v>
      </c>
      <c r="G375" s="86" t="s">
        <v>1742</v>
      </c>
      <c r="H375" s="86" t="s">
        <v>1743</v>
      </c>
      <c r="I375" s="76" t="s">
        <v>1744</v>
      </c>
      <c r="J375" s="46" t="str">
        <f aca="false">IF(I375&lt;&gt;"?", HYPERLINK(CONCATENATE("https://doi.org/",I375)), "")</f>
        <v>https://doi.org/10.1109/ISSCC42613.2021.9365950</v>
      </c>
      <c r="K375" s="77" t="s">
        <v>1745</v>
      </c>
      <c r="L375" s="54"/>
      <c r="M375" s="54"/>
      <c r="N375" s="54"/>
      <c r="P375" s="2" t="n">
        <v>0.055</v>
      </c>
      <c r="R375" s="48" t="n">
        <v>500</v>
      </c>
      <c r="S375" s="41" t="n">
        <v>94.2</v>
      </c>
      <c r="T375" s="41"/>
      <c r="U375" s="41" t="n">
        <v>95.1</v>
      </c>
      <c r="V375" s="41"/>
      <c r="W375" s="41" t="n">
        <v>128</v>
      </c>
      <c r="X375" s="49" t="n">
        <f aca="false">+IF(ISNUMBER($S375),$S375,MIN($V375,$T375,$U375,$W375))</f>
        <v>94.2</v>
      </c>
      <c r="Y375" s="26" t="n">
        <v>1.68E-006</v>
      </c>
      <c r="Z375" s="104" t="n">
        <v>64000</v>
      </c>
      <c r="AA375" s="98" t="n">
        <f aca="false">Z375/AB375</f>
        <v>64</v>
      </c>
      <c r="AB375" s="26" t="n">
        <f aca="false">1000</f>
        <v>1000</v>
      </c>
      <c r="AC375" s="26"/>
      <c r="AD375" s="51" t="n">
        <f aca="false">IF(AB375&gt;0, Y375/AB375*1000000000000, 0)</f>
        <v>1680</v>
      </c>
      <c r="AE375" s="49" t="str">
        <f aca="false">IF(ISNUMBER($Q375), $AD375*1000/2^(($Q375-1.76)/6.02), "")</f>
        <v/>
      </c>
      <c r="AF375" s="49" t="n">
        <f aca="false">$AD375*1000/2^(($X375-1.76)/6.02)</f>
        <v>40.0727072656582</v>
      </c>
      <c r="AG375" s="31" t="str">
        <f aca="false">IF(ISNUMBER($Q375), $Q375+10*LOG10($AB375/2/$Y375), "")</f>
        <v/>
      </c>
      <c r="AH375" s="31" t="n">
        <f aca="false">IF($Y375&gt;0, $X375+10*LOG10($AB375/2/$Y375), 0)</f>
        <v>178.936607226102</v>
      </c>
      <c r="AI375" s="26" t="n">
        <f aca="false">AF375/AB375</f>
        <v>0.0400727072656582</v>
      </c>
      <c r="AJ375" s="53" t="n">
        <f aca="false">AH375+10*LOG10(AB375)</f>
        <v>208.936607226102</v>
      </c>
    </row>
    <row r="376" customFormat="false" ht="12.75" hidden="false" customHeight="false" outlineLevel="0" collapsed="false">
      <c r="A376" s="32" t="n">
        <v>2021</v>
      </c>
      <c r="B376" s="22" t="n">
        <v>28.4</v>
      </c>
      <c r="C376" s="34" t="s">
        <v>139</v>
      </c>
      <c r="D376" s="23" t="s">
        <v>1410</v>
      </c>
      <c r="E376" s="94" t="n">
        <v>0.065</v>
      </c>
      <c r="F376" s="75" t="s">
        <v>1746</v>
      </c>
      <c r="G376" s="86" t="s">
        <v>1747</v>
      </c>
      <c r="H376" s="86" t="s">
        <v>1748</v>
      </c>
      <c r="I376" s="76" t="s">
        <v>1749</v>
      </c>
      <c r="J376" s="46" t="str">
        <f aca="false">IF(I376&lt;&gt;"?", HYPERLINK(CONCATENATE("https://doi.org/",I376)), "")</f>
        <v>https://doi.org/10.1109/ISSCC42613.2021.9365985</v>
      </c>
      <c r="K376" s="77" t="s">
        <v>1745</v>
      </c>
      <c r="L376" s="54"/>
      <c r="M376" s="54"/>
      <c r="N376" s="54"/>
      <c r="P376" s="2" t="n">
        <v>0.075</v>
      </c>
      <c r="R376" s="48" t="n">
        <v>500</v>
      </c>
      <c r="S376" s="41" t="n">
        <v>92.3</v>
      </c>
      <c r="T376" s="41"/>
      <c r="U376" s="41" t="n">
        <v>92.3</v>
      </c>
      <c r="V376" s="41"/>
      <c r="W376" s="41" t="n">
        <v>110.3</v>
      </c>
      <c r="X376" s="49" t="n">
        <f aca="false">+IF(ISNUMBER($S376),$S376,MIN($V376,$T376,$U376,$W376))</f>
        <v>92.3</v>
      </c>
      <c r="Y376" s="26" t="n">
        <v>5.8E-006</v>
      </c>
      <c r="Z376" s="104" t="n">
        <v>200000</v>
      </c>
      <c r="AA376" s="98" t="n">
        <f aca="false">Z376/AB376</f>
        <v>100</v>
      </c>
      <c r="AB376" s="26" t="n">
        <v>2000</v>
      </c>
      <c r="AC376" s="26"/>
      <c r="AD376" s="51" t="n">
        <f aca="false">IF(AB376&gt;0, Y376/AB376*1000000000000, 0)</f>
        <v>2900</v>
      </c>
      <c r="AE376" s="49" t="str">
        <f aca="false">IF(ISNUMBER($Q376), $AD376*1000/2^(($Q376-1.76)/6.02), "")</f>
        <v/>
      </c>
      <c r="AF376" s="49" t="n">
        <f aca="false">$AD376*1000/2^(($X376-1.76)/6.02)</f>
        <v>86.0888422046738</v>
      </c>
      <c r="AG376" s="31" t="str">
        <f aca="false">IF(ISNUMBER($Q376), $Q376+10*LOG10($AB376/2/$Y376), "")</f>
        <v/>
      </c>
      <c r="AH376" s="31" t="n">
        <f aca="false">IF($Y376&gt;0, $X376+10*LOG10($AB376/2/$Y376), 0)</f>
        <v>174.665720064371</v>
      </c>
      <c r="AI376" s="26" t="n">
        <f aca="false">AF376/AB376</f>
        <v>0.0430444211023369</v>
      </c>
      <c r="AJ376" s="53" t="n">
        <f aca="false">AH376+10*LOG10(AB376)</f>
        <v>207.67602002101</v>
      </c>
    </row>
    <row r="377" customFormat="false" ht="12.75" hidden="false" customHeight="false" outlineLevel="0" collapsed="false">
      <c r="A377" s="32" t="n">
        <v>2021</v>
      </c>
      <c r="B377" s="22" t="n">
        <v>28.7</v>
      </c>
      <c r="C377" s="34" t="s">
        <v>139</v>
      </c>
      <c r="D377" s="23" t="s">
        <v>1750</v>
      </c>
      <c r="E377" s="94" t="n">
        <v>0.18</v>
      </c>
      <c r="F377" s="75" t="s">
        <v>1751</v>
      </c>
      <c r="G377" s="86" t="s">
        <v>1752</v>
      </c>
      <c r="H377" s="86" t="s">
        <v>1753</v>
      </c>
      <c r="I377" s="76" t="s">
        <v>1754</v>
      </c>
      <c r="J377" s="46" t="str">
        <f aca="false">IF(I377&lt;&gt;"?", HYPERLINK(CONCATENATE("https://doi.org/",I377)), "")</f>
        <v>https://doi.org/10.1109/ISSCC42613.2021.9366015</v>
      </c>
      <c r="K377" s="77" t="s">
        <v>1745</v>
      </c>
      <c r="L377" s="54"/>
      <c r="M377" s="54"/>
      <c r="N377" s="54"/>
      <c r="P377" s="2" t="n">
        <v>0.00462</v>
      </c>
      <c r="R377" s="48" t="n">
        <v>1000</v>
      </c>
      <c r="S377" s="41" t="n">
        <v>57.5</v>
      </c>
      <c r="T377" s="41"/>
      <c r="U377" s="41"/>
      <c r="V377" s="41"/>
      <c r="W377" s="41"/>
      <c r="X377" s="49" t="n">
        <f aca="false">+IF(ISNUMBER($S377),$S377,MIN($V377,$T377,$U377,$W377))</f>
        <v>57.5</v>
      </c>
      <c r="Y377" s="26" t="n">
        <v>1.494E-005</v>
      </c>
      <c r="Z377" s="104" t="n">
        <v>2720000</v>
      </c>
      <c r="AA377" s="98" t="n">
        <f aca="false">Z377/AB377</f>
        <v>136</v>
      </c>
      <c r="AB377" s="26" t="n">
        <v>20000</v>
      </c>
      <c r="AC377" s="26"/>
      <c r="AD377" s="51" t="n">
        <f aca="false">IF(AB377&gt;0, Y377/AB377*1000000000000, 0)</f>
        <v>747</v>
      </c>
      <c r="AE377" s="49" t="str">
        <f aca="false">IF(ISNUMBER($Q377), $AD377*1000/2^(($Q377-1.76)/6.02), "")</f>
        <v/>
      </c>
      <c r="AF377" s="49" t="n">
        <f aca="false">$AD377*1000/2^(($X377-1.76)/6.02)</f>
        <v>1219.10992758942</v>
      </c>
      <c r="AG377" s="31" t="str">
        <f aca="false">IF(ISNUMBER($Q377), $Q377+10*LOG10($AB377/2/$Y377), "")</f>
        <v/>
      </c>
      <c r="AH377" s="31" t="n">
        <f aca="false">IF($Y377&gt;0, $X377+10*LOG10($AB377/2/$Y377), 0)</f>
        <v>145.756494025206</v>
      </c>
      <c r="AI377" s="26" t="n">
        <f aca="false">AF377/AB377</f>
        <v>0.0609554963794712</v>
      </c>
      <c r="AJ377" s="53" t="n">
        <f aca="false">AH377+10*LOG10(AB377)</f>
        <v>188.766793981846</v>
      </c>
    </row>
    <row r="378" customFormat="false" ht="12.75" hidden="false" customHeight="false" outlineLevel="0" collapsed="false">
      <c r="A378" s="32" t="n">
        <v>2021</v>
      </c>
      <c r="B378" s="22" t="n">
        <v>28.8</v>
      </c>
      <c r="C378" s="34" t="s">
        <v>139</v>
      </c>
      <c r="D378" s="23" t="s">
        <v>145</v>
      </c>
      <c r="E378" s="94" t="n">
        <v>0.13</v>
      </c>
      <c r="F378" s="75" t="s">
        <v>1755</v>
      </c>
      <c r="G378" s="86" t="s">
        <v>1756</v>
      </c>
      <c r="H378" s="86" t="s">
        <v>1757</v>
      </c>
      <c r="I378" s="76" t="s">
        <v>1758</v>
      </c>
      <c r="J378" s="46" t="str">
        <f aca="false">IF(I378&lt;&gt;"?", HYPERLINK(CONCATENATE("https://doi.org/",I378)), "")</f>
        <v>https://doi.org/10.1109/ISSCC42613.2021.9365856</v>
      </c>
      <c r="K378" s="77" t="s">
        <v>1745</v>
      </c>
      <c r="L378" s="54"/>
      <c r="M378" s="54"/>
      <c r="N378" s="54"/>
      <c r="P378" s="2" t="n">
        <v>0.01</v>
      </c>
      <c r="R378" s="48" t="n">
        <v>5000</v>
      </c>
      <c r="S378" s="41" t="n">
        <f aca="false">8*6.02+1.76</f>
        <v>49.92</v>
      </c>
      <c r="T378" s="41"/>
      <c r="U378" s="41"/>
      <c r="V378" s="41"/>
      <c r="W378" s="41"/>
      <c r="X378" s="49" t="n">
        <f aca="false">+IF(ISNUMBER($S378),$S378,MIN($V378,$T378,$U378,$W378))</f>
        <v>49.92</v>
      </c>
      <c r="Y378" s="26" t="n">
        <v>1.4E-007</v>
      </c>
      <c r="Z378" s="104" t="n">
        <f aca="false">AA378*AB378</f>
        <v>2000000</v>
      </c>
      <c r="AA378" s="98" t="n">
        <v>100</v>
      </c>
      <c r="AB378" s="26" t="n">
        <v>20000</v>
      </c>
      <c r="AC378" s="26"/>
      <c r="AD378" s="51" t="n">
        <f aca="false">IF(AB378&gt;0, Y378/AB378*1000000000000, 0)</f>
        <v>7</v>
      </c>
      <c r="AE378" s="49" t="str">
        <f aca="false">IF(ISNUMBER($Q378), $AD378*1000/2^(($Q378-1.76)/6.02), "")</f>
        <v/>
      </c>
      <c r="AF378" s="49" t="n">
        <f aca="false">$AD378*1000/2^(($X378-1.76)/6.02)</f>
        <v>27.34375</v>
      </c>
      <c r="AG378" s="31" t="str">
        <f aca="false">IF(ISNUMBER($Q378), $Q378+10*LOG10($AB378/2/$Y378), "")</f>
        <v/>
      </c>
      <c r="AH378" s="31" t="n">
        <f aca="false">IF($Y378&gt;0, $X378+10*LOG10($AB378/2/$Y378), 0)</f>
        <v>158.458719643218</v>
      </c>
      <c r="AI378" s="26" t="n">
        <f aca="false">AF378/AB378</f>
        <v>0.0013671875</v>
      </c>
      <c r="AJ378" s="53" t="n">
        <f aca="false">AH378+10*LOG10(AB378)</f>
        <v>201.469019599857</v>
      </c>
    </row>
    <row r="379" customFormat="false" ht="12.75" hidden="false" customHeight="false" outlineLevel="0" collapsed="false">
      <c r="A379" s="74" t="n">
        <v>2022</v>
      </c>
      <c r="B379" s="22" t="n">
        <v>6.1</v>
      </c>
      <c r="C379" s="22" t="s">
        <v>111</v>
      </c>
      <c r="D379" s="23" t="s">
        <v>548</v>
      </c>
      <c r="E379" s="94" t="n">
        <v>0.005</v>
      </c>
      <c r="F379" s="25" t="s">
        <v>1759</v>
      </c>
      <c r="G379" s="86" t="s">
        <v>1760</v>
      </c>
      <c r="H379" s="80" t="s">
        <v>1761</v>
      </c>
      <c r="I379" s="27" t="s">
        <v>1762</v>
      </c>
      <c r="J379" s="46" t="str">
        <f aca="false">IF(I379&lt;&gt;"?", HYPERLINK(CONCATENATE("https://doi.org/",I379)), "")</f>
        <v>https://doi.org/10.1109/ISSCC42614.2022.9731794</v>
      </c>
      <c r="K379" s="77" t="s">
        <v>1763</v>
      </c>
      <c r="L379" s="54" t="n">
        <v>1.5</v>
      </c>
      <c r="M379" s="54" t="n">
        <v>0.9</v>
      </c>
      <c r="N379" s="54"/>
      <c r="P379" s="29" t="n">
        <v>0</v>
      </c>
      <c r="R379" s="48" t="n">
        <v>10000000000</v>
      </c>
      <c r="S379" s="41" t="n">
        <f aca="false">4.5*6.02+1.76</f>
        <v>28.85</v>
      </c>
      <c r="T379" s="41"/>
      <c r="U379" s="41"/>
      <c r="V379" s="41"/>
      <c r="W379" s="41"/>
      <c r="X379" s="49" t="n">
        <f aca="false">+IF(ISNUMBER($S379),$S379,MIN($V379,$T379,$U379,$W379))</f>
        <v>28.85</v>
      </c>
      <c r="Y379" s="26" t="n">
        <f aca="false">0.3152*(0.35+0.25)</f>
        <v>0.18912</v>
      </c>
      <c r="Z379" s="104" t="n">
        <v>112000000000</v>
      </c>
      <c r="AA379" s="98" t="n">
        <v>1</v>
      </c>
      <c r="AB379" s="26" t="n">
        <f aca="false">Z379/AA379</f>
        <v>112000000000</v>
      </c>
      <c r="AC379" s="26"/>
      <c r="AD379" s="51" t="n">
        <f aca="false">IF(AB379&gt;0, Y379/AB379*1000000000000, 0)</f>
        <v>1.68857142857143</v>
      </c>
      <c r="AE379" s="49" t="str">
        <f aca="false">IF(ISNUMBER($Q379), $AD379*1000/2^(($Q379-1.76)/6.02), "")</f>
        <v/>
      </c>
      <c r="AF379" s="49" t="n">
        <f aca="false">$AD379*1000/2^(($X379-1.76)/6.02)</f>
        <v>74.6250192287946</v>
      </c>
      <c r="AG379" s="31" t="str">
        <f aca="false">IF(ISNUMBER($Q379), $Q379+10*LOG10($AB379/2/$Y379), "")</f>
        <v/>
      </c>
      <c r="AH379" s="31" t="n">
        <f aca="false">IF($Y379&gt;0, $X379+10*LOG10($AB379/2/$Y379), 0)</f>
        <v>143.56450567805</v>
      </c>
      <c r="AI379" s="26" t="n">
        <f aca="false">AF379/AB379</f>
        <v>6.66294814542809E-010</v>
      </c>
      <c r="AJ379" s="53" t="n">
        <f aca="false">AH379+10*LOG10(AB379)</f>
        <v>254.056685904752</v>
      </c>
    </row>
    <row r="380" customFormat="false" ht="12.75" hidden="false" customHeight="true" outlineLevel="0" collapsed="false">
      <c r="A380" s="23" t="n">
        <v>2022</v>
      </c>
      <c r="B380" s="22" t="n">
        <v>10.1</v>
      </c>
      <c r="C380" s="34" t="s">
        <v>111</v>
      </c>
      <c r="D380" s="23" t="s">
        <v>1764</v>
      </c>
      <c r="E380" s="94" t="n">
        <v>0.014</v>
      </c>
      <c r="F380" s="75" t="s">
        <v>1765</v>
      </c>
      <c r="G380" s="86" t="s">
        <v>1766</v>
      </c>
      <c r="H380" s="86" t="s">
        <v>1767</v>
      </c>
      <c r="I380" s="76" t="s">
        <v>1768</v>
      </c>
      <c r="J380" s="46" t="str">
        <f aca="false">IF(I380&lt;&gt;"?", HYPERLINK(CONCATENATE("https://doi.org/",I380)), "")</f>
        <v>https://doi.org/10.1109/ISSCC42614.2022.9731625</v>
      </c>
      <c r="K380" s="77" t="s">
        <v>1769</v>
      </c>
      <c r="L380" s="54" t="n">
        <v>0.8</v>
      </c>
      <c r="M380" s="54"/>
      <c r="N380" s="54"/>
      <c r="P380" s="106" t="n">
        <v>0.00285</v>
      </c>
      <c r="Q380" s="30" t="n">
        <v>40.8</v>
      </c>
      <c r="R380" s="48" t="n">
        <v>2500000000</v>
      </c>
      <c r="S380" s="41" t="n">
        <v>40.8</v>
      </c>
      <c r="T380" s="41"/>
      <c r="U380" s="41"/>
      <c r="V380" s="41"/>
      <c r="W380" s="41" t="n">
        <v>53.12</v>
      </c>
      <c r="X380" s="49" t="n">
        <f aca="false">+IF(ISNUMBER($S380),$S380,MIN($V380,$T380,$U380,$W380))</f>
        <v>40.8</v>
      </c>
      <c r="Y380" s="26" t="n">
        <v>0.0074</v>
      </c>
      <c r="Z380" s="104" t="n">
        <v>5000000000</v>
      </c>
      <c r="AA380" s="98" t="n">
        <v>1</v>
      </c>
      <c r="AB380" s="105" t="n">
        <f aca="false">Z380/AA380</f>
        <v>5000000000</v>
      </c>
      <c r="AC380" s="105"/>
      <c r="AD380" s="51" t="n">
        <f aca="false">IF(AB380&gt;0, Y380/AB380*1000000000000, 0)</f>
        <v>1.48</v>
      </c>
      <c r="AE380" s="49" t="n">
        <f aca="false">IF(ISNUMBER($Q380), $AD380*1000/2^(($Q380-1.76)/6.02), "")</f>
        <v>16.5221740183577</v>
      </c>
      <c r="AF380" s="49" t="n">
        <f aca="false">$AD380*1000/2^(($X380-1.76)/6.02)</f>
        <v>16.5221740183577</v>
      </c>
      <c r="AG380" s="31" t="n">
        <f aca="false">IF(ISNUMBER($Q380), $Q380+10*LOG10($AB380/2/$Y380), "")</f>
        <v>156.087082889411</v>
      </c>
      <c r="AH380" s="31" t="n">
        <f aca="false">IF($Y380&gt;0, $X380+10*LOG10($AB380/2/$Y380), 0)</f>
        <v>156.087082889411</v>
      </c>
      <c r="AI380" s="26" t="n">
        <f aca="false">AF380/AB380</f>
        <v>3.30443480367154E-009</v>
      </c>
      <c r="AJ380" s="53" t="n">
        <f aca="false">AH380+10*LOG10(AB380)</f>
        <v>253.076782932771</v>
      </c>
    </row>
    <row r="381" customFormat="false" ht="12.75" hidden="false" customHeight="false" outlineLevel="0" collapsed="false">
      <c r="A381" s="32" t="n">
        <v>2022</v>
      </c>
      <c r="B381" s="22" t="n">
        <v>10.2</v>
      </c>
      <c r="C381" s="34" t="s">
        <v>111</v>
      </c>
      <c r="D381" s="23" t="s">
        <v>994</v>
      </c>
      <c r="E381" s="94" t="n">
        <v>0.028</v>
      </c>
      <c r="F381" s="75" t="s">
        <v>1770</v>
      </c>
      <c r="G381" s="86" t="s">
        <v>1771</v>
      </c>
      <c r="H381" s="86" t="s">
        <v>1772</v>
      </c>
      <c r="I381" s="76" t="s">
        <v>1773</v>
      </c>
      <c r="J381" s="46" t="str">
        <f aca="false">IF(I381&lt;&gt;"?", HYPERLINK(CONCATENATE("https://doi.org/",I381)), "")</f>
        <v>https://doi.org/10.1109/ISSCC42614.2022.9731546</v>
      </c>
      <c r="K381" s="77" t="s">
        <v>117</v>
      </c>
      <c r="L381" s="54" t="n">
        <v>1.1</v>
      </c>
      <c r="M381" s="54"/>
      <c r="N381" s="54"/>
      <c r="P381" s="2" t="n">
        <v>0.013</v>
      </c>
      <c r="Q381" s="30" t="n">
        <v>72.9</v>
      </c>
      <c r="R381" s="48" t="n">
        <v>64000000</v>
      </c>
      <c r="S381" s="41" t="n">
        <v>72.5</v>
      </c>
      <c r="T381" s="41"/>
      <c r="U381" s="41"/>
      <c r="V381" s="41"/>
      <c r="W381" s="41" t="n">
        <v>87.5</v>
      </c>
      <c r="X381" s="49" t="n">
        <f aca="false">+IF(ISNUMBER($S381),$S381,MIN($V381,$T381,$U381,$W381))</f>
        <v>72.5</v>
      </c>
      <c r="Y381" s="26" t="n">
        <v>0.00082</v>
      </c>
      <c r="Z381" s="104" t="n">
        <v>130000000</v>
      </c>
      <c r="AA381" s="98" t="n">
        <v>1</v>
      </c>
      <c r="AB381" s="105" t="n">
        <f aca="false">Z381/AA381</f>
        <v>130000000</v>
      </c>
      <c r="AC381" s="105"/>
      <c r="AD381" s="51" t="n">
        <f aca="false">IF(AB381&gt;0, Y381/AB381*1000000000000, 0)</f>
        <v>6.30769230769231</v>
      </c>
      <c r="AE381" s="49" t="n">
        <f aca="false">IF(ISNUMBER($Q381), $AD381*1000/2^(($Q381-1.76)/6.02), "")</f>
        <v>1.74789778915461</v>
      </c>
      <c r="AF381" s="49" t="n">
        <f aca="false">$AD381*1000/2^(($X381-1.76)/6.02)</f>
        <v>1.83028207362329</v>
      </c>
      <c r="AG381" s="31" t="n">
        <f aca="false">IF(ISNUMBER($Q381), $Q381+10*LOG10($AB381/2/$Y381), "")</f>
        <v>181.890995042591</v>
      </c>
      <c r="AH381" s="31" t="n">
        <f aca="false">IF($Y381&gt;0, $X381+10*LOG10($AB381/2/$Y381), 0)</f>
        <v>181.490995042591</v>
      </c>
      <c r="AI381" s="26" t="n">
        <f aca="false">AF381/AB381</f>
        <v>1.40790928740253E-008</v>
      </c>
      <c r="AJ381" s="53" t="n">
        <f aca="false">AH381+10*LOG10(AB381)</f>
        <v>262.63042856566</v>
      </c>
    </row>
    <row r="382" customFormat="false" ht="12.75" hidden="false" customHeight="false" outlineLevel="0" collapsed="false">
      <c r="A382" s="32" t="n">
        <v>2022</v>
      </c>
      <c r="B382" s="22" t="n">
        <v>10.3</v>
      </c>
      <c r="C382" s="34" t="s">
        <v>111</v>
      </c>
      <c r="D382" s="23" t="s">
        <v>994</v>
      </c>
      <c r="E382" s="94" t="n">
        <v>0.028</v>
      </c>
      <c r="F382" s="75" t="s">
        <v>1774</v>
      </c>
      <c r="G382" s="86" t="s">
        <v>1775</v>
      </c>
      <c r="H382" s="86" t="s">
        <v>1776</v>
      </c>
      <c r="I382" s="76" t="s">
        <v>1777</v>
      </c>
      <c r="J382" s="46" t="str">
        <f aca="false">IF(I382&lt;&gt;"?", HYPERLINK(CONCATENATE("https://doi.org/",I382)), "")</f>
        <v>https://doi.org/10.1109/ISSCC42614.2022.9731599</v>
      </c>
      <c r="K382" s="77" t="s">
        <v>117</v>
      </c>
      <c r="L382" s="54" t="n">
        <v>0.9</v>
      </c>
      <c r="M382" s="54"/>
      <c r="N382" s="54"/>
      <c r="O382" s="94" t="n">
        <v>0.128</v>
      </c>
      <c r="P382" s="2" t="n">
        <v>0.004</v>
      </c>
      <c r="Q382" s="30" t="n">
        <v>68.2</v>
      </c>
      <c r="R382" s="48" t="n">
        <v>99500000</v>
      </c>
      <c r="S382" s="41" t="n">
        <v>66.7</v>
      </c>
      <c r="T382" s="41"/>
      <c r="U382" s="41"/>
      <c r="V382" s="41"/>
      <c r="W382" s="41" t="n">
        <v>87.2</v>
      </c>
      <c r="X382" s="49" t="n">
        <f aca="false">+IF(ISNUMBER($S382),$S382,MIN($V382,$T382,$U382,$W382))</f>
        <v>66.7</v>
      </c>
      <c r="Y382" s="26" t="n">
        <v>0.0013</v>
      </c>
      <c r="Z382" s="104" t="n">
        <v>200000000</v>
      </c>
      <c r="AA382" s="98" t="n">
        <v>1</v>
      </c>
      <c r="AB382" s="105" t="n">
        <f aca="false">Z382/AA382</f>
        <v>200000000</v>
      </c>
      <c r="AC382" s="105"/>
      <c r="AD382" s="51" t="n">
        <f aca="false">IF(AB382&gt;0, Y382/AB382*1000000000000, 0)</f>
        <v>6.5</v>
      </c>
      <c r="AE382" s="49" t="n">
        <f aca="false">IF(ISNUMBER($Q382), $AD382*1000/2^(($Q382-1.76)/6.02), "")</f>
        <v>3.09444172319227</v>
      </c>
      <c r="AF382" s="49" t="n">
        <f aca="false">$AD382*1000/2^(($X382-1.76)/6.02)</f>
        <v>3.67781417358611</v>
      </c>
      <c r="AG382" s="31" t="n">
        <f aca="false">IF(ISNUMBER($Q382), $Q382+10*LOG10($AB382/2/$Y382), "")</f>
        <v>177.060566476932</v>
      </c>
      <c r="AH382" s="31" t="n">
        <f aca="false">IF($Y382&gt;0, $X382+10*LOG10($AB382/2/$Y382), 0)</f>
        <v>175.560566476932</v>
      </c>
      <c r="AI382" s="26" t="n">
        <f aca="false">AF382/AB382</f>
        <v>1.83890708679305E-008</v>
      </c>
      <c r="AJ382" s="53" t="n">
        <f aca="false">AH382+10*LOG10(AB382)</f>
        <v>258.570866433571</v>
      </c>
    </row>
    <row r="383" customFormat="false" ht="12.75" hidden="false" customHeight="false" outlineLevel="0" collapsed="false">
      <c r="A383" s="32" t="n">
        <v>2022</v>
      </c>
      <c r="B383" s="22" t="n">
        <v>10.4</v>
      </c>
      <c r="C383" s="34" t="s">
        <v>111</v>
      </c>
      <c r="D383" s="23" t="s">
        <v>994</v>
      </c>
      <c r="E383" s="94" t="n">
        <v>0.022</v>
      </c>
      <c r="F383" s="75" t="s">
        <v>1778</v>
      </c>
      <c r="G383" s="86" t="s">
        <v>1779</v>
      </c>
      <c r="H383" s="86" t="s">
        <v>1780</v>
      </c>
      <c r="I383" s="76" t="s">
        <v>1781</v>
      </c>
      <c r="J383" s="46" t="str">
        <f aca="false">IF(I383&lt;&gt;"?", HYPERLINK(CONCATENATE("https://doi.org/",I383)), "")</f>
        <v>https://doi.org/10.1109/ISSCC42614.2022.9731702</v>
      </c>
      <c r="K383" s="77" t="s">
        <v>117</v>
      </c>
      <c r="L383" s="54" t="n">
        <v>0.8</v>
      </c>
      <c r="M383" s="54"/>
      <c r="N383" s="54"/>
      <c r="P383" s="2" t="n">
        <v>0.048</v>
      </c>
      <c r="Q383" s="30" t="n">
        <v>63.5</v>
      </c>
      <c r="R383" s="48" t="n">
        <v>129070000</v>
      </c>
      <c r="S383" s="41" t="n">
        <v>60.5</v>
      </c>
      <c r="T383" s="41"/>
      <c r="U383" s="41"/>
      <c r="V383" s="41"/>
      <c r="W383" s="41" t="n">
        <v>77</v>
      </c>
      <c r="X383" s="49" t="n">
        <f aca="false">+IF(ISNUMBER($S383),$S383,MIN($V383,$T383,$U383,$W383))</f>
        <v>60.5</v>
      </c>
      <c r="Y383" s="26" t="n">
        <v>0.00097</v>
      </c>
      <c r="Z383" s="104" t="n">
        <v>260000000</v>
      </c>
      <c r="AA383" s="98" t="n">
        <v>1</v>
      </c>
      <c r="AB383" s="105" t="n">
        <f aca="false">Z383/AA383</f>
        <v>260000000</v>
      </c>
      <c r="AC383" s="105"/>
      <c r="AD383" s="51" t="n">
        <f aca="false">IF(AB383&gt;0, Y383/AB383*1000000000000, 0)</f>
        <v>3.73076923076923</v>
      </c>
      <c r="AE383" s="49" t="n">
        <f aca="false">IF(ISNUMBER($Q383), $AD383*1000/2^(($Q383-1.76)/6.02), "")</f>
        <v>3.05134108279273</v>
      </c>
      <c r="AF383" s="49" t="n">
        <f aca="false">$AD383*1000/2^(($X383-1.76)/6.02)</f>
        <v>4.31028219417788</v>
      </c>
      <c r="AG383" s="31" t="n">
        <f aca="false">IF(ISNUMBER($Q383), $Q383+10*LOG10($AB383/2/$Y383), "")</f>
        <v>174.771716180406</v>
      </c>
      <c r="AH383" s="31" t="n">
        <f aca="false">IF($Y383&gt;0, $X383+10*LOG10($AB383/2/$Y383), 0)</f>
        <v>171.771716180406</v>
      </c>
      <c r="AI383" s="26" t="n">
        <f aca="false">AF383/AB383</f>
        <v>1.65780084391457E-008</v>
      </c>
      <c r="AJ383" s="53" t="n">
        <f aca="false">AH383+10*LOG10(AB383)</f>
        <v>255.921449660114</v>
      </c>
    </row>
    <row r="384" customFormat="false" ht="12.75" hidden="false" customHeight="false" outlineLevel="0" collapsed="false">
      <c r="A384" s="32" t="n">
        <v>2022</v>
      </c>
      <c r="B384" s="22" t="n">
        <v>10.5</v>
      </c>
      <c r="C384" s="34" t="s">
        <v>111</v>
      </c>
      <c r="D384" s="23" t="s">
        <v>112</v>
      </c>
      <c r="E384" s="24" t="n">
        <v>0.18</v>
      </c>
      <c r="F384" s="75" t="s">
        <v>1782</v>
      </c>
      <c r="G384" s="86" t="s">
        <v>1783</v>
      </c>
      <c r="H384" s="86" t="s">
        <v>1784</v>
      </c>
      <c r="I384" s="76" t="s">
        <v>1785</v>
      </c>
      <c r="J384" s="46" t="str">
        <f aca="false">IF(I384&lt;&gt;"?", HYPERLINK(CONCATENATE("https://doi.org/",I384)), "")</f>
        <v>https://doi.org/10.1109/ISSCC42614.2022.9731652</v>
      </c>
      <c r="K384" s="77" t="s">
        <v>1786</v>
      </c>
      <c r="L384" s="54"/>
      <c r="M384" s="54"/>
      <c r="N384" s="54"/>
      <c r="P384" s="29" t="n">
        <f aca="false">0.9*0.87</f>
        <v>0.783</v>
      </c>
      <c r="Q384" s="30" t="n">
        <v>106</v>
      </c>
      <c r="R384" s="48" t="n">
        <v>100000</v>
      </c>
      <c r="S384" s="41" t="n">
        <v>105.3</v>
      </c>
      <c r="T384" s="41"/>
      <c r="U384" s="41" t="n">
        <v>106.3</v>
      </c>
      <c r="V384" s="41" t="n">
        <v>114</v>
      </c>
      <c r="W384" s="41"/>
      <c r="X384" s="49" t="n">
        <f aca="false">+IF(ISNUMBER($S384),$S384,MIN($V384,$T384,$U384,$W384))</f>
        <v>105.3</v>
      </c>
      <c r="Y384" s="26" t="n">
        <v>0.0085</v>
      </c>
      <c r="Z384" s="104" t="n">
        <v>2000000</v>
      </c>
      <c r="AA384" s="98" t="n">
        <v>1</v>
      </c>
      <c r="AB384" s="105" t="n">
        <f aca="false">Z384/AA384</f>
        <v>2000000</v>
      </c>
      <c r="AC384" s="105"/>
      <c r="AD384" s="51" t="n">
        <f aca="false">IF(AB384&gt;0, Y384/AB384*1000000000000, 0)</f>
        <v>4250</v>
      </c>
      <c r="AE384" s="49" t="n">
        <f aca="false">IF(ISNUMBER($Q384), $AD384*1000/2^(($Q384-1.76)/6.02), "")</f>
        <v>26.053707715815</v>
      </c>
      <c r="AF384" s="49" t="n">
        <f aca="false">$AD384*1000/2^(($X384-1.76)/6.02)</f>
        <v>28.2405418052754</v>
      </c>
      <c r="AG384" s="31" t="n">
        <f aca="false">IF(ISNUMBER($Q384), $Q384+10*LOG10($AB384/2/$Y384), "")</f>
        <v>186.705810742857</v>
      </c>
      <c r="AH384" s="31" t="n">
        <f aca="false">IF($Y384&gt;0, $X384+10*LOG10($AB384/2/$Y384), 0)</f>
        <v>186.005810742857</v>
      </c>
      <c r="AI384" s="26" t="n">
        <f aca="false">AF384/AB384</f>
        <v>1.41202709026377E-005</v>
      </c>
      <c r="AJ384" s="53" t="n">
        <f aca="false">AH384+10*LOG10(AB384)</f>
        <v>249.016110699497</v>
      </c>
    </row>
    <row r="385" customFormat="false" ht="12.75" hidden="false" customHeight="false" outlineLevel="0" collapsed="false">
      <c r="A385" s="32" t="n">
        <v>2022</v>
      </c>
      <c r="B385" s="22" t="n">
        <v>10.6</v>
      </c>
      <c r="C385" s="34" t="s">
        <v>139</v>
      </c>
      <c r="D385" s="23" t="s">
        <v>1153</v>
      </c>
      <c r="E385" s="94" t="n">
        <v>0.055</v>
      </c>
      <c r="F385" s="75" t="s">
        <v>1787</v>
      </c>
      <c r="G385" s="86" t="s">
        <v>1788</v>
      </c>
      <c r="H385" s="86" t="s">
        <v>1789</v>
      </c>
      <c r="I385" s="76" t="s">
        <v>1790</v>
      </c>
      <c r="J385" s="46" t="str">
        <f aca="false">IF(I385&lt;&gt;"?", HYPERLINK(CONCATENATE("https://doi.org/",I385)), "")</f>
        <v>https://doi.org/10.1109/ISSCC42614.2022.9731631</v>
      </c>
      <c r="K385" s="77" t="s">
        <v>117</v>
      </c>
      <c r="L385" s="54" t="n">
        <v>1</v>
      </c>
      <c r="M385" s="54"/>
      <c r="N385" s="54"/>
      <c r="O385" s="22" t="n">
        <v>4</v>
      </c>
      <c r="P385" s="29" t="n">
        <v>0.23</v>
      </c>
      <c r="R385" s="48" t="n">
        <f aca="false">1/0.00037/2</f>
        <v>1351.35135135135</v>
      </c>
      <c r="S385" s="41"/>
      <c r="T385" s="41" t="n">
        <v>93</v>
      </c>
      <c r="U385" s="41"/>
      <c r="V385" s="41"/>
      <c r="W385" s="41"/>
      <c r="X385" s="49" t="n">
        <f aca="false">+IF(ISNUMBER($S385),$S385,MIN($V385,$T385,$U385,$W385))</f>
        <v>93</v>
      </c>
      <c r="Y385" s="26" t="n">
        <v>4.96E-006</v>
      </c>
      <c r="Z385" s="104" t="n">
        <f aca="false">AA385*AB385</f>
        <v>345945.945945946</v>
      </c>
      <c r="AA385" s="98" t="n">
        <v>128</v>
      </c>
      <c r="AB385" s="105" t="n">
        <f aca="false">1/0.00037</f>
        <v>2702.7027027027</v>
      </c>
      <c r="AC385" s="105"/>
      <c r="AD385" s="51" t="n">
        <f aca="false">IF(AB385&gt;0, Y385/AB385*1000000000000, 0)</f>
        <v>1835.2</v>
      </c>
      <c r="AE385" s="49" t="str">
        <f aca="false">IF(ISNUMBER($Q385), $AD385*1000/2^(($Q385-1.76)/6.02), "")</f>
        <v/>
      </c>
      <c r="AF385" s="49" t="n">
        <f aca="false">$AD385*1000/2^(($X385-1.76)/6.02)</f>
        <v>50.2607288172472</v>
      </c>
      <c r="AG385" s="31" t="str">
        <f aca="false">IF(ISNUMBER($Q385), $Q385+10*LOG10($AB385/2/$Y385), "")</f>
        <v/>
      </c>
      <c r="AH385" s="31" t="n">
        <f aca="false">IF($Y385&gt;0, $X385+10*LOG10($AB385/2/$Y385), 0)</f>
        <v>177.352866037788</v>
      </c>
      <c r="AI385" s="26" t="n">
        <f aca="false">AF385/AB385</f>
        <v>0.0185964696623815</v>
      </c>
      <c r="AJ385" s="53" t="n">
        <f aca="false">AH385+10*LOG10(AB385)</f>
        <v>211.670848797118</v>
      </c>
    </row>
    <row r="386" customFormat="false" ht="12.75" hidden="false" customHeight="false" outlineLevel="0" collapsed="false">
      <c r="A386" s="32" t="n">
        <v>2022</v>
      </c>
      <c r="B386" s="22" t="n">
        <v>10.7</v>
      </c>
      <c r="C386" s="34" t="s">
        <v>139</v>
      </c>
      <c r="D386" s="23" t="s">
        <v>1153</v>
      </c>
      <c r="E386" s="94" t="n">
        <v>0.028</v>
      </c>
      <c r="F386" s="75" t="s">
        <v>1791</v>
      </c>
      <c r="G386" s="86" t="s">
        <v>1792</v>
      </c>
      <c r="H386" s="86" t="s">
        <v>1793</v>
      </c>
      <c r="I386" s="76" t="s">
        <v>1794</v>
      </c>
      <c r="J386" s="46" t="str">
        <f aca="false">IF(I386&lt;&gt;"?", HYPERLINK(CONCATENATE("https://doi.org/",I386)), "")</f>
        <v>https://doi.org/10.1109/ISSCC42614.2022.9731742</v>
      </c>
      <c r="K386" s="77" t="s">
        <v>117</v>
      </c>
      <c r="L386" s="54" t="n">
        <v>0.9</v>
      </c>
      <c r="M386" s="54"/>
      <c r="N386" s="54"/>
      <c r="O386" s="22" t="n">
        <f aca="false">132*0.0125</f>
        <v>1.65</v>
      </c>
      <c r="P386" s="29" t="n">
        <v>0.014</v>
      </c>
      <c r="Q386" s="30" t="n">
        <v>102.9</v>
      </c>
      <c r="R386" s="48" t="n">
        <v>9900</v>
      </c>
      <c r="S386" s="41" t="n">
        <v>103</v>
      </c>
      <c r="T386" s="41"/>
      <c r="U386" s="41"/>
      <c r="V386" s="41"/>
      <c r="W386" s="41" t="n">
        <v>113.9</v>
      </c>
      <c r="X386" s="49" t="n">
        <f aca="false">+IF(ISNUMBER($S386),$S386,MIN($V386,$T386,$U386,$W386))</f>
        <v>103</v>
      </c>
      <c r="Y386" s="26" t="n">
        <v>0.00047</v>
      </c>
      <c r="Z386" s="104" t="n">
        <f aca="false">AA386*AB386</f>
        <v>327680000</v>
      </c>
      <c r="AA386" s="98" t="n">
        <f aca="false">2^14</f>
        <v>16384</v>
      </c>
      <c r="AB386" s="105" t="n">
        <v>20000</v>
      </c>
      <c r="AC386" s="105"/>
      <c r="AD386" s="51" t="n">
        <f aca="false">IF(AB386&gt;0, Y386/AB386*1000000000000, 0)</f>
        <v>23500</v>
      </c>
      <c r="AE386" s="49" t="n">
        <f aca="false">IF(ISNUMBER($Q386), $AD386*1000/2^(($Q386-1.76)/6.02), "")</f>
        <v>205.856182711288</v>
      </c>
      <c r="AF386" s="49" t="n">
        <f aca="false">$AD386*1000/2^(($X386-1.76)/6.02)</f>
        <v>203.499532997993</v>
      </c>
      <c r="AG386" s="31" t="n">
        <f aca="false">IF(ISNUMBER($Q386), $Q386+10*LOG10($AB386/2/$Y386), "")</f>
        <v>176.179021420643</v>
      </c>
      <c r="AH386" s="31" t="n">
        <f aca="false">IF($Y386&gt;0, $X386+10*LOG10($AB386/2/$Y386), 0)</f>
        <v>176.279021420643</v>
      </c>
      <c r="AI386" s="26" t="n">
        <f aca="false">AF386/AB386</f>
        <v>0.0101749766498997</v>
      </c>
      <c r="AJ386" s="53" t="n">
        <f aca="false">AH386+10*LOG10(AB386)</f>
        <v>219.289321377283</v>
      </c>
    </row>
    <row r="387" customFormat="false" ht="12.75" hidden="false" customHeight="false" outlineLevel="0" collapsed="false">
      <c r="A387" s="32" t="n">
        <v>2022</v>
      </c>
      <c r="B387" s="22" t="n">
        <v>25.1</v>
      </c>
      <c r="C387" s="34" t="s">
        <v>139</v>
      </c>
      <c r="D387" s="23" t="s">
        <v>1410</v>
      </c>
      <c r="E387" s="94" t="n">
        <v>0.065</v>
      </c>
      <c r="F387" s="75" t="s">
        <v>1795</v>
      </c>
      <c r="G387" s="86" t="s">
        <v>1796</v>
      </c>
      <c r="H387" s="86" t="s">
        <v>1797</v>
      </c>
      <c r="I387" s="76" t="s">
        <v>1798</v>
      </c>
      <c r="J387" s="46" t="str">
        <f aca="false">IF(I387&lt;&gt;"?", HYPERLINK(CONCATENATE("https://doi.org/",I387)), "")</f>
        <v>https://doi.org/10.1109/ISSCC42614.2022.9731549</v>
      </c>
      <c r="K387" s="77" t="s">
        <v>117</v>
      </c>
      <c r="L387" s="54" t="n">
        <v>0.8</v>
      </c>
      <c r="M387" s="54"/>
      <c r="N387" s="54"/>
      <c r="P387" s="29" t="n">
        <v>0.1</v>
      </c>
      <c r="R387" s="48" t="n">
        <v>322</v>
      </c>
      <c r="S387" s="41" t="n">
        <v>92.1</v>
      </c>
      <c r="T387" s="41"/>
      <c r="U387" s="41" t="n">
        <v>92.1</v>
      </c>
      <c r="V387" s="41"/>
      <c r="W387" s="41" t="n">
        <v>123.2</v>
      </c>
      <c r="X387" s="49" t="n">
        <f aca="false">+IF(ISNUMBER($S387),$S387,MIN($V387,$T387,$U387,$W387))</f>
        <v>92.1</v>
      </c>
      <c r="Y387" s="26" t="n">
        <v>4.4E-006</v>
      </c>
      <c r="Z387" s="104" t="n">
        <v>400000</v>
      </c>
      <c r="AA387" s="98" t="n">
        <f aca="false">Z387/AB387</f>
        <v>80</v>
      </c>
      <c r="AB387" s="105" t="n">
        <v>5000</v>
      </c>
      <c r="AC387" s="105"/>
      <c r="AD387" s="51" t="n">
        <f aca="false">IF(AB387&gt;0, Y387/AB387*1000000000000, 0)</f>
        <v>880</v>
      </c>
      <c r="AE387" s="49" t="str">
        <f aca="false">IF(ISNUMBER($Q387), $AD387*1000/2^(($Q387-1.76)/6.02), "")</f>
        <v/>
      </c>
      <c r="AF387" s="49" t="n">
        <f aca="false">$AD387*1000/2^(($X387-1.76)/6.02)</f>
        <v>26.7320668113624</v>
      </c>
      <c r="AG387" s="31" t="str">
        <f aca="false">IF(ISNUMBER($Q387), $Q387+10*LOG10($AB387/2/$Y387), "")</f>
        <v/>
      </c>
      <c r="AH387" s="31" t="n">
        <f aca="false">IF($Y387&gt;0, $X387+10*LOG10($AB387/2/$Y387), 0)</f>
        <v>179.644873321858</v>
      </c>
      <c r="AI387" s="26" t="n">
        <f aca="false">AF387/AB387</f>
        <v>0.00534641336227249</v>
      </c>
      <c r="AJ387" s="53" t="n">
        <f aca="false">AH387+10*LOG10(AB387)</f>
        <v>216.634573365219</v>
      </c>
    </row>
    <row r="388" customFormat="false" ht="12.75" hidden="false" customHeight="false" outlineLevel="0" collapsed="false">
      <c r="A388" s="32" t="n">
        <v>2022</v>
      </c>
      <c r="B388" s="22" t="n">
        <v>25.2</v>
      </c>
      <c r="C388" s="34" t="s">
        <v>139</v>
      </c>
      <c r="D388" s="23" t="s">
        <v>1799</v>
      </c>
      <c r="E388" s="24" t="n">
        <v>0.055</v>
      </c>
      <c r="F388" s="75" t="s">
        <v>1800</v>
      </c>
      <c r="G388" s="86" t="s">
        <v>1801</v>
      </c>
      <c r="H388" s="86" t="s">
        <v>1802</v>
      </c>
      <c r="I388" s="76" t="s">
        <v>1803</v>
      </c>
      <c r="J388" s="46" t="str">
        <f aca="false">IF(I388&lt;&gt;"?", HYPERLINK(CONCATENATE("https://doi.org/",I388)), "")</f>
        <v>https://doi.org/10.1109/ISSCC42614.2022.9731544</v>
      </c>
      <c r="K388" s="77" t="s">
        <v>117</v>
      </c>
      <c r="L388" s="54" t="n">
        <v>1.2</v>
      </c>
      <c r="M388" s="54"/>
      <c r="N388" s="54"/>
      <c r="O388" s="22" t="n">
        <v>0.88</v>
      </c>
      <c r="P388" s="29" t="n">
        <v>0.136</v>
      </c>
      <c r="R388" s="48" t="n">
        <v>278.5</v>
      </c>
      <c r="S388" s="41" t="n">
        <v>94</v>
      </c>
      <c r="T388" s="41" t="n">
        <v>95.8</v>
      </c>
      <c r="U388" s="41" t="n">
        <v>96.9</v>
      </c>
      <c r="V388" s="41"/>
      <c r="W388" s="41" t="n">
        <v>99.8</v>
      </c>
      <c r="X388" s="49" t="n">
        <f aca="false">+IF(ISNUMBER($S388),$S388,MIN($V388,$T388,$U388,$W388))</f>
        <v>94</v>
      </c>
      <c r="Y388" s="26" t="n">
        <v>2.87E-006</v>
      </c>
      <c r="Z388" s="104" t="n">
        <v>25000</v>
      </c>
      <c r="AA388" s="98" t="n">
        <f aca="false">Z388/AB388</f>
        <v>12.5</v>
      </c>
      <c r="AB388" s="26" t="n">
        <v>2000</v>
      </c>
      <c r="AC388" s="26"/>
      <c r="AD388" s="51" t="n">
        <f aca="false">IF(AB388&gt;0, Y388/AB388*1000000000000, 0)</f>
        <v>1435</v>
      </c>
      <c r="AE388" s="49" t="str">
        <f aca="false">IF(ISNUMBER($Q388), $AD388*1000/2^(($Q388-1.76)/6.02), "")</f>
        <v/>
      </c>
      <c r="AF388" s="49" t="n">
        <f aca="false">$AD388*1000/2^(($X388-1.76)/6.02)</f>
        <v>35.0261416542129</v>
      </c>
      <c r="AG388" s="31" t="str">
        <f aca="false">IF(ISNUMBER($Q388), $Q388+10*LOG10($AB388/2/$Y388), "")</f>
        <v/>
      </c>
      <c r="AH388" s="31" t="n">
        <f aca="false">IF($Y388&gt;0, $X388+10*LOG10($AB388/2/$Y388), 0)</f>
        <v>179.42118103266</v>
      </c>
      <c r="AI388" s="26" t="n">
        <f aca="false">AF388/AB388</f>
        <v>0.0175130708271065</v>
      </c>
      <c r="AJ388" s="53" t="n">
        <f aca="false">AH388+10*LOG10(AB388)</f>
        <v>212.4314809893</v>
      </c>
    </row>
    <row r="389" customFormat="false" ht="12.75" hidden="false" customHeight="false" outlineLevel="0" collapsed="false">
      <c r="A389" s="32" t="n">
        <v>2022</v>
      </c>
      <c r="B389" s="22" t="n">
        <v>25.3</v>
      </c>
      <c r="C389" s="34" t="s">
        <v>139</v>
      </c>
      <c r="D389" s="23" t="s">
        <v>1799</v>
      </c>
      <c r="E389" s="24" t="n">
        <v>0.18</v>
      </c>
      <c r="F389" s="75" t="s">
        <v>1804</v>
      </c>
      <c r="G389" s="86" t="s">
        <v>1805</v>
      </c>
      <c r="H389" s="86" t="s">
        <v>1806</v>
      </c>
      <c r="I389" s="76" t="s">
        <v>1807</v>
      </c>
      <c r="J389" s="46" t="str">
        <f aca="false">IF(I389&lt;&gt;"?", HYPERLINK(CONCATENATE("https://doi.org/",I389)), "")</f>
        <v>https://doi.org/10.1109/ISSCC42614.2022.9731606</v>
      </c>
      <c r="K389" s="77" t="s">
        <v>117</v>
      </c>
      <c r="L389" s="54" t="n">
        <v>1.8</v>
      </c>
      <c r="M389" s="54" t="n">
        <v>1.1</v>
      </c>
      <c r="N389" s="54"/>
      <c r="O389" s="22" t="n">
        <v>7.3</v>
      </c>
      <c r="P389" s="29" t="n">
        <v>0.0375</v>
      </c>
      <c r="R389" s="48" t="n">
        <v>3000</v>
      </c>
      <c r="S389" s="41" t="n">
        <v>105.4</v>
      </c>
      <c r="T389" s="41" t="n">
        <v>106.2</v>
      </c>
      <c r="U389" s="41" t="n">
        <v>108.8</v>
      </c>
      <c r="V389" s="41"/>
      <c r="W389" s="41"/>
      <c r="X389" s="49" t="n">
        <f aca="false">+IF(ISNUMBER($S389),$S389,MIN($V389,$T389,$U389,$W389))</f>
        <v>105.4</v>
      </c>
      <c r="Y389" s="26" t="n">
        <v>0.0002035</v>
      </c>
      <c r="Z389" s="104" t="n">
        <v>5800000</v>
      </c>
      <c r="AA389" s="98" t="n">
        <f aca="false">Z389/AB389</f>
        <v>145</v>
      </c>
      <c r="AB389" s="26" t="n">
        <v>40000</v>
      </c>
      <c r="AC389" s="26"/>
      <c r="AD389" s="51" t="n">
        <f aca="false">IF(AB389&gt;0, Y389/AB389*1000000000000, 0)</f>
        <v>5087.5</v>
      </c>
      <c r="AE389" s="49" t="str">
        <f aca="false">IF(ISNUMBER($Q389), $AD389*1000/2^(($Q389-1.76)/6.02), "")</f>
        <v/>
      </c>
      <c r="AF389" s="49" t="n">
        <f aca="false">$AD389*1000/2^(($X389-1.76)/6.02)</f>
        <v>33.4185820221085</v>
      </c>
      <c r="AG389" s="31" t="str">
        <f aca="false">IF(ISNUMBER($Q389), $Q389+10*LOG10($AB389/2/$Y389), "")</f>
        <v/>
      </c>
      <c r="AH389" s="31" t="n">
        <f aca="false">IF($Y389&gt;0, $X389+10*LOG10($AB389/2/$Y389), 0)</f>
        <v>185.324655821027</v>
      </c>
      <c r="AI389" s="26" t="n">
        <f aca="false">AF389/AB389</f>
        <v>0.000835464550552713</v>
      </c>
      <c r="AJ389" s="53" t="n">
        <f aca="false">AH389+10*LOG10(AB389)</f>
        <v>231.345255734307</v>
      </c>
    </row>
    <row r="390" customFormat="false" ht="12.75" hidden="false" customHeight="false" outlineLevel="0" collapsed="false">
      <c r="A390" s="32" t="n">
        <v>2022</v>
      </c>
      <c r="B390" s="22" t="n">
        <v>25.4</v>
      </c>
      <c r="C390" s="34" t="s">
        <v>139</v>
      </c>
      <c r="D390" s="23" t="s">
        <v>173</v>
      </c>
      <c r="E390" s="24" t="n">
        <v>0.04</v>
      </c>
      <c r="F390" s="75" t="s">
        <v>1808</v>
      </c>
      <c r="G390" s="86" t="s">
        <v>1809</v>
      </c>
      <c r="H390" s="86" t="s">
        <v>1810</v>
      </c>
      <c r="I390" s="76" t="s">
        <v>1811</v>
      </c>
      <c r="J390" s="46" t="str">
        <f aca="false">IF(I390&lt;&gt;"?", HYPERLINK(CONCATENATE("https://doi.org/",I390)), "")</f>
        <v>https://doi.org/10.1109/ISSCC42614.2022.9731789</v>
      </c>
      <c r="K390" s="77" t="s">
        <v>117</v>
      </c>
      <c r="L390" s="54" t="n">
        <v>1.8</v>
      </c>
      <c r="M390" s="54" t="n">
        <v>1.1</v>
      </c>
      <c r="N390" s="54" t="n">
        <v>1</v>
      </c>
      <c r="P390" s="29" t="n">
        <v>0.21</v>
      </c>
      <c r="R390" s="48" t="n">
        <v>115000000</v>
      </c>
      <c r="S390" s="41" t="n">
        <v>65</v>
      </c>
      <c r="T390" s="41" t="n">
        <v>65</v>
      </c>
      <c r="U390" s="41" t="n">
        <v>68</v>
      </c>
      <c r="V390" s="41" t="n">
        <v>78</v>
      </c>
      <c r="W390" s="41"/>
      <c r="X390" s="49" t="n">
        <f aca="false">+IF(ISNUMBER($S390),$S390,MIN($V390,$T390,$U390,$W390))</f>
        <v>65</v>
      </c>
      <c r="Y390" s="26" t="n">
        <v>0.158</v>
      </c>
      <c r="Z390" s="104" t="n">
        <v>5000000000</v>
      </c>
      <c r="AA390" s="98" t="n">
        <f aca="false">Z390/AB390</f>
        <v>6.94444444444444</v>
      </c>
      <c r="AB390" s="26" t="n">
        <f aca="false">720000000</f>
        <v>720000000</v>
      </c>
      <c r="AC390" s="26"/>
      <c r="AD390" s="51" t="n">
        <f aca="false">IF(AB390&gt;0, Y390/AB390*1000000000000, 0)</f>
        <v>219.444444444444</v>
      </c>
      <c r="AE390" s="49" t="str">
        <f aca="false">IF(ISNUMBER($Q390), $AD390*1000/2^(($Q390-1.76)/6.02), "")</f>
        <v/>
      </c>
      <c r="AF390" s="49" t="n">
        <f aca="false">$AD390*1000/2^(($X390-1.76)/6.02)</f>
        <v>151.011314016813</v>
      </c>
      <c r="AG390" s="31" t="str">
        <f aca="false">IF(ISNUMBER($Q390), $Q390+10*LOG10($AB390/2/$Y390), "")</f>
        <v/>
      </c>
      <c r="AH390" s="31" t="n">
        <f aca="false">IF($Y390&gt;0, $X390+10*LOG10($AB390/2/$Y390), 0)</f>
        <v>158.576454138129</v>
      </c>
      <c r="AI390" s="26" t="n">
        <f aca="false">AF390/AB390</f>
        <v>2.09737936134463E-007</v>
      </c>
      <c r="AJ390" s="53" t="n">
        <f aca="false">AH390+10*LOG10(AB390)</f>
        <v>247.149779102441</v>
      </c>
    </row>
    <row r="391" customFormat="false" ht="12.75" hidden="false" customHeight="false" outlineLevel="0" collapsed="false">
      <c r="A391" s="32" t="n">
        <v>2022</v>
      </c>
      <c r="B391" s="22" t="n">
        <v>25.5</v>
      </c>
      <c r="C391" s="34" t="s">
        <v>139</v>
      </c>
      <c r="D391" s="23" t="s">
        <v>173</v>
      </c>
      <c r="E391" s="94" t="n">
        <v>0.028</v>
      </c>
      <c r="F391" s="75" t="s">
        <v>1812</v>
      </c>
      <c r="G391" s="86" t="s">
        <v>1813</v>
      </c>
      <c r="H391" s="86" t="s">
        <v>1814</v>
      </c>
      <c r="I391" s="76" t="s">
        <v>1815</v>
      </c>
      <c r="J391" s="46" t="str">
        <f aca="false">IF(I391&lt;&gt;"?", HYPERLINK(CONCATENATE("https://doi.org/",I391)), "")</f>
        <v>https://doi.org/10.1109/ISSCC42614.2022.9731602</v>
      </c>
      <c r="K391" s="77" t="s">
        <v>1816</v>
      </c>
      <c r="L391" s="54" t="n">
        <v>1.5</v>
      </c>
      <c r="M391" s="54" t="n">
        <v>0.9</v>
      </c>
      <c r="N391" s="54"/>
      <c r="P391" s="29" t="n">
        <v>0.13</v>
      </c>
      <c r="R391" s="48" t="n">
        <v>38800000</v>
      </c>
      <c r="S391" s="41"/>
      <c r="T391" s="41"/>
      <c r="U391" s="41"/>
      <c r="V391" s="41" t="n">
        <v>101</v>
      </c>
      <c r="W391" s="41"/>
      <c r="X391" s="49" t="n">
        <v>1</v>
      </c>
      <c r="Y391" s="26" t="n">
        <v>0.1088</v>
      </c>
      <c r="Z391" s="104" t="n">
        <v>6000000000</v>
      </c>
      <c r="AA391" s="98" t="n">
        <f aca="false">Z391/AB391</f>
        <v>25</v>
      </c>
      <c r="AB391" s="26" t="n">
        <v>240000000</v>
      </c>
      <c r="AC391" s="26"/>
      <c r="AD391" s="51" t="n">
        <f aca="false">IF(AB391&gt;0, Y391/AB391*1000000000000, 0)</f>
        <v>453.333333333333</v>
      </c>
      <c r="AE391" s="49" t="str">
        <f aca="false">IF(ISNUMBER($Q391), $AD391*1000/2^(($Q391-1.76)/6.02), "")</f>
        <v/>
      </c>
      <c r="AF391" s="107" t="n">
        <v>10000000000</v>
      </c>
      <c r="AG391" s="31" t="str">
        <f aca="false">IF(ISNUMBER($Q391), $Q391+10*LOG10($AB391/2/$Y391), "")</f>
        <v/>
      </c>
      <c r="AH391" s="31" t="n">
        <v>1</v>
      </c>
      <c r="AI391" s="26"/>
      <c r="AJ391" s="53"/>
    </row>
    <row r="392" customFormat="false" ht="12.75" hidden="false" customHeight="false" outlineLevel="0" collapsed="false">
      <c r="A392" s="32" t="n">
        <v>2022</v>
      </c>
      <c r="B392" s="22" t="n">
        <v>25.6</v>
      </c>
      <c r="C392" s="34" t="s">
        <v>139</v>
      </c>
      <c r="D392" s="23" t="s">
        <v>112</v>
      </c>
      <c r="E392" s="94" t="n">
        <v>0.065</v>
      </c>
      <c r="F392" s="75" t="s">
        <v>1817</v>
      </c>
      <c r="G392" s="86" t="s">
        <v>1818</v>
      </c>
      <c r="H392" s="86" t="s">
        <v>1819</v>
      </c>
      <c r="I392" s="76" t="s">
        <v>1820</v>
      </c>
      <c r="J392" s="46" t="str">
        <f aca="false">IF(I392&lt;&gt;"?", HYPERLINK(CONCATENATE("https://doi.org/",I392)), "")</f>
        <v>https://doi.org/10.1109/ISSCC42614.2022.9731771</v>
      </c>
      <c r="K392" s="77" t="s">
        <v>1821</v>
      </c>
      <c r="L392" s="54" t="n">
        <v>2</v>
      </c>
      <c r="M392" s="54" t="n">
        <v>1.2</v>
      </c>
      <c r="N392" s="54"/>
      <c r="P392" s="29" t="n">
        <v>0.075</v>
      </c>
      <c r="R392" s="48" t="n">
        <v>50000</v>
      </c>
      <c r="S392" s="41" t="n">
        <v>84.1</v>
      </c>
      <c r="T392" s="41"/>
      <c r="U392" s="41" t="n">
        <v>84.9</v>
      </c>
      <c r="V392" s="41"/>
      <c r="W392" s="41" t="n">
        <v>97</v>
      </c>
      <c r="X392" s="49" t="n">
        <f aca="false">+IF(ISNUMBER($S392),$S392,MIN($V392,$T392,$U392,$W392))</f>
        <v>84.1</v>
      </c>
      <c r="Y392" s="26" t="n">
        <v>0.0001338</v>
      </c>
      <c r="Z392" s="104" t="n">
        <v>5000000</v>
      </c>
      <c r="AA392" s="97" t="n">
        <f aca="false">Z392/AB392</f>
        <v>5</v>
      </c>
      <c r="AB392" s="26" t="n">
        <v>1000000</v>
      </c>
      <c r="AC392" s="26"/>
      <c r="AD392" s="51" t="n">
        <f aca="false">IF(AB392&gt;0, Y392/AB392*1000000000000, 0)</f>
        <v>133.8</v>
      </c>
      <c r="AE392" s="49" t="str">
        <f aca="false">IF(ISNUMBER($Q392), $AD392*1000/2^(($Q392-1.76)/6.02), "")</f>
        <v/>
      </c>
      <c r="AF392" s="49" t="n">
        <f aca="false">$AD392*1000/2^(($X392-1.76)/6.02)</f>
        <v>10.2104725127432</v>
      </c>
      <c r="AG392" s="31" t="str">
        <f aca="false">IF(ISNUMBER($Q392), $Q392+10*LOG10($AB392/2/$Y392), "")</f>
        <v/>
      </c>
      <c r="AH392" s="31" t="n">
        <f aca="false">IF($Y392&gt;0, $X392+10*LOG10($AB392/2/$Y392), 0)</f>
        <v>179.825138909042</v>
      </c>
      <c r="AI392" s="26" t="n">
        <f aca="false">AF392/AB392</f>
        <v>1.02104725127432E-005</v>
      </c>
      <c r="AJ392" s="53" t="n">
        <f aca="false">AH392+10*LOG10(AB392)</f>
        <v>239.825138909042</v>
      </c>
      <c r="AL392" s="53"/>
    </row>
    <row r="393" customFormat="false" ht="12.75" hidden="false" customHeight="false" outlineLevel="0" collapsed="false">
      <c r="A393" s="32" t="n">
        <v>2022</v>
      </c>
      <c r="B393" s="22" t="n">
        <v>32.2</v>
      </c>
      <c r="C393" s="34" t="s">
        <v>111</v>
      </c>
      <c r="D393" s="23" t="s">
        <v>1822</v>
      </c>
      <c r="E393" s="24" t="n">
        <v>0.18</v>
      </c>
      <c r="F393" s="75" t="s">
        <v>1823</v>
      </c>
      <c r="G393" s="86" t="s">
        <v>1824</v>
      </c>
      <c r="H393" s="86" t="s">
        <v>1825</v>
      </c>
      <c r="I393" s="76" t="s">
        <v>1826</v>
      </c>
      <c r="J393" s="46" t="str">
        <f aca="false">IF(I393&lt;&gt;"?", HYPERLINK(CONCATENATE("https://doi.org/",I393)), "")</f>
        <v>https://doi.org/10.1109/ISSCC42614.2022.9731597</v>
      </c>
      <c r="K393" s="77" t="s">
        <v>117</v>
      </c>
      <c r="L393" s="54" t="n">
        <v>0</v>
      </c>
      <c r="M393" s="54"/>
      <c r="N393" s="54"/>
      <c r="P393" s="2" t="n">
        <v>0.01</v>
      </c>
      <c r="R393" s="48" t="n">
        <f aca="false">10000000</f>
        <v>10000000</v>
      </c>
      <c r="S393" s="41"/>
      <c r="T393" s="41" t="n">
        <v>52.3</v>
      </c>
      <c r="U393" s="41"/>
      <c r="V393" s="41"/>
      <c r="W393" s="41"/>
      <c r="X393" s="49" t="n">
        <f aca="false">+IF(ISNUMBER($S393),$S393,MIN($V393,$T393,$U393,$W393))</f>
        <v>52.3</v>
      </c>
      <c r="Y393" s="26" t="n">
        <v>0.00082</v>
      </c>
      <c r="Z393" s="104" t="n">
        <v>24000000</v>
      </c>
      <c r="AA393" s="98" t="n">
        <v>1</v>
      </c>
      <c r="AB393" s="26" t="n">
        <f aca="false">Z393/AA393</f>
        <v>24000000</v>
      </c>
      <c r="AC393" s="26"/>
      <c r="AD393" s="51" t="n">
        <f aca="false">IF(AB393&gt;0, Y393/AB393*1000000000000, 0)</f>
        <v>34.1666666666667</v>
      </c>
      <c r="AE393" s="49" t="str">
        <f aca="false">IF(ISNUMBER($Q393), $AD393*1000/2^(($Q393-1.76)/6.02), "")</f>
        <v/>
      </c>
      <c r="AF393" s="49" t="n">
        <f aca="false">$AD393*1000/2^(($X393-1.76)/6.02)</f>
        <v>101.473066903294</v>
      </c>
      <c r="AG393" s="31" t="str">
        <f aca="false">IF(ISNUMBER($Q393), $Q393+10*LOG10($AB393/2/$Y393), "")</f>
        <v/>
      </c>
      <c r="AH393" s="31" t="n">
        <f aca="false">IF($Y393&gt;0, $X393+10*LOG10($AB393/2/$Y393), 0)</f>
        <v>153.953673936639</v>
      </c>
      <c r="AI393" s="26" t="n">
        <f aca="false">AF393/AB393</f>
        <v>4.2280444543039E-006</v>
      </c>
      <c r="AJ393" s="53" t="n">
        <f aca="false">AH393+10*LOG10(AB393)</f>
        <v>227.755786353755</v>
      </c>
      <c r="AL393" s="53"/>
    </row>
    <row r="394" customFormat="false" ht="12.75" hidden="false" customHeight="false" outlineLevel="0" collapsed="false">
      <c r="A394" s="32" t="n">
        <v>2022</v>
      </c>
      <c r="B394" s="22" t="n">
        <v>32.5</v>
      </c>
      <c r="C394" s="34" t="s">
        <v>139</v>
      </c>
      <c r="D394" s="23" t="s">
        <v>173</v>
      </c>
      <c r="E394" s="24" t="n">
        <v>0.04</v>
      </c>
      <c r="F394" s="75" t="s">
        <v>1827</v>
      </c>
      <c r="G394" s="86" t="s">
        <v>1828</v>
      </c>
      <c r="H394" s="86" t="s">
        <v>1829</v>
      </c>
      <c r="I394" s="76" t="s">
        <v>1830</v>
      </c>
      <c r="J394" s="46" t="str">
        <f aca="false">IF(I394&lt;&gt;"?", HYPERLINK(CONCATENATE("https://doi.org/",I394)), "")</f>
        <v>https://doi.org/10.1109/ISSCC42614.2022.9731571</v>
      </c>
      <c r="K394" s="77" t="s">
        <v>1831</v>
      </c>
      <c r="L394" s="54" t="n">
        <v>1</v>
      </c>
      <c r="M394" s="54" t="n">
        <v>0.7</v>
      </c>
      <c r="N394" s="54"/>
      <c r="P394" s="29" t="n">
        <f aca="false">0.18*0.45</f>
        <v>0.081</v>
      </c>
      <c r="R394" s="48" t="n">
        <v>8000</v>
      </c>
      <c r="S394" s="41" t="n">
        <v>80</v>
      </c>
      <c r="T394" s="41"/>
      <c r="U394" s="41"/>
      <c r="V394" s="41"/>
      <c r="W394" s="41"/>
      <c r="X394" s="49" t="n">
        <f aca="false">+IF(ISNUMBER($S394),$S394,MIN($V394,$T394,$U394,$W394))</f>
        <v>80</v>
      </c>
      <c r="Y394" s="26" t="n">
        <v>1.2E-005</v>
      </c>
      <c r="Z394" s="104" t="n">
        <v>384000</v>
      </c>
      <c r="AA394" s="98" t="n">
        <v>24</v>
      </c>
      <c r="AB394" s="26" t="n">
        <f aca="false">Z394/AA394</f>
        <v>16000</v>
      </c>
      <c r="AC394" s="26"/>
      <c r="AD394" s="51" t="n">
        <f aca="false">IF(AB394&gt;0, Y394/AB394*1000000000000, 0)</f>
        <v>750</v>
      </c>
      <c r="AE394" s="49" t="str">
        <f aca="false">IF(ISNUMBER($Q394), $AD394*1000/2^(($Q394-1.76)/6.02), "")</f>
        <v/>
      </c>
      <c r="AF394" s="49" t="n">
        <f aca="false">$AD394*1000/2^(($X394-1.76)/6.02)</f>
        <v>91.7638062805708</v>
      </c>
      <c r="AG394" s="31" t="str">
        <f aca="false">IF(ISNUMBER($Q394), $Q394+10*LOG10($AB394/2/$Y394), "")</f>
        <v/>
      </c>
      <c r="AH394" s="31" t="n">
        <f aca="false">IF($Y394&gt;0, $X394+10*LOG10($AB394/2/$Y394), 0)</f>
        <v>168.239087409443</v>
      </c>
      <c r="AI394" s="26" t="n">
        <f aca="false">AF394/AB394</f>
        <v>0.00573523789253567</v>
      </c>
      <c r="AJ394" s="53" t="n">
        <f aca="false">AH394+10*LOG10(AB394)</f>
        <v>210.280287236002</v>
      </c>
      <c r="AL394" s="53"/>
    </row>
    <row r="395" customFormat="false" ht="12.75" hidden="false" customHeight="false" outlineLevel="0" collapsed="false">
      <c r="A395" s="74" t="n">
        <v>2023</v>
      </c>
      <c r="B395" s="34" t="n">
        <v>10.1</v>
      </c>
      <c r="C395" s="34" t="s">
        <v>111</v>
      </c>
      <c r="D395" s="23" t="s">
        <v>191</v>
      </c>
      <c r="E395" s="79" t="n">
        <v>0.007</v>
      </c>
      <c r="F395" s="17" t="s">
        <v>1832</v>
      </c>
      <c r="G395" s="86" t="s">
        <v>1833</v>
      </c>
      <c r="H395" s="103" t="s">
        <v>1834</v>
      </c>
      <c r="I395" s="76" t="s">
        <v>1835</v>
      </c>
      <c r="J395" s="46" t="str">
        <f aca="false">IF(I395&lt;&gt;"?", HYPERLINK(CONCATENATE("https://doi.org/",I395)), "")</f>
        <v>https://doi.org/10.1109/ISSCC42615.2023.10067258</v>
      </c>
      <c r="K395" s="77" t="s">
        <v>1836</v>
      </c>
      <c r="L395" s="53" t="n">
        <v>1</v>
      </c>
      <c r="M395" s="53"/>
      <c r="N395" s="53"/>
      <c r="O395" s="34" t="n">
        <v>1.08</v>
      </c>
      <c r="P395" s="2" t="n">
        <v>0.0243</v>
      </c>
      <c r="Q395" s="54" t="n">
        <v>61.48</v>
      </c>
      <c r="R395" s="52" t="n">
        <v>896480000</v>
      </c>
      <c r="S395" s="54" t="n">
        <v>60.16</v>
      </c>
      <c r="U395" s="54"/>
      <c r="V395" s="34"/>
      <c r="W395" s="34" t="n">
        <v>69.2</v>
      </c>
      <c r="X395" s="49" t="n">
        <f aca="false">+IF(ISNUMBER($S395),$S395,MIN($V395,$T395,$U395,$W395))</f>
        <v>60.16</v>
      </c>
      <c r="Y395" s="52" t="n">
        <v>0.00755</v>
      </c>
      <c r="Z395" s="108" t="n">
        <v>1800000000</v>
      </c>
      <c r="AA395" s="98" t="n">
        <v>1</v>
      </c>
      <c r="AB395" s="52" t="n">
        <f aca="false">Z395/AA395</f>
        <v>1800000000</v>
      </c>
      <c r="AC395" s="26"/>
      <c r="AD395" s="51" t="n">
        <f aca="false">IF(AB395&gt;0, Y395/AB395*1000000000000, 0)</f>
        <v>4.19444444444444</v>
      </c>
      <c r="AE395" s="49" t="n">
        <f aca="false">IF(ISNUMBER($Q395), $AD395*1000/2^(($Q395-1.76)/6.02), "")</f>
        <v>4.3288933025566</v>
      </c>
      <c r="AF395" s="49" t="n">
        <f aca="false">$AD395*1000/2^(($X395-1.76)/6.02)</f>
        <v>5.03945369089003</v>
      </c>
      <c r="AG395" s="31" t="n">
        <f aca="false">IF(ISNUMBER($Q395), $Q395+10*LOG10($AB395/2/$Y395), "")</f>
        <v>172.242955578101</v>
      </c>
      <c r="AH395" s="31" t="n">
        <f aca="false">IF($Y395&gt;0, $X395+10*LOG10($AB395/2/$Y395), 0)</f>
        <v>170.922955578101</v>
      </c>
      <c r="AI395" s="26" t="n">
        <f aca="false">AF395/AB395</f>
        <v>2.79969649493891E-009</v>
      </c>
      <c r="AJ395" s="53" t="n">
        <f aca="false">AH395+10*LOG10(AB395)</f>
        <v>263.475680629134</v>
      </c>
      <c r="AL395" s="53"/>
    </row>
    <row r="396" customFormat="false" ht="12.75" hidden="false" customHeight="false" outlineLevel="0" collapsed="false">
      <c r="A396" s="32" t="n">
        <v>2023</v>
      </c>
      <c r="B396" s="34" t="n">
        <v>10.2</v>
      </c>
      <c r="C396" s="34" t="s">
        <v>111</v>
      </c>
      <c r="D396" s="23" t="s">
        <v>1837</v>
      </c>
      <c r="E396" s="79" t="n">
        <v>0.028</v>
      </c>
      <c r="F396" s="17" t="s">
        <v>1838</v>
      </c>
      <c r="G396" s="86" t="s">
        <v>1839</v>
      </c>
      <c r="H396" s="103" t="s">
        <v>1840</v>
      </c>
      <c r="I396" s="76" t="s">
        <v>1841</v>
      </c>
      <c r="J396" s="46" t="str">
        <f aca="false">IF(I396&lt;&gt;"?", HYPERLINK(CONCATENATE("https://doi.org/",I396)), "")</f>
        <v>https://doi.org/10.1109/ISSCC42615.2023.10067822</v>
      </c>
      <c r="K396" s="77" t="s">
        <v>117</v>
      </c>
      <c r="L396" s="53" t="n">
        <v>0.9</v>
      </c>
      <c r="M396" s="53"/>
      <c r="N396" s="53"/>
      <c r="O396" s="34" t="n">
        <v>0.2</v>
      </c>
      <c r="P396" s="2" t="n">
        <v>0.0059</v>
      </c>
      <c r="Q396" s="54" t="n">
        <v>52.1</v>
      </c>
      <c r="R396" s="52" t="n">
        <v>1300000000</v>
      </c>
      <c r="S396" s="54" t="n">
        <v>51.4</v>
      </c>
      <c r="U396" s="54"/>
      <c r="V396" s="34"/>
      <c r="W396" s="54" t="n">
        <v>71</v>
      </c>
      <c r="X396" s="49" t="n">
        <f aca="false">+IF(ISNUMBER($S396),$S396,MIN($V396,$T396,$U396,$W396))</f>
        <v>51.4</v>
      </c>
      <c r="Y396" s="52" t="n">
        <v>0.0139</v>
      </c>
      <c r="Z396" s="108" t="n">
        <v>2600000000</v>
      </c>
      <c r="AA396" s="98" t="n">
        <v>1</v>
      </c>
      <c r="AB396" s="52" t="n">
        <f aca="false">Z396/AA396</f>
        <v>2600000000</v>
      </c>
      <c r="AC396" s="26"/>
      <c r="AD396" s="51" t="n">
        <f aca="false">IF(AB396&gt;0, Y396/AB396*1000000000000, 0)</f>
        <v>5.34615384615385</v>
      </c>
      <c r="AE396" s="49" t="n">
        <f aca="false">IF(ISNUMBER($Q396), $AD396*1000/2^(($Q396-1.76)/6.02), "")</f>
        <v>16.2476526055178</v>
      </c>
      <c r="AF396" s="49" t="n">
        <f aca="false">$AD396*1000/2^(($X396-1.76)/6.02)</f>
        <v>17.6114093874322</v>
      </c>
      <c r="AG396" s="31" t="n">
        <f aca="false">IF(ISNUMBER($Q396), $Q396+10*LOG10($AB396/2/$Y396), "")</f>
        <v>161.809285520527</v>
      </c>
      <c r="AH396" s="31" t="n">
        <f aca="false">IF($Y396&gt;0, $X396+10*LOG10($AB396/2/$Y396), 0)</f>
        <v>161.109285520527</v>
      </c>
      <c r="AI396" s="26" t="n">
        <f aca="false">AF396/AB396</f>
        <v>6.77361899516622E-009</v>
      </c>
      <c r="AJ396" s="53" t="n">
        <f aca="false">AH396+10*LOG10(AB396)</f>
        <v>255.259019000236</v>
      </c>
      <c r="AL396" s="53"/>
    </row>
    <row r="397" customFormat="false" ht="12.75" hidden="false" customHeight="false" outlineLevel="0" collapsed="false">
      <c r="A397" s="32" t="n">
        <v>2023</v>
      </c>
      <c r="B397" s="34" t="n">
        <v>10.3</v>
      </c>
      <c r="C397" s="34" t="s">
        <v>111</v>
      </c>
      <c r="D397" s="23" t="s">
        <v>1837</v>
      </c>
      <c r="E397" s="79" t="n">
        <v>0.028</v>
      </c>
      <c r="F397" s="17" t="s">
        <v>1842</v>
      </c>
      <c r="G397" s="86" t="s">
        <v>1843</v>
      </c>
      <c r="H397" s="103" t="s">
        <v>1844</v>
      </c>
      <c r="I397" s="76" t="s">
        <v>1845</v>
      </c>
      <c r="J397" s="46" t="str">
        <f aca="false">IF(I397&lt;&gt;"?", HYPERLINK(CONCATENATE("https://doi.org/",I397)), "")</f>
        <v>https://doi.org/10.1109/ISSCC42615.2023.10067687</v>
      </c>
      <c r="K397" s="77" t="s">
        <v>117</v>
      </c>
      <c r="L397" s="53" t="n">
        <v>1</v>
      </c>
      <c r="M397" s="53"/>
      <c r="N397" s="53"/>
      <c r="O397" s="34" t="n">
        <v>0.54</v>
      </c>
      <c r="P397" s="2" t="n">
        <v>0.03375</v>
      </c>
      <c r="Q397" s="54" t="n">
        <v>61.5</v>
      </c>
      <c r="R397" s="52" t="n">
        <v>991500000</v>
      </c>
      <c r="S397" s="54" t="n">
        <v>60.4</v>
      </c>
      <c r="T397" s="54" t="n">
        <v>60.8</v>
      </c>
      <c r="U397" s="54" t="n">
        <v>62.1</v>
      </c>
      <c r="V397" s="34"/>
      <c r="W397" s="34" t="n">
        <v>75.8</v>
      </c>
      <c r="X397" s="49" t="n">
        <f aca="false">+IF(ISNUMBER($S397),$S397,MIN($V397,$T397,$U397,$W397))</f>
        <v>60.4</v>
      </c>
      <c r="Y397" s="52" t="n">
        <v>0.027</v>
      </c>
      <c r="Z397" s="108" t="n">
        <v>2000000000</v>
      </c>
      <c r="AA397" s="98" t="n">
        <v>1</v>
      </c>
      <c r="AB397" s="52" t="n">
        <f aca="false">Z397/AA397</f>
        <v>2000000000</v>
      </c>
      <c r="AC397" s="26"/>
      <c r="AD397" s="51" t="n">
        <f aca="false">IF(AB397&gt;0, Y397/AB397*1000000000000, 0)</f>
        <v>13.5</v>
      </c>
      <c r="AE397" s="49" t="n">
        <f aca="false">IF(ISNUMBER($Q397), $AD397*1000/2^(($Q397-1.76)/6.02), "")</f>
        <v>13.9006818592282</v>
      </c>
      <c r="AF397" s="49" t="n">
        <f aca="false">$AD397*1000/2^(($X397-1.76)/6.02)</f>
        <v>15.7776233728412</v>
      </c>
      <c r="AG397" s="31" t="n">
        <f aca="false">IF(ISNUMBER($Q397), $Q397+10*LOG10($AB397/2/$Y397), "")</f>
        <v>167.18636235841</v>
      </c>
      <c r="AH397" s="31" t="n">
        <f aca="false">IF($Y397&gt;0, $X397+10*LOG10($AB397/2/$Y397), 0)</f>
        <v>166.08636235841</v>
      </c>
      <c r="AI397" s="26" t="n">
        <f aca="false">AF397/AB397</f>
        <v>7.8888116864206E-009</v>
      </c>
      <c r="AJ397" s="53" t="n">
        <f aca="false">AH397+10*LOG10(AB397)</f>
        <v>259.09666231505</v>
      </c>
      <c r="AL397" s="53"/>
    </row>
    <row r="398" customFormat="false" ht="12.75" hidden="false" customHeight="false" outlineLevel="0" collapsed="false">
      <c r="A398" s="32" t="n">
        <v>2023</v>
      </c>
      <c r="B398" s="34" t="n">
        <v>10.4</v>
      </c>
      <c r="C398" s="34" t="s">
        <v>111</v>
      </c>
      <c r="D398" s="23" t="s">
        <v>994</v>
      </c>
      <c r="E398" s="53" t="n">
        <v>0.18</v>
      </c>
      <c r="F398" s="17" t="s">
        <v>1846</v>
      </c>
      <c r="G398" s="86" t="s">
        <v>1847</v>
      </c>
      <c r="H398" s="103" t="s">
        <v>1848</v>
      </c>
      <c r="I398" s="76" t="s">
        <v>1849</v>
      </c>
      <c r="J398" s="46" t="str">
        <f aca="false">IF(I398&lt;&gt;"?", HYPERLINK(CONCATENATE("https://doi.org/",I398)), "")</f>
        <v>https://doi.org/10.1109/ISSCC42615.2023.10067703</v>
      </c>
      <c r="K398" s="77" t="s">
        <v>1850</v>
      </c>
      <c r="L398" s="53" t="n">
        <v>3.3</v>
      </c>
      <c r="M398" s="53" t="n">
        <v>1.8</v>
      </c>
      <c r="N398" s="53"/>
      <c r="O398" s="34" t="n">
        <v>17</v>
      </c>
      <c r="P398" s="2" t="n">
        <v>0.6</v>
      </c>
      <c r="Q398" s="54"/>
      <c r="R398" s="52" t="n">
        <v>4040000</v>
      </c>
      <c r="S398" s="54" t="n">
        <v>91.3</v>
      </c>
      <c r="T398" s="54"/>
      <c r="U398" s="54" t="n">
        <v>94.1</v>
      </c>
      <c r="V398" s="34"/>
      <c r="W398" s="34" t="n">
        <v>100.3</v>
      </c>
      <c r="X398" s="49" t="n">
        <f aca="false">+IF(ISNUMBER($S398),$S398,MIN($V398,$T398,$U398,$W398))</f>
        <v>91.3</v>
      </c>
      <c r="Y398" s="52" t="n">
        <v>0.00943</v>
      </c>
      <c r="Z398" s="108" t="n">
        <v>12000000</v>
      </c>
      <c r="AA398" s="98" t="n">
        <v>1</v>
      </c>
      <c r="AB398" s="52" t="n">
        <f aca="false">Z398/AA398</f>
        <v>12000000</v>
      </c>
      <c r="AC398" s="26"/>
      <c r="AD398" s="51" t="n">
        <f aca="false">IF(AB398&gt;0, Y398/AB398*1000000000000, 0)</f>
        <v>785.833333333333</v>
      </c>
      <c r="AE398" s="49" t="str">
        <f aca="false">IF(ISNUMBER($Q398), $AD398*1000/2^(($Q398-1.76)/6.02), "")</f>
        <v/>
      </c>
      <c r="AF398" s="49" t="n">
        <f aca="false">$AD398*1000/2^(($X398-1.76)/6.02)</f>
        <v>26.1748558466457</v>
      </c>
      <c r="AG398" s="31" t="str">
        <f aca="false">IF(ISNUMBER($Q398), $Q398+10*LOG10($AB398/2/$Y398), "")</f>
        <v/>
      </c>
      <c r="AH398" s="31" t="n">
        <f aca="false">IF($Y398&gt;0, $X398+10*LOG10($AB398/2/$Y398), 0)</f>
        <v>179.336395576463</v>
      </c>
      <c r="AI398" s="26" t="n">
        <f aca="false">AF398/AB398</f>
        <v>2.18123798722047E-006</v>
      </c>
      <c r="AJ398" s="53" t="n">
        <f aca="false">AH398+10*LOG10(AB398)</f>
        <v>250.128208036939</v>
      </c>
      <c r="AL398" s="53"/>
    </row>
    <row r="399" customFormat="false" ht="12.75" hidden="false" customHeight="false" outlineLevel="0" collapsed="false">
      <c r="A399" s="32" t="n">
        <v>2023</v>
      </c>
      <c r="B399" s="34" t="n">
        <v>10.5</v>
      </c>
      <c r="C399" s="34" t="s">
        <v>139</v>
      </c>
      <c r="D399" s="23" t="s">
        <v>994</v>
      </c>
      <c r="E399" s="79" t="n">
        <v>0.028</v>
      </c>
      <c r="F399" s="17" t="s">
        <v>1851</v>
      </c>
      <c r="G399" s="86" t="s">
        <v>1852</v>
      </c>
      <c r="H399" s="103" t="s">
        <v>1853</v>
      </c>
      <c r="I399" s="76" t="s">
        <v>1854</v>
      </c>
      <c r="J399" s="46" t="str">
        <f aca="false">IF(I399&lt;&gt;"?", HYPERLINK(CONCATENATE("https://doi.org/",I399)), "")</f>
        <v>https://doi.org/10.1109/ISSCC42615.2023.10067438</v>
      </c>
      <c r="K399" s="77" t="s">
        <v>117</v>
      </c>
      <c r="L399" s="53" t="n">
        <v>1</v>
      </c>
      <c r="M399" s="53"/>
      <c r="N399" s="53"/>
      <c r="O399" s="34" t="n">
        <v>2.072</v>
      </c>
      <c r="P399" s="2" t="n">
        <v>0.05</v>
      </c>
      <c r="Q399" s="54"/>
      <c r="R399" s="52" t="n">
        <v>3500000</v>
      </c>
      <c r="S399" s="54" t="n">
        <v>77.2</v>
      </c>
      <c r="T399" s="54"/>
      <c r="U399" s="54" t="n">
        <v>77.8</v>
      </c>
      <c r="V399" s="34"/>
      <c r="W399" s="34" t="n">
        <v>94.7</v>
      </c>
      <c r="X399" s="49" t="n">
        <f aca="false">+IF(ISNUMBER($S399),$S399,MIN($V399,$T399,$U399,$W399))</f>
        <v>77.2</v>
      </c>
      <c r="Y399" s="52" t="n">
        <v>0.00203</v>
      </c>
      <c r="Z399" s="108" t="n">
        <v>400000000</v>
      </c>
      <c r="AA399" s="98" t="n">
        <v>8</v>
      </c>
      <c r="AB399" s="52" t="n">
        <f aca="false">Z399/AA399</f>
        <v>50000000</v>
      </c>
      <c r="AC399" s="26"/>
      <c r="AD399" s="51" t="n">
        <f aca="false">IF(AB399&gt;0, Y399/AB399*1000000000000, 0)</f>
        <v>40.6</v>
      </c>
      <c r="AE399" s="49" t="str">
        <f aca="false">IF(ISNUMBER($Q399), $AD399*1000/2^(($Q399-1.76)/6.02), "")</f>
        <v/>
      </c>
      <c r="AF399" s="49" t="n">
        <f aca="false">$AD399*1000/2^(($X399-1.76)/6.02)</f>
        <v>6.85725249331797</v>
      </c>
      <c r="AG399" s="31" t="str">
        <f aca="false">IF(ISNUMBER($Q399), $Q399+10*LOG10($AB399/2/$Y399), "")</f>
        <v/>
      </c>
      <c r="AH399" s="31" t="n">
        <f aca="false">IF($Y399&gt;0, $X399+10*LOG10($AB399/2/$Y399), 0)</f>
        <v>178.104439707588</v>
      </c>
      <c r="AI399" s="26" t="n">
        <f aca="false">AF399/AB399</f>
        <v>1.37145049866359E-007</v>
      </c>
      <c r="AJ399" s="53" t="n">
        <f aca="false">AH399+10*LOG10(AB399)</f>
        <v>255.094139750948</v>
      </c>
      <c r="AL399" s="53"/>
    </row>
    <row r="400" customFormat="false" ht="12.75" hidden="false" customHeight="false" outlineLevel="0" collapsed="false">
      <c r="A400" s="32" t="n">
        <v>2023</v>
      </c>
      <c r="B400" s="34" t="n">
        <v>10.6</v>
      </c>
      <c r="C400" s="34" t="s">
        <v>111</v>
      </c>
      <c r="D400" s="23" t="s">
        <v>1855</v>
      </c>
      <c r="E400" s="79" t="n">
        <v>0.028</v>
      </c>
      <c r="F400" s="17" t="s">
        <v>1856</v>
      </c>
      <c r="G400" s="86" t="s">
        <v>1857</v>
      </c>
      <c r="H400" s="103" t="s">
        <v>1858</v>
      </c>
      <c r="I400" s="76" t="s">
        <v>1859</v>
      </c>
      <c r="J400" s="46" t="str">
        <f aca="false">IF(I400&lt;&gt;"?", HYPERLINK(CONCATENATE("https://doi.org/",I400)), "")</f>
        <v>https://doi.org/10.1109/ISSCC42615.2023.10067696</v>
      </c>
      <c r="K400" s="77" t="s">
        <v>117</v>
      </c>
      <c r="L400" s="53" t="n">
        <v>1</v>
      </c>
      <c r="M400" s="53" t="n">
        <v>0.9</v>
      </c>
      <c r="N400" s="53"/>
      <c r="O400" s="34" t="n">
        <v>0.8</v>
      </c>
      <c r="P400" s="2" t="n">
        <v>0.026</v>
      </c>
      <c r="Q400" s="54" t="n">
        <v>92.5</v>
      </c>
      <c r="R400" s="52" t="n">
        <v>20000</v>
      </c>
      <c r="S400" s="54" t="n">
        <v>92.2</v>
      </c>
      <c r="T400" s="54"/>
      <c r="U400" s="54" t="n">
        <v>93.9</v>
      </c>
      <c r="V400" s="34"/>
      <c r="W400" s="34" t="n">
        <v>106.1</v>
      </c>
      <c r="X400" s="49" t="n">
        <f aca="false">+IF(ISNUMBER($S400),$S400,MIN($V400,$T400,$U400,$W400))</f>
        <v>92.2</v>
      </c>
      <c r="Y400" s="52" t="n">
        <v>0.00016</v>
      </c>
      <c r="Z400" s="108" t="n">
        <f aca="false">AA400*AB400</f>
        <v>9600000</v>
      </c>
      <c r="AA400" s="98" t="n">
        <v>32</v>
      </c>
      <c r="AB400" s="52" t="n">
        <v>300000</v>
      </c>
      <c r="AC400" s="26"/>
      <c r="AD400" s="51" t="n">
        <f aca="false">IF(AB400&gt;0, Y400/AB400*1000000000000, 0)</f>
        <v>533.333333333333</v>
      </c>
      <c r="AE400" s="49" t="n">
        <f aca="false">IF(ISNUMBER($Q400), $AD400*1000/2^(($Q400-1.76)/6.02), "")</f>
        <v>15.4720051252241</v>
      </c>
      <c r="AF400" s="49" t="n">
        <f aca="false">$AD400*1000/2^(($X400-1.76)/6.02)</f>
        <v>16.0157800329036</v>
      </c>
      <c r="AG400" s="31" t="n">
        <f aca="false">IF(ISNUMBER($Q400), $Q400+10*LOG10($AB400/2/$Y400), "")</f>
        <v>182.219712763998</v>
      </c>
      <c r="AH400" s="31" t="n">
        <f aca="false">IF($Y400&gt;0, $X400+10*LOG10($AB400/2/$Y400), 0)</f>
        <v>181.919712763998</v>
      </c>
      <c r="AI400" s="26" t="n">
        <f aca="false">AF400/AB400</f>
        <v>5.3385933443012E-005</v>
      </c>
      <c r="AJ400" s="53" t="n">
        <f aca="false">AH400+10*LOG10(AB400)</f>
        <v>236.690925311194</v>
      </c>
      <c r="AL400" s="53"/>
    </row>
    <row r="401" customFormat="false" ht="12.75" hidden="false" customHeight="false" outlineLevel="0" collapsed="false">
      <c r="A401" s="32" t="n">
        <v>2023</v>
      </c>
      <c r="B401" s="34" t="n">
        <v>10.7</v>
      </c>
      <c r="C401" s="34" t="s">
        <v>139</v>
      </c>
      <c r="D401" s="23" t="s">
        <v>112</v>
      </c>
      <c r="E401" s="79" t="n">
        <v>0.028</v>
      </c>
      <c r="F401" s="17" t="s">
        <v>1860</v>
      </c>
      <c r="G401" s="86" t="s">
        <v>1861</v>
      </c>
      <c r="H401" s="103" t="s">
        <v>1862</v>
      </c>
      <c r="I401" s="76" t="s">
        <v>1845</v>
      </c>
      <c r="J401" s="46" t="str">
        <f aca="false">IF(I401&lt;&gt;"?", HYPERLINK(CONCATENATE("https://doi.org/",I401)), "")</f>
        <v>https://doi.org/10.1109/ISSCC42615.2023.10067687</v>
      </c>
      <c r="K401" s="77" t="s">
        <v>117</v>
      </c>
      <c r="L401" s="53" t="n">
        <v>1</v>
      </c>
      <c r="M401" s="53"/>
      <c r="N401" s="53"/>
      <c r="O401" s="34" t="n">
        <v>0.48</v>
      </c>
      <c r="P401" s="2" t="n">
        <v>0.009</v>
      </c>
      <c r="Q401" s="54"/>
      <c r="R401" s="52" t="n">
        <v>13000000</v>
      </c>
      <c r="S401" s="54" t="n">
        <v>70.15</v>
      </c>
      <c r="T401" s="54" t="n">
        <v>70.44</v>
      </c>
      <c r="U401" s="54" t="n">
        <v>72.2</v>
      </c>
      <c r="V401" s="34"/>
      <c r="W401" s="34" t="n">
        <v>90.63</v>
      </c>
      <c r="X401" s="49" t="n">
        <f aca="false">+IF(ISNUMBER($S401),$S401,MIN($V401,$T401,$U401,$W401))</f>
        <v>70.15</v>
      </c>
      <c r="Y401" s="52" t="n">
        <v>0.00452</v>
      </c>
      <c r="Z401" s="108" t="n">
        <v>760000000</v>
      </c>
      <c r="AA401" s="97" t="n">
        <v>3.8</v>
      </c>
      <c r="AB401" s="52" t="n">
        <f aca="false">Z401/AA401</f>
        <v>200000000</v>
      </c>
      <c r="AC401" s="26"/>
      <c r="AD401" s="51" t="n">
        <f aca="false">IF(AB401&gt;0, Y401/AB401*1000000000000, 0)</f>
        <v>22.6</v>
      </c>
      <c r="AE401" s="49" t="str">
        <f aca="false">IF(ISNUMBER($Q401), $AD401*1000/2^(($Q401-1.76)/6.02), "")</f>
        <v/>
      </c>
      <c r="AF401" s="49" t="n">
        <f aca="false">$AD401*1000/2^(($X401-1.76)/6.02)</f>
        <v>8.59543131846901</v>
      </c>
      <c r="AG401" s="31" t="str">
        <f aca="false">IF(ISNUMBER($Q401), $Q401+10*LOG10($AB401/2/$Y401), "")</f>
        <v/>
      </c>
      <c r="AH401" s="31" t="n">
        <f aca="false">IF($Y401&gt;0, $X401+10*LOG10($AB401/2/$Y401), 0)</f>
        <v>173.598615651886</v>
      </c>
      <c r="AI401" s="26" t="n">
        <f aca="false">AF401/AB401</f>
        <v>4.2977156592345E-008</v>
      </c>
      <c r="AJ401" s="53" t="n">
        <f aca="false">AH401+10*LOG10(AB401)</f>
        <v>256.608915608526</v>
      </c>
      <c r="AL401" s="53"/>
    </row>
    <row r="402" customFormat="false" ht="12.75" hidden="false" customHeight="false" outlineLevel="0" collapsed="false">
      <c r="A402" s="32" t="n">
        <v>2023</v>
      </c>
      <c r="B402" s="34" t="n">
        <v>17.1</v>
      </c>
      <c r="C402" s="34" t="s">
        <v>111</v>
      </c>
      <c r="D402" s="23" t="s">
        <v>548</v>
      </c>
      <c r="E402" s="79" t="n">
        <v>0.028</v>
      </c>
      <c r="F402" s="17" t="s">
        <v>1863</v>
      </c>
      <c r="G402" s="86" t="s">
        <v>1864</v>
      </c>
      <c r="H402" s="103" t="s">
        <v>1865</v>
      </c>
      <c r="I402" s="76" t="s">
        <v>1866</v>
      </c>
      <c r="J402" s="46" t="str">
        <f aca="false">IF(I402&lt;&gt;"?", HYPERLINK(CONCATENATE("https://doi.org/",I402)), "")</f>
        <v>https://doi.org/10.1109/ISSCC42615.2023.10067627</v>
      </c>
      <c r="K402" s="77" t="s">
        <v>117</v>
      </c>
      <c r="L402" s="53" t="n">
        <v>0.9</v>
      </c>
      <c r="M402" s="53"/>
      <c r="N402" s="53"/>
      <c r="O402" s="34" t="n">
        <v>0.064</v>
      </c>
      <c r="P402" s="2" t="n">
        <v>0.0097</v>
      </c>
      <c r="Q402" s="54" t="n">
        <v>52.5</v>
      </c>
      <c r="R402" s="52" t="n">
        <v>1381200000</v>
      </c>
      <c r="S402" s="54" t="n">
        <v>51.8</v>
      </c>
      <c r="U402" s="54"/>
      <c r="V402" s="34"/>
      <c r="W402" s="34" t="n">
        <v>72.36</v>
      </c>
      <c r="X402" s="49" t="n">
        <f aca="false">+IF(ISNUMBER($S402),$S402,MIN($V402,$T402,$U402,$W402))</f>
        <v>51.8</v>
      </c>
      <c r="Y402" s="52" t="n">
        <v>0.01805</v>
      </c>
      <c r="Z402" s="108" t="n">
        <v>2800000000</v>
      </c>
      <c r="AA402" s="98" t="n">
        <v>1</v>
      </c>
      <c r="AB402" s="52" t="n">
        <f aca="false">Z402/AA402</f>
        <v>2800000000</v>
      </c>
      <c r="AC402" s="26"/>
      <c r="AD402" s="51" t="n">
        <f aca="false">IF(AB402&gt;0, Y402/AB402*1000000000000, 0)</f>
        <v>6.44642857142857</v>
      </c>
      <c r="AE402" s="49" t="n">
        <f aca="false">IF(ISNUMBER($Q402), $AD402*1000/2^(($Q402-1.76)/6.02), "")</f>
        <v>18.7096797704534</v>
      </c>
      <c r="AF402" s="49" t="n">
        <f aca="false">$AD402*1000/2^(($X402-1.76)/6.02)</f>
        <v>20.2800883269322</v>
      </c>
      <c r="AG402" s="31" t="n">
        <f aca="false">IF(ISNUMBER($Q402), $Q402+10*LOG10($AB402/2/$Y402), "")</f>
        <v>161.396508294366</v>
      </c>
      <c r="AH402" s="31" t="n">
        <f aca="false">IF($Y402&gt;0, $X402+10*LOG10($AB402/2/$Y402), 0)</f>
        <v>160.696508294366</v>
      </c>
      <c r="AI402" s="26" t="n">
        <f aca="false">AF402/AB402</f>
        <v>7.24288868819007E-009</v>
      </c>
      <c r="AJ402" s="53" t="n">
        <f aca="false">AH402+10*LOG10(AB402)</f>
        <v>255.168088607788</v>
      </c>
      <c r="AL402" s="53"/>
    </row>
    <row r="403" customFormat="false" ht="12.75" hidden="false" customHeight="false" outlineLevel="0" collapsed="false">
      <c r="A403" s="32" t="n">
        <v>2023</v>
      </c>
      <c r="B403" s="34" t="n">
        <v>17.2</v>
      </c>
      <c r="C403" s="34" t="s">
        <v>111</v>
      </c>
      <c r="D403" s="23" t="s">
        <v>1764</v>
      </c>
      <c r="E403" s="79" t="n">
        <v>0.005</v>
      </c>
      <c r="F403" s="17" t="s">
        <v>1867</v>
      </c>
      <c r="G403" s="86" t="s">
        <v>1868</v>
      </c>
      <c r="H403" s="109" t="s">
        <v>1869</v>
      </c>
      <c r="I403" s="76" t="s">
        <v>1870</v>
      </c>
      <c r="J403" s="46" t="str">
        <f aca="false">IF(I403&lt;&gt;"?", HYPERLINK(CONCATENATE("https://doi.org/",I403)), "")</f>
        <v>https://doi.org/10.1109/ISSCC42615.2023.10067745</v>
      </c>
      <c r="K403" s="77" t="s">
        <v>1871</v>
      </c>
      <c r="L403" s="53" t="n">
        <v>0.8</v>
      </c>
      <c r="M403" s="53"/>
      <c r="N403" s="53"/>
      <c r="O403" s="34" t="n">
        <v>0.025</v>
      </c>
      <c r="P403" s="2" t="n">
        <v>0.000313</v>
      </c>
      <c r="Q403" s="54"/>
      <c r="R403" s="52" t="n">
        <v>1250000000</v>
      </c>
      <c r="S403" s="54" t="n">
        <v>39.3</v>
      </c>
      <c r="U403" s="54"/>
      <c r="V403" s="34" t="n">
        <v>45.42</v>
      </c>
      <c r="W403" s="34" t="n">
        <v>49.6</v>
      </c>
      <c r="X403" s="49" t="n">
        <f aca="false">+IF(ISNUMBER($S403),$S403,MIN($V403,$T403,$U403,$W403))</f>
        <v>39.3</v>
      </c>
      <c r="Y403" s="52" t="n">
        <v>0.0019</v>
      </c>
      <c r="Z403" s="108" t="n">
        <v>1250000000</v>
      </c>
      <c r="AA403" s="98" t="n">
        <v>1</v>
      </c>
      <c r="AB403" s="52" t="n">
        <f aca="false">Z403/AA403</f>
        <v>1250000000</v>
      </c>
      <c r="AC403" s="26"/>
      <c r="AD403" s="51" t="n">
        <f aca="false">IF(AB403&gt;0, Y403/AB403*1000000000000, 0)</f>
        <v>1.52</v>
      </c>
      <c r="AE403" s="49" t="str">
        <f aca="false">IF(ISNUMBER($Q403), $AD403*1000/2^(($Q403-1.76)/6.02), "")</f>
        <v/>
      </c>
      <c r="AF403" s="49" t="n">
        <f aca="false">$AD403*1000/2^(($X403-1.76)/6.02)</f>
        <v>20.1677077134817</v>
      </c>
      <c r="AG403" s="31" t="str">
        <f aca="false">IF(ISNUMBER($Q403), $Q403+10*LOG10($AB403/2/$Y403), "")</f>
        <v/>
      </c>
      <c r="AH403" s="31" t="n">
        <f aca="false">IF($Y403&gt;0, $X403+10*LOG10($AB403/2/$Y403), 0)</f>
        <v>154.471264163912</v>
      </c>
      <c r="AI403" s="26" t="n">
        <f aca="false">AF403/AB403</f>
        <v>1.61341661707853E-008</v>
      </c>
      <c r="AJ403" s="53" t="n">
        <f aca="false">AH403+10*LOG10(AB403)</f>
        <v>245.440364293993</v>
      </c>
      <c r="AL403" s="53"/>
    </row>
    <row r="404" customFormat="false" ht="12.75" hidden="false" customHeight="false" outlineLevel="0" collapsed="false">
      <c r="A404" s="32" t="n">
        <v>2023</v>
      </c>
      <c r="B404" s="34" t="n">
        <v>17.4</v>
      </c>
      <c r="C404" s="34" t="s">
        <v>111</v>
      </c>
      <c r="D404" s="23" t="s">
        <v>548</v>
      </c>
      <c r="E404" s="79" t="n">
        <v>0.007</v>
      </c>
      <c r="F404" s="17" t="s">
        <v>1872</v>
      </c>
      <c r="G404" s="86" t="s">
        <v>1873</v>
      </c>
      <c r="H404" s="102" t="s">
        <v>1874</v>
      </c>
      <c r="I404" s="76" t="s">
        <v>1875</v>
      </c>
      <c r="J404" s="46" t="str">
        <f aca="false">IF(I404&lt;&gt;"?", HYPERLINK(CONCATENATE("https://doi.org/",I404)), "")</f>
        <v>https://doi.org/10.1109/ISSCC42615.2023.10067793</v>
      </c>
      <c r="K404" s="77" t="s">
        <v>117</v>
      </c>
      <c r="L404" s="53" t="n">
        <v>0.9</v>
      </c>
      <c r="M404" s="53" t="n">
        <v>1.8</v>
      </c>
      <c r="N404" s="53" t="n">
        <v>0.68</v>
      </c>
      <c r="O404" s="34" t="n">
        <v>0.15</v>
      </c>
      <c r="P404" s="2" t="n">
        <v>0.9</v>
      </c>
      <c r="Q404" s="54"/>
      <c r="R404" s="52" t="n">
        <v>7240000000</v>
      </c>
      <c r="S404" s="54" t="n">
        <v>46.5</v>
      </c>
      <c r="T404" s="54"/>
      <c r="U404" s="54"/>
      <c r="V404" s="54"/>
      <c r="W404" s="54" t="n">
        <v>76</v>
      </c>
      <c r="X404" s="49" t="n">
        <f aca="false">+IF(ISNUMBER($S404),$S404,MIN($V404,$T404,$U404,$W404))</f>
        <v>46.5</v>
      </c>
      <c r="Y404" s="52" t="n">
        <v>0.75</v>
      </c>
      <c r="Z404" s="108" t="n">
        <v>24000000000</v>
      </c>
      <c r="AA404" s="98" t="n">
        <v>1</v>
      </c>
      <c r="AB404" s="52" t="n">
        <f aca="false">Z404/AA404</f>
        <v>24000000000</v>
      </c>
      <c r="AC404" s="26"/>
      <c r="AD404" s="51" t="n">
        <f aca="false">IF(AB404&gt;0, Y404/AB404*1000000000000, 0)</f>
        <v>31.25</v>
      </c>
      <c r="AE404" s="49" t="str">
        <f aca="false">IF(ISNUMBER($Q404), $AD404*1000/2^(($Q404-1.76)/6.02), "")</f>
        <v/>
      </c>
      <c r="AF404" s="49" t="n">
        <f aca="false">$AD404*1000/2^(($X404-1.76)/6.02)</f>
        <v>180.978546987227</v>
      </c>
      <c r="AG404" s="31" t="str">
        <f aca="false">IF(ISNUMBER($Q404), $Q404+10*LOG10($AB404/2/$Y404), "")</f>
        <v/>
      </c>
      <c r="AH404" s="31" t="n">
        <f aca="false">IF($Y404&gt;0, $X404+10*LOG10($AB404/2/$Y404), 0)</f>
        <v>148.541199826559</v>
      </c>
      <c r="AI404" s="26" t="n">
        <f aca="false">AF404/AB404</f>
        <v>7.54077279113444E-009</v>
      </c>
      <c r="AJ404" s="53" t="n">
        <f aca="false">AH404+10*LOG10(AB404)</f>
        <v>252.343312243675</v>
      </c>
      <c r="AL404" s="53"/>
    </row>
    <row r="405" customFormat="false" ht="12.75" hidden="false" customHeight="false" outlineLevel="0" collapsed="false">
      <c r="A405" s="32" t="n">
        <v>2023</v>
      </c>
      <c r="B405" s="34" t="n">
        <v>17.5</v>
      </c>
      <c r="C405" s="34" t="s">
        <v>111</v>
      </c>
      <c r="D405" s="23" t="s">
        <v>1215</v>
      </c>
      <c r="E405" s="79" t="n">
        <v>0.028</v>
      </c>
      <c r="F405" s="17" t="s">
        <v>1876</v>
      </c>
      <c r="G405" s="102" t="s">
        <v>1877</v>
      </c>
      <c r="H405" s="86" t="s">
        <v>1878</v>
      </c>
      <c r="I405" s="76" t="s">
        <v>1879</v>
      </c>
      <c r="J405" s="46" t="str">
        <f aca="false">IF(I405&lt;&gt;"?", HYPERLINK(CONCATENATE("https://doi.org/",I405)), "")</f>
        <v>https://doi.org/10.1109/ISSCC42615.2023.10067475</v>
      </c>
      <c r="K405" s="77" t="s">
        <v>1836</v>
      </c>
      <c r="L405" s="53" t="n">
        <v>1.2</v>
      </c>
      <c r="M405" s="53" t="n">
        <v>1</v>
      </c>
      <c r="N405" s="53"/>
      <c r="O405" s="34" t="n">
        <v>0.64</v>
      </c>
      <c r="P405" s="2" t="n">
        <v>0.016</v>
      </c>
      <c r="Q405" s="54" t="n">
        <v>63.5</v>
      </c>
      <c r="R405" s="52" t="n">
        <v>500000000</v>
      </c>
      <c r="S405" s="54" t="n">
        <v>62.5</v>
      </c>
      <c r="T405" s="54"/>
      <c r="U405" s="54"/>
      <c r="V405" s="54"/>
      <c r="W405" s="54" t="n">
        <v>80.5</v>
      </c>
      <c r="X405" s="49" t="n">
        <f aca="false">+IF(ISNUMBER($S405),$S405,MIN($V405,$T405,$U405,$W405))</f>
        <v>62.5</v>
      </c>
      <c r="Y405" s="52" t="n">
        <v>0.0106</v>
      </c>
      <c r="Z405" s="108" t="n">
        <v>1000000000</v>
      </c>
      <c r="AA405" s="98" t="n">
        <v>1</v>
      </c>
      <c r="AB405" s="52" t="n">
        <f aca="false">Z405/AA405</f>
        <v>1000000000</v>
      </c>
      <c r="AC405" s="26"/>
      <c r="AD405" s="51" t="n">
        <f aca="false">IF(AB405&gt;0, Y405/AB405*1000000000000, 0)</f>
        <v>10.6</v>
      </c>
      <c r="AE405" s="49" t="n">
        <f aca="false">IF(ISNUMBER($Q405), $AD405*1000/2^(($Q405-1.76)/6.02), "")</f>
        <v>8.66958353007914</v>
      </c>
      <c r="AF405" s="49" t="n">
        <f aca="false">$AD405*1000/2^(($X405-1.76)/6.02)</f>
        <v>9.72754431551258</v>
      </c>
      <c r="AG405" s="31" t="n">
        <f aca="false">IF(ISNUMBER($Q405), $Q405+10*LOG10($AB405/2/$Y405), "")</f>
        <v>170.236641390712</v>
      </c>
      <c r="AH405" s="31" t="n">
        <f aca="false">IF($Y405&gt;0, $X405+10*LOG10($AB405/2/$Y405), 0)</f>
        <v>169.236641390712</v>
      </c>
      <c r="AI405" s="26" t="n">
        <f aca="false">AF405/AB405</f>
        <v>9.72754431551258E-009</v>
      </c>
      <c r="AJ405" s="53" t="n">
        <f aca="false">AH405+10*LOG10(AB405)</f>
        <v>259.236641390713</v>
      </c>
      <c r="AL405" s="53"/>
    </row>
    <row r="406" customFormat="false" ht="12.75" hidden="false" customHeight="false" outlineLevel="0" collapsed="false">
      <c r="A406" s="32" t="n">
        <v>2023</v>
      </c>
      <c r="B406" s="34" t="n">
        <v>17.6</v>
      </c>
      <c r="C406" s="34" t="s">
        <v>111</v>
      </c>
      <c r="D406" s="23" t="s">
        <v>548</v>
      </c>
      <c r="E406" s="79" t="n">
        <v>0.028</v>
      </c>
      <c r="F406" s="17" t="s">
        <v>1880</v>
      </c>
      <c r="G406" s="86" t="s">
        <v>1881</v>
      </c>
      <c r="H406" s="103" t="s">
        <v>1882</v>
      </c>
      <c r="I406" s="76" t="s">
        <v>1883</v>
      </c>
      <c r="J406" s="46" t="str">
        <f aca="false">IF(I406&lt;&gt;"?", HYPERLINK(CONCATENATE("https://doi.org/",I406)), "")</f>
        <v>https://doi.org/10.1109/ISSCC42615.2023.10067573</v>
      </c>
      <c r="K406" s="77" t="s">
        <v>117</v>
      </c>
      <c r="L406" s="53" t="n">
        <v>1.1</v>
      </c>
      <c r="M406" s="53" t="n">
        <v>1</v>
      </c>
      <c r="N406" s="53"/>
      <c r="O406" s="34"/>
      <c r="P406" s="2" t="n">
        <v>0.029</v>
      </c>
      <c r="Q406" s="54" t="n">
        <v>39.72</v>
      </c>
      <c r="R406" s="52" t="n">
        <v>3955000000</v>
      </c>
      <c r="S406" s="54" t="n">
        <v>38.33</v>
      </c>
      <c r="U406" s="54"/>
      <c r="V406" s="34"/>
      <c r="W406" s="34" t="n">
        <v>53.04</v>
      </c>
      <c r="X406" s="49" t="n">
        <f aca="false">+IF(ISNUMBER($S406),$S406,MIN($V406,$T406,$U406,$W406))</f>
        <v>38.33</v>
      </c>
      <c r="Y406" s="52" t="n">
        <v>0.00656</v>
      </c>
      <c r="Z406" s="108" t="n">
        <v>4500000000</v>
      </c>
      <c r="AA406" s="98" t="n">
        <v>1</v>
      </c>
      <c r="AB406" s="52" t="n">
        <f aca="false">Z406/AA406</f>
        <v>4500000000</v>
      </c>
      <c r="AC406" s="26"/>
      <c r="AD406" s="51" t="n">
        <f aca="false">IF(AB406&gt;0, Y406/AB406*1000000000000, 0)</f>
        <v>1.45777777777778</v>
      </c>
      <c r="AE406" s="49" t="n">
        <f aca="false">IF(ISNUMBER($Q406), $AD406*1000/2^(($Q406-1.76)/6.02), "")</f>
        <v>18.4290175452199</v>
      </c>
      <c r="AF406" s="49" t="n">
        <f aca="false">$AD406*1000/2^(($X406-1.76)/6.02)</f>
        <v>21.627638876664</v>
      </c>
      <c r="AG406" s="31" t="n">
        <f aca="false">IF(ISNUMBER($Q406), $Q406+10*LOG10($AB406/2/$Y406), "")</f>
        <v>155.072786787357</v>
      </c>
      <c r="AH406" s="31" t="n">
        <f aca="false">IF($Y406&gt;0, $X406+10*LOG10($AB406/2/$Y406), 0)</f>
        <v>153.682786787357</v>
      </c>
      <c r="AI406" s="26" t="n">
        <f aca="false">AF406/AB406</f>
        <v>4.806141972592E-009</v>
      </c>
      <c r="AJ406" s="53" t="n">
        <f aca="false">AH406+10*LOG10(AB406)</f>
        <v>250.21491192511</v>
      </c>
    </row>
    <row r="407" customFormat="false" ht="12.75" hidden="false" customHeight="false" outlineLevel="0" collapsed="false">
      <c r="A407" s="32" t="n">
        <v>2023</v>
      </c>
      <c r="B407" s="34" t="n">
        <v>17.7</v>
      </c>
      <c r="C407" s="34" t="s">
        <v>111</v>
      </c>
      <c r="D407" s="23" t="s">
        <v>1884</v>
      </c>
      <c r="E407" s="79" t="n">
        <v>0.028</v>
      </c>
      <c r="F407" s="17" t="s">
        <v>1885</v>
      </c>
      <c r="G407" s="86" t="s">
        <v>1886</v>
      </c>
      <c r="H407" s="103" t="s">
        <v>1887</v>
      </c>
      <c r="I407" s="76" t="s">
        <v>1888</v>
      </c>
      <c r="J407" s="46" t="str">
        <f aca="false">IF(I407&lt;&gt;"?", HYPERLINK(CONCATENATE("https://doi.org/",I407)), "")</f>
        <v>https://doi.org/10.1109/ISSCC42615.2023.10067498</v>
      </c>
      <c r="K407" s="77" t="s">
        <v>117</v>
      </c>
      <c r="L407" s="53" t="n">
        <v>1</v>
      </c>
      <c r="M407" s="53" t="n">
        <v>0.7</v>
      </c>
      <c r="N407" s="53"/>
      <c r="O407" s="34"/>
      <c r="P407" s="2" t="n">
        <v>0.018</v>
      </c>
      <c r="Q407" s="54" t="n">
        <v>45.9</v>
      </c>
      <c r="R407" s="52" t="n">
        <v>1250000000</v>
      </c>
      <c r="S407" s="54" t="n">
        <v>45.9</v>
      </c>
      <c r="U407" s="54"/>
      <c r="V407" s="34"/>
      <c r="W407" s="34" t="n">
        <v>63.5</v>
      </c>
      <c r="X407" s="49" t="n">
        <f aca="false">+IF(ISNUMBER($S407),$S407,MIN($V407,$T407,$U407,$W407))</f>
        <v>45.9</v>
      </c>
      <c r="Y407" s="52" t="n">
        <v>0.003</v>
      </c>
      <c r="Z407" s="108" t="n">
        <v>2700000000</v>
      </c>
      <c r="AA407" s="98" t="n">
        <v>1</v>
      </c>
      <c r="AB407" s="52" t="n">
        <f aca="false">Z407/AA407</f>
        <v>2700000000</v>
      </c>
      <c r="AC407" s="26"/>
      <c r="AD407" s="51" t="n">
        <f aca="false">IF(AB407&gt;0, Y407/AB407*1000000000000, 0)</f>
        <v>1.11111111111111</v>
      </c>
      <c r="AE407" s="49" t="n">
        <f aca="false">IF(ISNUMBER($Q407), $AD407*1000/2^(($Q407-1.76)/6.02), "")</f>
        <v>6.89505215493945</v>
      </c>
      <c r="AF407" s="49" t="n">
        <f aca="false">$AD407*1000/2^(($X407-1.76)/6.02)</f>
        <v>6.89505215493945</v>
      </c>
      <c r="AG407" s="31" t="n">
        <f aca="false">IF(ISNUMBER($Q407), $Q407+10*LOG10($AB407/2/$Y407), "")</f>
        <v>162.432125137753</v>
      </c>
      <c r="AH407" s="31" t="n">
        <f aca="false">IF($Y407&gt;0, $X407+10*LOG10($AB407/2/$Y407), 0)</f>
        <v>162.432125137753</v>
      </c>
      <c r="AI407" s="26" t="n">
        <f aca="false">AF407/AB407</f>
        <v>2.55372302034795E-009</v>
      </c>
      <c r="AJ407" s="53" t="n">
        <f aca="false">AH407+10*LOG10(AB407)</f>
        <v>256.745762779343</v>
      </c>
    </row>
    <row r="408" customFormat="false" ht="12.75" hidden="false" customHeight="false" outlineLevel="0" collapsed="false">
      <c r="A408" s="32" t="n">
        <v>2023</v>
      </c>
      <c r="B408" s="34" t="n">
        <v>17.8</v>
      </c>
      <c r="C408" s="34" t="s">
        <v>111</v>
      </c>
      <c r="D408" s="23" t="s">
        <v>1764</v>
      </c>
      <c r="E408" s="79" t="n">
        <v>0.028</v>
      </c>
      <c r="F408" s="17" t="s">
        <v>1889</v>
      </c>
      <c r="G408" s="86" t="s">
        <v>1890</v>
      </c>
      <c r="H408" s="103" t="s">
        <v>1891</v>
      </c>
      <c r="I408" s="76" t="s">
        <v>1892</v>
      </c>
      <c r="J408" s="46" t="str">
        <f aca="false">IF(I408&lt;&gt;"?", HYPERLINK(CONCATENATE("https://doi.org/",I408)), "")</f>
        <v>https://doi.org/10.1109/ISSCC42615.2023.10067397</v>
      </c>
      <c r="K408" s="77" t="s">
        <v>117</v>
      </c>
      <c r="L408" s="53" t="n">
        <v>1.8</v>
      </c>
      <c r="M408" s="53" t="n">
        <v>0.9</v>
      </c>
      <c r="N408" s="53"/>
      <c r="O408" s="34"/>
      <c r="P408" s="2" t="n">
        <v>0.009</v>
      </c>
      <c r="Q408" s="54" t="n">
        <v>37.1</v>
      </c>
      <c r="R408" s="52" t="n">
        <v>4873050000</v>
      </c>
      <c r="S408" s="54" t="n">
        <v>36.4</v>
      </c>
      <c r="U408" s="54"/>
      <c r="V408" s="34" t="n">
        <v>48.7</v>
      </c>
      <c r="W408" s="34" t="n">
        <v>51.7</v>
      </c>
      <c r="X408" s="49" t="n">
        <f aca="false">+IF(ISNUMBER($S408),$S408,MIN($V408,$T408,$U408,$W408))</f>
        <v>36.4</v>
      </c>
      <c r="Y408" s="52" t="n">
        <v>0.0317</v>
      </c>
      <c r="Z408" s="108" t="n">
        <v>10000000000</v>
      </c>
      <c r="AA408" s="98" t="n">
        <v>1</v>
      </c>
      <c r="AB408" s="52" t="n">
        <f aca="false">Z408/AA408</f>
        <v>10000000000</v>
      </c>
      <c r="AC408" s="26"/>
      <c r="AD408" s="51" t="n">
        <f aca="false">IF(AB408&gt;0, Y408/AB408*1000000000000, 0)</f>
        <v>3.17</v>
      </c>
      <c r="AE408" s="49" t="n">
        <f aca="false">IF(ISNUMBER($Q408), $AD408*1000/2^(($Q408-1.76)/6.02), "")</f>
        <v>54.1855111683967</v>
      </c>
      <c r="AF408" s="49" t="n">
        <f aca="false">$AD408*1000/2^(($X408-1.76)/6.02)</f>
        <v>58.7336055997301</v>
      </c>
      <c r="AG408" s="31" t="n">
        <f aca="false">IF(ISNUMBER($Q408), $Q408+10*LOG10($AB408/2/$Y408), "")</f>
        <v>149.079107421183</v>
      </c>
      <c r="AH408" s="31" t="n">
        <f aca="false">IF($Y408&gt;0, $X408+10*LOG10($AB408/2/$Y408), 0)</f>
        <v>148.379107421183</v>
      </c>
      <c r="AI408" s="26" t="n">
        <f aca="false">AF408/AB408</f>
        <v>5.87336055997301E-009</v>
      </c>
      <c r="AJ408" s="53" t="n">
        <f aca="false">AH408+10*LOG10(AB408)</f>
        <v>248.379107421183</v>
      </c>
    </row>
    <row r="409" customFormat="false" ht="12.75" hidden="false" customHeight="false" outlineLevel="0" collapsed="false">
      <c r="A409" s="32" t="n">
        <v>2023</v>
      </c>
      <c r="B409" s="22" t="n">
        <v>18.2</v>
      </c>
      <c r="C409" s="22" t="s">
        <v>111</v>
      </c>
      <c r="D409" s="23" t="s">
        <v>1893</v>
      </c>
      <c r="E409" s="94" t="n">
        <v>0.022</v>
      </c>
      <c r="F409" s="25" t="s">
        <v>1894</v>
      </c>
      <c r="G409" s="86" t="s">
        <v>1895</v>
      </c>
      <c r="H409" s="80" t="s">
        <v>1896</v>
      </c>
      <c r="I409" s="27" t="s">
        <v>1897</v>
      </c>
      <c r="J409" s="46" t="str">
        <f aca="false">IF(I409&lt;&gt;"?", HYPERLINK(CONCATENATE("https://doi.org/",I409)), "")</f>
        <v>https://doi.org/10.1109/ISSCC42615.2023.10067439</v>
      </c>
      <c r="K409" s="77" t="s">
        <v>1898</v>
      </c>
      <c r="L409" s="53" t="n">
        <v>1</v>
      </c>
      <c r="P409" s="29" t="n">
        <f aca="false">0.6*0.23</f>
        <v>0.138</v>
      </c>
      <c r="Q409" s="30" t="n">
        <v>35.45</v>
      </c>
      <c r="R409" s="26" t="n">
        <v>19700000000</v>
      </c>
      <c r="S409" s="30" t="n">
        <v>30.75</v>
      </c>
      <c r="W409" s="22" t="n">
        <v>48.7</v>
      </c>
      <c r="X409" s="49" t="n">
        <f aca="false">+IF(ISNUMBER($S409),$S409,MIN($V409,$T409,$U409,$W409))</f>
        <v>30.75</v>
      </c>
      <c r="Y409" s="26" t="n">
        <v>0.084</v>
      </c>
      <c r="Z409" s="104" t="n">
        <v>40000000000</v>
      </c>
      <c r="AA409" s="98" t="n">
        <v>1</v>
      </c>
      <c r="AB409" s="26" t="n">
        <f aca="false">Z409/AA409</f>
        <v>40000000000</v>
      </c>
      <c r="AC409" s="26"/>
      <c r="AD409" s="51" t="n">
        <f aca="false">IF(AB409&gt;0, Y409/AB409*1000000000000, 0)</f>
        <v>2.1</v>
      </c>
      <c r="AE409" s="49" t="n">
        <f aca="false">IF(ISNUMBER($Q409), $AD409*1000/2^(($Q409-1.76)/6.02), "")</f>
        <v>43.4061661665473</v>
      </c>
      <c r="AF409" s="49" t="n">
        <f aca="false">$AD409*1000/2^(($X409-1.76)/6.02)</f>
        <v>74.5718379544588</v>
      </c>
      <c r="AG409" s="31" t="n">
        <f aca="false">IF(ISNUMBER($Q409), $Q409+10*LOG10($AB409/2/$Y409), "")</f>
        <v>149.217507096021</v>
      </c>
      <c r="AH409" s="31" t="n">
        <f aca="false">IF($Y409&gt;0, $X409+10*LOG10($AB409/2/$Y409), 0)</f>
        <v>144.517507096021</v>
      </c>
      <c r="AI409" s="26" t="n">
        <f aca="false">AF409/AB409</f>
        <v>1.86429594886147E-009</v>
      </c>
      <c r="AJ409" s="53" t="n">
        <f aca="false">AH409+10*LOG10(AB409)</f>
        <v>250.538107009301</v>
      </c>
    </row>
    <row r="410" customFormat="false" ht="12.75" hidden="false" customHeight="false" outlineLevel="0" collapsed="false">
      <c r="A410" s="32" t="n">
        <v>2023</v>
      </c>
      <c r="B410" s="22" t="n">
        <v>32.4</v>
      </c>
      <c r="C410" s="34" t="s">
        <v>139</v>
      </c>
      <c r="D410" s="23" t="s">
        <v>112</v>
      </c>
      <c r="E410" s="24" t="n">
        <v>0.18</v>
      </c>
      <c r="F410" s="75" t="s">
        <v>1899</v>
      </c>
      <c r="G410" s="86" t="s">
        <v>1900</v>
      </c>
      <c r="H410" s="86" t="s">
        <v>1901</v>
      </c>
      <c r="I410" s="27" t="s">
        <v>1902</v>
      </c>
      <c r="J410" s="46" t="str">
        <f aca="false">IF(I410&lt;&gt;"?", HYPERLINK(CONCATENATE("https://doi.org/",I410)), "")</f>
        <v>https://doi.org/10.1109/ISSCC42615.2023.10067844</v>
      </c>
      <c r="K410" s="77" t="s">
        <v>1903</v>
      </c>
      <c r="L410" s="53" t="n">
        <v>1</v>
      </c>
      <c r="P410" s="2" t="n">
        <v>0.12</v>
      </c>
      <c r="R410" s="26" t="n">
        <v>1000</v>
      </c>
      <c r="S410" s="30" t="n">
        <v>99.1</v>
      </c>
      <c r="U410" s="30" t="n">
        <v>101.6</v>
      </c>
      <c r="X410" s="49" t="n">
        <f aca="false">+IF(ISNUMBER($S410),$S410,MIN($V410,$T410,$U410,$W410))</f>
        <v>99.1</v>
      </c>
      <c r="Y410" s="26" t="n">
        <v>9.29E-006</v>
      </c>
      <c r="Z410" s="104" t="n">
        <v>128000</v>
      </c>
      <c r="AA410" s="98" t="n">
        <f aca="false">Z410/AB410</f>
        <v>64</v>
      </c>
      <c r="AB410" s="26" t="n">
        <v>2000</v>
      </c>
      <c r="AD410" s="51" t="n">
        <f aca="false">IF(AB410&gt;0, Y410/AB410*1000000000000, 0)</f>
        <v>4645</v>
      </c>
      <c r="AE410" s="49" t="str">
        <f aca="false">IF(ISNUMBER($Q410), $AD410*1000/2^(($Q410-1.76)/6.02), "")</f>
        <v/>
      </c>
      <c r="AF410" s="49" t="n">
        <f aca="false">$AD410*1000/2^(($X410-1.76)/6.02)</f>
        <v>63.0232369617875</v>
      </c>
      <c r="AG410" s="31" t="str">
        <f aca="false">IF(ISNUMBER($Q410), $Q410+10*LOG10($AB410/2/$Y410), "")</f>
        <v/>
      </c>
      <c r="AH410" s="31" t="n">
        <f aca="false">IF($Y410&gt;0, $X410+10*LOG10($AB410/2/$Y410), 0)</f>
        <v>179.419842860064</v>
      </c>
      <c r="AI410" s="26" t="n">
        <f aca="false">AF410/AB410</f>
        <v>0.0315116184808937</v>
      </c>
      <c r="AJ410" s="53" t="n">
        <f aca="false">AH410+10*LOG10(AB410)</f>
        <v>212.430142816703</v>
      </c>
    </row>
    <row r="411" customFormat="false" ht="12.75" hidden="false" customHeight="false" outlineLevel="0" collapsed="false">
      <c r="A411" s="32" t="n">
        <v>2023</v>
      </c>
      <c r="B411" s="22" t="n">
        <v>32.7</v>
      </c>
      <c r="C411" s="34" t="s">
        <v>139</v>
      </c>
      <c r="D411" s="23" t="s">
        <v>112</v>
      </c>
      <c r="E411" s="94" t="n">
        <v>0.022</v>
      </c>
      <c r="F411" s="75" t="s">
        <v>1904</v>
      </c>
      <c r="G411" s="86" t="s">
        <v>1905</v>
      </c>
      <c r="H411" s="86" t="s">
        <v>1906</v>
      </c>
      <c r="I411" s="76" t="s">
        <v>1907</v>
      </c>
      <c r="J411" s="46" t="str">
        <f aca="false">IF(I411&lt;&gt;"?", HYPERLINK(CONCATENATE("https://doi.org/",I411)), "")</f>
        <v>https://doi.org/10.1109/ISSCC42615.2023.10067626</v>
      </c>
      <c r="K411" s="77" t="s">
        <v>117</v>
      </c>
      <c r="L411" s="24" t="n">
        <v>2.5</v>
      </c>
      <c r="M411" s="24" t="n">
        <v>0.4</v>
      </c>
      <c r="P411" s="2" t="n">
        <v>0.02</v>
      </c>
      <c r="R411" s="26" t="n">
        <v>2500</v>
      </c>
      <c r="S411" s="30" t="n">
        <v>84.2</v>
      </c>
      <c r="X411" s="49" t="n">
        <f aca="false">+IF(ISNUMBER($S411),$S411,MIN($V411,$T411,$U411,$W411))</f>
        <v>84.2</v>
      </c>
      <c r="Y411" s="26" t="n">
        <v>5.2E-006</v>
      </c>
      <c r="Z411" s="104" t="n">
        <f aca="false">AA411*AB411</f>
        <v>4000000</v>
      </c>
      <c r="AA411" s="98" t="n">
        <v>800</v>
      </c>
      <c r="AB411" s="26" t="n">
        <v>5000</v>
      </c>
      <c r="AD411" s="51" t="n">
        <f aca="false">IF(AB411&gt;0, Y411/AB411*1000000000000, 0)</f>
        <v>1040</v>
      </c>
      <c r="AE411" s="49" t="str">
        <f aca="false">IF(ISNUMBER($Q411), $AD411*1000/2^(($Q411-1.76)/6.02), "")</f>
        <v/>
      </c>
      <c r="AF411" s="49" t="n">
        <f aca="false">$AD411*1000/2^(($X411-1.76)/6.02)</f>
        <v>78.4553507084402</v>
      </c>
      <c r="AG411" s="31" t="str">
        <f aca="false">IF(ISNUMBER($Q411), $Q411+10*LOG10($AB411/2/$Y411), "")</f>
        <v/>
      </c>
      <c r="AH411" s="31" t="n">
        <f aca="false">IF($Y411&gt;0, $X411+10*LOG10($AB411/2/$Y411), 0)</f>
        <v>171.019366650372</v>
      </c>
      <c r="AI411" s="26" t="n">
        <f aca="false">AF411/AB411</f>
        <v>0.015691070141688</v>
      </c>
      <c r="AJ411" s="53" t="n">
        <f aca="false">AH411+10*LOG10(AB411)</f>
        <v>208.009066693733</v>
      </c>
    </row>
    <row r="412" customFormat="false" ht="12.75" hidden="false" customHeight="false" outlineLevel="0" collapsed="false">
      <c r="A412" s="32"/>
      <c r="G412" s="86"/>
      <c r="J412" s="46"/>
      <c r="K412" s="77"/>
      <c r="Z412" s="104"/>
    </row>
    <row r="413" customFormat="false" ht="12.75" hidden="false" customHeight="false" outlineLevel="0" collapsed="false">
      <c r="A413" s="32"/>
      <c r="G413" s="86"/>
      <c r="J413" s="46"/>
      <c r="K413" s="77"/>
      <c r="Z413" s="104"/>
    </row>
    <row r="414" customFormat="false" ht="12.75" hidden="false" customHeight="false" outlineLevel="0" collapsed="false">
      <c r="A414" s="32"/>
      <c r="G414" s="86"/>
      <c r="J414" s="46"/>
      <c r="K414" s="77"/>
      <c r="Z414" s="104"/>
    </row>
    <row r="415" customFormat="false" ht="12.75" hidden="false" customHeight="false" outlineLevel="0" collapsed="false">
      <c r="A415" s="32"/>
      <c r="G415" s="86"/>
      <c r="J415" s="46"/>
      <c r="K415" s="77"/>
    </row>
    <row r="416" customFormat="false" ht="12.75" hidden="false" customHeight="false" outlineLevel="0" collapsed="false">
      <c r="A416" s="32"/>
      <c r="G416" s="86"/>
      <c r="J416" s="46"/>
      <c r="K416" s="77"/>
    </row>
    <row r="417" customFormat="false" ht="12.75" hidden="false" customHeight="false" outlineLevel="0" collapsed="false">
      <c r="A417" s="32"/>
      <c r="G417" s="86"/>
      <c r="J417" s="46"/>
      <c r="K417" s="77"/>
    </row>
    <row r="418" customFormat="false" ht="12.75" hidden="false" customHeight="false" outlineLevel="0" collapsed="false">
      <c r="G418" s="86"/>
      <c r="J418" s="46"/>
      <c r="K418" s="77"/>
    </row>
  </sheetData>
  <conditionalFormatting sqref="X412:X65536">
    <cfRule type="expression" priority="2" aboveAverage="0" equalAverage="0" bottom="0" percent="0" rank="0" text="" dxfId="0">
      <formula>"if($s:$s&gt;$t:$t)"</formula>
    </cfRule>
  </conditionalFormatting>
  <conditionalFormatting sqref="Z2">
    <cfRule type="cellIs" priority="3" operator="greaterThan" aboveAverage="0" equalAverage="0" bottom="0" percent="0" rank="0" text="" dxfId="1">
      <formula>1000000000</formula>
    </cfRule>
  </conditionalFormatting>
  <conditionalFormatting sqref="AB2:AB394 AB409:AB500">
    <cfRule type="cellIs" priority="4" operator="greaterThan" aboveAverage="0" equalAverage="0" bottom="0" percent="0" rank="0" text="" dxfId="2">
      <formula>1000000000</formula>
    </cfRule>
  </conditionalFormatting>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277"/>
  <sheetViews>
    <sheetView showFormulas="false" showGridLines="true" showRowColHeaders="true" showZeros="true" rightToLeft="false" tabSelected="false" showOutlineSymbols="true" defaultGridColor="true" view="normal" topLeftCell="K1" colorId="64" zoomScale="99" zoomScaleNormal="99" zoomScalePageLayoutView="100" workbookViewId="0">
      <pane xSplit="0" ySplit="1" topLeftCell="A164" activePane="bottomLeft" state="frozen"/>
      <selection pane="topLeft" activeCell="K1" activeCellId="0" sqref="K1"/>
      <selection pane="bottomLeft" activeCell="P252" activeCellId="0" sqref="P252"/>
    </sheetView>
  </sheetViews>
  <sheetFormatPr defaultColWidth="9.13671875" defaultRowHeight="12.75" zeroHeight="false" outlineLevelRow="0" outlineLevelCol="0"/>
  <cols>
    <col collapsed="false" customWidth="true" hidden="false" outlineLevel="0" max="1" min="1" style="45" width="6.4"/>
    <col collapsed="false" customWidth="true" hidden="false" outlineLevel="0" max="2" min="2" style="45" width="7"/>
    <col collapsed="false" customWidth="true" hidden="false" outlineLevel="0" max="3" min="3" style="43" width="6.13"/>
    <col collapsed="false" customWidth="true" hidden="false" outlineLevel="0" max="4" min="4" style="43" width="17.4"/>
    <col collapsed="false" customWidth="true" hidden="false" outlineLevel="0" max="5" min="5" style="43" width="14.86"/>
    <col collapsed="false" customWidth="true" hidden="false" outlineLevel="0" max="6" min="6" style="45" width="7.87"/>
    <col collapsed="false" customWidth="true" hidden="false" outlineLevel="0" max="7" min="7" style="45" width="17.53"/>
    <col collapsed="false" customWidth="true" hidden="false" outlineLevel="0" max="10" min="8" style="45" width="12.86"/>
    <col collapsed="false" customWidth="true" hidden="false" outlineLevel="0" max="11" min="11" style="45" width="13.66"/>
    <col collapsed="false" customWidth="true" hidden="false" outlineLevel="0" max="12" min="12" style="45" width="10.53"/>
    <col collapsed="false" customWidth="true" hidden="false" outlineLevel="0" max="13" min="13" style="45" width="9.86"/>
    <col collapsed="false" customWidth="true" hidden="false" outlineLevel="0" max="14" min="14" style="45" width="9.47"/>
    <col collapsed="false" customWidth="true" hidden="false" outlineLevel="0" max="15" min="15" style="45" width="13.4"/>
    <col collapsed="false" customWidth="true" hidden="false" outlineLevel="0" max="16" min="16" style="43" width="15.4"/>
    <col collapsed="false" customWidth="true" hidden="false" outlineLevel="0" max="17" min="17" style="43" width="15.53"/>
    <col collapsed="false" customWidth="true" hidden="false" outlineLevel="0" max="18" min="18" style="43" width="12.53"/>
    <col collapsed="false" customWidth="true" hidden="false" outlineLevel="0" max="19" min="19" style="43" width="16.33"/>
    <col collapsed="false" customWidth="true" hidden="false" outlineLevel="0" max="20" min="20" style="43" width="11.12"/>
    <col collapsed="false" customWidth="true" hidden="false" outlineLevel="0" max="21" min="21" style="43" width="9.66"/>
    <col collapsed="false" customWidth="true" hidden="false" outlineLevel="0" max="22" min="22" style="43" width="12.13"/>
    <col collapsed="false" customWidth="true" hidden="false" outlineLevel="0" max="23" min="23" style="43" width="12.53"/>
    <col collapsed="false" customWidth="true" hidden="false" outlineLevel="0" max="24" min="24" style="45" width="14.62"/>
    <col collapsed="false" customWidth="true" hidden="false" outlineLevel="0" max="25" min="25" style="43" width="11.99"/>
    <col collapsed="false" customWidth="true" hidden="false" outlineLevel="0" max="26" min="26" style="45" width="8.53"/>
    <col collapsed="false" customWidth="true" hidden="false" outlineLevel="0" max="27" min="27" style="39" width="8.67"/>
    <col collapsed="false" customWidth="true" hidden="false" outlineLevel="0" max="28" min="28" style="48" width="9.59"/>
    <col collapsed="false" customWidth="true" hidden="false" outlineLevel="0" max="29" min="29" style="48" width="10.8"/>
    <col collapsed="false" customWidth="true" hidden="false" outlineLevel="0" max="30" min="30" style="107" width="14.35"/>
    <col collapsed="false" customWidth="true" hidden="false" outlineLevel="0" max="31" min="31" style="45" width="21.13"/>
    <col collapsed="false" customWidth="true" hidden="false" outlineLevel="0" max="32" min="32" style="39" width="21.73"/>
    <col collapsed="false" customWidth="true" hidden="false" outlineLevel="0" max="33" min="33" style="45" width="12.2"/>
    <col collapsed="false" customWidth="true" hidden="false" outlineLevel="0" max="34" min="34" style="43" width="12.86"/>
    <col collapsed="false" customWidth="true" hidden="false" outlineLevel="0" max="35" min="35" style="45" width="14.08"/>
    <col collapsed="false" customWidth="true" hidden="false" outlineLevel="0" max="36" min="36" style="45" width="19.12"/>
    <col collapsed="false" customWidth="false" hidden="false" outlineLevel="0" max="1024" min="37" style="45" width="9.13"/>
  </cols>
  <sheetData>
    <row r="1" s="111" customFormat="true" ht="12.75" hidden="false" customHeight="false" outlineLevel="0" collapsed="false">
      <c r="A1" s="35" t="s">
        <v>75</v>
      </c>
      <c r="B1" s="35" t="s">
        <v>76</v>
      </c>
      <c r="C1" s="35" t="s">
        <v>77</v>
      </c>
      <c r="D1" s="35" t="s">
        <v>78</v>
      </c>
      <c r="E1" s="35" t="s">
        <v>79</v>
      </c>
      <c r="F1" s="35" t="s">
        <v>80</v>
      </c>
      <c r="G1" s="35" t="s">
        <v>81</v>
      </c>
      <c r="H1" s="35" t="s">
        <v>82</v>
      </c>
      <c r="I1" s="35" t="s">
        <v>83</v>
      </c>
      <c r="J1" s="35" t="s">
        <v>84</v>
      </c>
      <c r="K1" s="36" t="s">
        <v>85</v>
      </c>
      <c r="L1" s="36" t="s">
        <v>86</v>
      </c>
      <c r="M1" s="36" t="s">
        <v>87</v>
      </c>
      <c r="N1" s="36" t="s">
        <v>88</v>
      </c>
      <c r="O1" s="37" t="s">
        <v>89</v>
      </c>
      <c r="P1" s="35" t="s">
        <v>90</v>
      </c>
      <c r="Q1" s="31" t="s">
        <v>91</v>
      </c>
      <c r="R1" s="38" t="s">
        <v>92</v>
      </c>
      <c r="S1" s="38" t="s">
        <v>93</v>
      </c>
      <c r="T1" s="38" t="s">
        <v>94</v>
      </c>
      <c r="U1" s="38" t="s">
        <v>95</v>
      </c>
      <c r="V1" s="35" t="s">
        <v>96</v>
      </c>
      <c r="W1" s="38" t="s">
        <v>97</v>
      </c>
      <c r="X1" s="35" t="s">
        <v>98</v>
      </c>
      <c r="Y1" s="38" t="s">
        <v>99</v>
      </c>
      <c r="Z1" s="38" t="s">
        <v>100</v>
      </c>
      <c r="AA1" s="39" t="s">
        <v>101</v>
      </c>
      <c r="AB1" s="107" t="s">
        <v>102</v>
      </c>
      <c r="AC1" s="39" t="s">
        <v>103</v>
      </c>
      <c r="AD1" s="110" t="s">
        <v>104</v>
      </c>
      <c r="AE1" s="39" t="s">
        <v>105</v>
      </c>
      <c r="AF1" s="39" t="s">
        <v>106</v>
      </c>
      <c r="AG1" s="39" t="s">
        <v>107</v>
      </c>
      <c r="AH1" s="39" t="s">
        <v>108</v>
      </c>
      <c r="AI1" s="34" t="s">
        <v>109</v>
      </c>
      <c r="AJ1" s="17" t="s">
        <v>110</v>
      </c>
    </row>
    <row r="2" s="22" customFormat="true" ht="12.75" hidden="false" customHeight="false" outlineLevel="0" collapsed="false">
      <c r="A2" s="40" t="n">
        <v>1997</v>
      </c>
      <c r="B2" s="43" t="n">
        <v>3.2</v>
      </c>
      <c r="C2" s="43" t="s">
        <v>139</v>
      </c>
      <c r="D2" s="50" t="s">
        <v>173</v>
      </c>
      <c r="E2" s="65" t="n">
        <v>0.5</v>
      </c>
      <c r="F2" s="72" t="s">
        <v>1908</v>
      </c>
      <c r="G2" s="112" t="s">
        <v>1909</v>
      </c>
      <c r="H2" s="45" t="s">
        <v>1910</v>
      </c>
      <c r="I2" s="45" t="s">
        <v>1911</v>
      </c>
      <c r="J2" s="113" t="str">
        <f aca="false">IF(I2&lt;&gt;"?", HYPERLINK(CONCATENATE("https://doi.org/",I2)), "")</f>
        <v>https://doi.org/10.1109/VLSIC.1997.623781</v>
      </c>
      <c r="K2" s="45" t="s">
        <v>117</v>
      </c>
      <c r="L2" s="69" t="n">
        <v>1.2</v>
      </c>
      <c r="M2" s="69"/>
      <c r="N2" s="69"/>
      <c r="O2" s="65" t="s">
        <v>117</v>
      </c>
      <c r="P2" s="43" t="n">
        <v>0</v>
      </c>
      <c r="Q2" s="41"/>
      <c r="R2" s="48" t="n">
        <v>20000</v>
      </c>
      <c r="S2" s="41" t="n">
        <v>91.5</v>
      </c>
      <c r="T2" s="41" t="n">
        <v>92</v>
      </c>
      <c r="U2" s="41" t="n">
        <v>94</v>
      </c>
      <c r="V2" s="41"/>
      <c r="W2" s="41"/>
      <c r="X2" s="49" t="n">
        <f aca="false">+IF(ISNUMBER($S2),$S2,MIN($V2,$T2,$U2,$W2))</f>
        <v>91.5</v>
      </c>
      <c r="Y2" s="48" t="n">
        <v>0.0065</v>
      </c>
      <c r="Z2" s="48" t="n">
        <v>6140000</v>
      </c>
      <c r="AA2" s="50" t="n">
        <v>153.5</v>
      </c>
      <c r="AB2" s="48" t="n">
        <f aca="false">Z2/AA2</f>
        <v>40000</v>
      </c>
      <c r="AC2" s="114"/>
      <c r="AD2" s="107" t="n">
        <f aca="false">Y2/AB2*1000000000000</f>
        <v>162500</v>
      </c>
      <c r="AE2" s="49" t="str">
        <f aca="false">IF(ISNUMBER($Q2),$AD2*1000/2^(($Q2-1.76)/6.02), "")</f>
        <v/>
      </c>
      <c r="AF2" s="49" t="n">
        <f aca="false">$AD2*1000/2^(($X2-1.76)/6.02)</f>
        <v>5289.397683028</v>
      </c>
      <c r="AG2" s="49" t="str">
        <f aca="false">IF(ISNUMBER($Q2), $Q2+10*LOG10($AB2/2/$Y2), "")</f>
        <v/>
      </c>
      <c r="AH2" s="49" t="n">
        <f aca="false">$X2+10*LOG10($AB2/2/$Y2)</f>
        <v>156.381166390211</v>
      </c>
      <c r="AI2" s="52" t="n">
        <f aca="false">AF2/AB2</f>
        <v>0.1322349420757</v>
      </c>
      <c r="AJ2" s="53" t="n">
        <f aca="false">AH2+10*LOG10(AB2)</f>
        <v>202.401766303491</v>
      </c>
    </row>
    <row r="3" customFormat="false" ht="12.75" hidden="false" customHeight="false" outlineLevel="0" collapsed="false">
      <c r="A3" s="50" t="n">
        <v>1997</v>
      </c>
      <c r="B3" s="43" t="n">
        <v>3.4</v>
      </c>
      <c r="C3" s="43" t="s">
        <v>111</v>
      </c>
      <c r="D3" s="50" t="s">
        <v>522</v>
      </c>
      <c r="E3" s="65" t="s">
        <v>128</v>
      </c>
      <c r="F3" s="72" t="s">
        <v>1912</v>
      </c>
      <c r="G3" s="112" t="s">
        <v>1913</v>
      </c>
      <c r="H3" s="45" t="s">
        <v>1914</v>
      </c>
      <c r="I3" s="45" t="s">
        <v>1915</v>
      </c>
      <c r="J3" s="113" t="str">
        <f aca="false">IF(I3&lt;&gt;"?", HYPERLINK(CONCATENATE("https://doi.org/",I3)), "")</f>
        <v>https://doi.org/10.1109/VLSIC.1997.623783</v>
      </c>
      <c r="K3" s="45" t="s">
        <v>1916</v>
      </c>
      <c r="L3" s="69"/>
      <c r="M3" s="69"/>
      <c r="N3" s="69"/>
      <c r="O3" s="65" t="s">
        <v>117</v>
      </c>
      <c r="P3" s="43" t="n">
        <v>29.68</v>
      </c>
      <c r="Q3" s="41" t="n">
        <f aca="false">7.5*6.02+1.76</f>
        <v>46.91</v>
      </c>
      <c r="R3" s="48" t="n">
        <v>4000000000</v>
      </c>
      <c r="S3" s="41" t="n">
        <f aca="false">3.7*6.02+1.76</f>
        <v>24.034</v>
      </c>
      <c r="T3" s="41"/>
      <c r="U3" s="41"/>
      <c r="V3" s="41"/>
      <c r="W3" s="41"/>
      <c r="X3" s="49" t="n">
        <f aca="false">+IF(ISNUMBER($S3),$S3,MIN($V3,$T3,$U3,$W3))</f>
        <v>24.034</v>
      </c>
      <c r="Y3" s="48" t="n">
        <v>12.5</v>
      </c>
      <c r="Z3" s="48" t="n">
        <v>8000000000</v>
      </c>
      <c r="AA3" s="50" t="n">
        <v>1</v>
      </c>
      <c r="AB3" s="48" t="n">
        <f aca="false">Z3/AA3</f>
        <v>8000000000</v>
      </c>
      <c r="AC3" s="114"/>
      <c r="AD3" s="107" t="n">
        <f aca="false">Y3/AB3*1000000000000</f>
        <v>1562.5</v>
      </c>
      <c r="AE3" s="49" t="n">
        <f aca="false">IF(ISNUMBER($Q3),$AD3*1000/2^(($Q3-1.76)/6.02), "")</f>
        <v>8631.6745750311</v>
      </c>
      <c r="AF3" s="49" t="n">
        <f aca="false">$AD3*1000/2^(($X3-1.76)/6.02)</f>
        <v>120228.946615714</v>
      </c>
      <c r="AG3" s="49" t="n">
        <f aca="false">IF(ISNUMBER($Q3), $Q3+10*LOG10($AB3/2/$Y3), "")</f>
        <v>131.961499783199</v>
      </c>
      <c r="AH3" s="49" t="n">
        <f aca="false">$X3+10*LOG10($AB3/2/$Y3)</f>
        <v>109.085499783199</v>
      </c>
      <c r="AI3" s="52" t="n">
        <f aca="false">AF3/AB3</f>
        <v>1.50286183269643E-005</v>
      </c>
      <c r="AJ3" s="53" t="n">
        <f aca="false">AH3+10*LOG10(AB3)</f>
        <v>208.116399653118</v>
      </c>
    </row>
    <row r="4" customFormat="false" ht="12.75" hidden="false" customHeight="false" outlineLevel="0" collapsed="false">
      <c r="A4" s="40" t="n">
        <v>1998</v>
      </c>
      <c r="B4" s="43" t="n">
        <v>14.2</v>
      </c>
      <c r="C4" s="42" t="s">
        <v>111</v>
      </c>
      <c r="D4" s="42" t="s">
        <v>133</v>
      </c>
      <c r="E4" s="42" t="n">
        <v>0.6</v>
      </c>
      <c r="F4" s="111" t="s">
        <v>1917</v>
      </c>
      <c r="G4" s="112" t="s">
        <v>1918</v>
      </c>
      <c r="H4" s="111" t="s">
        <v>1919</v>
      </c>
      <c r="I4" s="111" t="s">
        <v>1920</v>
      </c>
      <c r="J4" s="113" t="str">
        <f aca="false">IF(I4&lt;&gt;"?", HYPERLINK(CONCATENATE("https://doi.org/",I4)), "")</f>
        <v>https://doi.org/10.1109/VLSIC.1998.688071</v>
      </c>
      <c r="K4" s="45" t="s">
        <v>117</v>
      </c>
      <c r="L4" s="69" t="n">
        <v>1.5</v>
      </c>
      <c r="M4" s="69"/>
      <c r="N4" s="69"/>
      <c r="O4" s="65" t="s">
        <v>117</v>
      </c>
      <c r="P4" s="43" t="n">
        <v>5.75</v>
      </c>
      <c r="Q4" s="41"/>
      <c r="R4" s="48" t="n">
        <f aca="false">14300000/2</f>
        <v>7150000</v>
      </c>
      <c r="S4" s="41" t="n">
        <v>58.5</v>
      </c>
      <c r="T4" s="41"/>
      <c r="U4" s="41"/>
      <c r="V4" s="41"/>
      <c r="W4" s="41"/>
      <c r="X4" s="49" t="n">
        <f aca="false">+IF(ISNUMBER($S4),$S4,MIN($V4,$T4,$U4,$W4))</f>
        <v>58.5</v>
      </c>
      <c r="Y4" s="48" t="n">
        <v>0.036</v>
      </c>
      <c r="Z4" s="48" t="n">
        <v>14300000</v>
      </c>
      <c r="AA4" s="50" t="n">
        <v>1</v>
      </c>
      <c r="AB4" s="48" t="n">
        <f aca="false">Z4/AA4</f>
        <v>14300000</v>
      </c>
      <c r="AC4" s="114"/>
      <c r="AD4" s="107" t="n">
        <f aca="false">Y4/AB4*1000000000000</f>
        <v>2517.48251748252</v>
      </c>
      <c r="AE4" s="49" t="str">
        <f aca="false">IF(ISNUMBER($Q4),$AD4*1000/2^(($Q4-1.76)/6.02), "")</f>
        <v/>
      </c>
      <c r="AF4" s="49" t="n">
        <f aca="false">$AD4*1000/2^(($X4-1.76)/6.02)</f>
        <v>3661.70831885598</v>
      </c>
      <c r="AG4" s="49" t="str">
        <f aca="false">IF(ISNUMBER($Q4), $Q4+10*LOG10($AB4/2/$Y4), "")</f>
        <v/>
      </c>
      <c r="AH4" s="49" t="n">
        <f aca="false">$X4+10*LOG10($AB4/2/$Y4)</f>
        <v>141.480035410338</v>
      </c>
      <c r="AI4" s="52" t="n">
        <f aca="false">AF4/AB4</f>
        <v>0.000256063518801118</v>
      </c>
      <c r="AJ4" s="53" t="n">
        <f aca="false">AH4+10*LOG10(AB4)</f>
        <v>213.033395784989</v>
      </c>
    </row>
    <row r="5" customFormat="false" ht="12.75" hidden="false" customHeight="false" outlineLevel="0" collapsed="false">
      <c r="A5" s="50" t="n">
        <v>1998</v>
      </c>
      <c r="B5" s="43" t="n">
        <v>14.3</v>
      </c>
      <c r="C5" s="42" t="s">
        <v>111</v>
      </c>
      <c r="D5" s="42" t="s">
        <v>1921</v>
      </c>
      <c r="E5" s="42" t="s">
        <v>1922</v>
      </c>
      <c r="F5" s="111" t="s">
        <v>1923</v>
      </c>
      <c r="G5" s="112" t="s">
        <v>1924</v>
      </c>
      <c r="H5" s="111" t="s">
        <v>1925</v>
      </c>
      <c r="I5" s="111" t="s">
        <v>1926</v>
      </c>
      <c r="J5" s="113" t="str">
        <f aca="false">IF(I5&lt;&gt;"?", HYPERLINK(CONCATENATE("https://doi.org/",I5)), "")</f>
        <v>https://doi.org/10.1109/VLSIC.1998.688073</v>
      </c>
      <c r="K5" s="45" t="s">
        <v>117</v>
      </c>
      <c r="L5" s="69" t="n">
        <v>2.5</v>
      </c>
      <c r="M5" s="69"/>
      <c r="N5" s="69"/>
      <c r="O5" s="65" t="s">
        <v>117</v>
      </c>
      <c r="P5" s="43" t="n">
        <v>3.3</v>
      </c>
      <c r="Q5" s="41"/>
      <c r="R5" s="48" t="n">
        <f aca="false">100000000/2</f>
        <v>50000000</v>
      </c>
      <c r="S5" s="41" t="n">
        <v>43.3</v>
      </c>
      <c r="T5" s="41"/>
      <c r="U5" s="41"/>
      <c r="V5" s="41"/>
      <c r="W5" s="41"/>
      <c r="X5" s="49" t="n">
        <f aca="false">+IF(ISNUMBER($S5),$S5,MIN($V5,$T5,$U5,$W5))</f>
        <v>43.3</v>
      </c>
      <c r="Y5" s="48" t="n">
        <v>0.18</v>
      </c>
      <c r="Z5" s="48" t="n">
        <v>100000000</v>
      </c>
      <c r="AA5" s="50" t="n">
        <v>1</v>
      </c>
      <c r="AB5" s="48" t="n">
        <f aca="false">Z5/AA5</f>
        <v>100000000</v>
      </c>
      <c r="AC5" s="114"/>
      <c r="AD5" s="107" t="n">
        <f aca="false">Y5/AB5*1000000000000</f>
        <v>1800</v>
      </c>
      <c r="AE5" s="49" t="str">
        <f aca="false">IF(ISNUMBER($Q5),$AD5*1000/2^(($Q5-1.76)/6.02), "")</f>
        <v/>
      </c>
      <c r="AF5" s="49" t="n">
        <f aca="false">$AD5*1000/2^(($X5-1.76)/6.02)</f>
        <v>15068.3439571763</v>
      </c>
      <c r="AG5" s="49" t="str">
        <f aca="false">IF(ISNUMBER($Q5), $Q5+10*LOG10($AB5/2/$Y5), "")</f>
        <v/>
      </c>
      <c r="AH5" s="49" t="n">
        <f aca="false">$X5+10*LOG10($AB5/2/$Y5)</f>
        <v>127.736974992327</v>
      </c>
      <c r="AI5" s="52" t="n">
        <f aca="false">AF5/AB5</f>
        <v>0.000150683439571763</v>
      </c>
      <c r="AJ5" s="53" t="n">
        <f aca="false">AH5+10*LOG10(AB5)</f>
        <v>207.736974992327</v>
      </c>
    </row>
    <row r="6" customFormat="false" ht="12.75" hidden="false" customHeight="false" outlineLevel="0" collapsed="false">
      <c r="A6" s="50" t="n">
        <v>1998</v>
      </c>
      <c r="B6" s="43" t="n">
        <v>14.4</v>
      </c>
      <c r="C6" s="42" t="s">
        <v>139</v>
      </c>
      <c r="D6" s="42" t="s">
        <v>156</v>
      </c>
      <c r="E6" s="42" t="s">
        <v>1927</v>
      </c>
      <c r="F6" s="111" t="s">
        <v>1928</v>
      </c>
      <c r="G6" s="112" t="s">
        <v>1929</v>
      </c>
      <c r="H6" s="111" t="s">
        <v>1930</v>
      </c>
      <c r="I6" s="111" t="s">
        <v>1931</v>
      </c>
      <c r="J6" s="113" t="str">
        <f aca="false">IF(I6&lt;&gt;"?", HYPERLINK(CONCATENATE("https://doi.org/",I6)), "")</f>
        <v>https://doi.org/10.1109/VLSIC.1998.688074</v>
      </c>
      <c r="K6" s="45" t="s">
        <v>117</v>
      </c>
      <c r="L6" s="69" t="n">
        <v>5</v>
      </c>
      <c r="M6" s="69"/>
      <c r="N6" s="69"/>
      <c r="O6" s="65" t="s">
        <v>117</v>
      </c>
      <c r="P6" s="43" t="n">
        <v>1.24</v>
      </c>
      <c r="Q6" s="41"/>
      <c r="R6" s="48" t="n">
        <v>4000000</v>
      </c>
      <c r="S6" s="41"/>
      <c r="T6" s="41" t="n">
        <v>53</v>
      </c>
      <c r="U6" s="41" t="n">
        <v>62</v>
      </c>
      <c r="V6" s="41"/>
      <c r="W6" s="41" t="n">
        <v>69</v>
      </c>
      <c r="X6" s="49" t="n">
        <f aca="false">+IF(ISNUMBER($S6),$S6,MIN($V6,$T6,$U6,$W6))</f>
        <v>53</v>
      </c>
      <c r="Y6" s="48" t="n">
        <v>0.35</v>
      </c>
      <c r="Z6" s="48" t="n">
        <v>4000000000</v>
      </c>
      <c r="AA6" s="50" t="n">
        <v>500</v>
      </c>
      <c r="AB6" s="48" t="n">
        <f aca="false">Z6/AA6</f>
        <v>8000000</v>
      </c>
      <c r="AC6" s="114" t="n">
        <v>1000000000</v>
      </c>
      <c r="AD6" s="107" t="n">
        <f aca="false">Y6/AB6*1000000000000</f>
        <v>43750</v>
      </c>
      <c r="AE6" s="49" t="str">
        <f aca="false">IF(ISNUMBER($Q6),$AD6*1000/2^(($Q6-1.76)/6.02), "")</f>
        <v/>
      </c>
      <c r="AF6" s="49" t="n">
        <f aca="false">$AD6*1000/2^(($X6-1.76)/6.02)</f>
        <v>119873.378448162</v>
      </c>
      <c r="AG6" s="49" t="str">
        <f aca="false">IF(ISNUMBER($Q6), $Q6+10*LOG10($AB6/2/$Y6), "")</f>
        <v/>
      </c>
      <c r="AH6" s="49" t="n">
        <f aca="false">$X6+10*LOG10($AB6/2/$Y6)</f>
        <v>123.579919469777</v>
      </c>
      <c r="AI6" s="52" t="n">
        <f aca="false">AF6/AB6</f>
        <v>0.0149841723060203</v>
      </c>
      <c r="AJ6" s="53" t="n">
        <f aca="false">AH6+10*LOG10(AB6)</f>
        <v>192.610819339696</v>
      </c>
    </row>
    <row r="7" customFormat="false" ht="12.75" hidden="false" customHeight="false" outlineLevel="0" collapsed="false">
      <c r="A7" s="40" t="n">
        <v>1999</v>
      </c>
      <c r="B7" s="43" t="n">
        <v>8.2</v>
      </c>
      <c r="C7" s="42" t="s">
        <v>111</v>
      </c>
      <c r="D7" s="42" t="s">
        <v>133</v>
      </c>
      <c r="E7" s="42" t="s">
        <v>128</v>
      </c>
      <c r="F7" s="111" t="s">
        <v>1932</v>
      </c>
      <c r="G7" s="112" t="s">
        <v>1933</v>
      </c>
      <c r="H7" s="111" t="s">
        <v>1934</v>
      </c>
      <c r="I7" s="111" t="s">
        <v>1935</v>
      </c>
      <c r="J7" s="113" t="str">
        <f aca="false">IF(I7&lt;&gt;"?", HYPERLINK(CONCATENATE("https://doi.org/",I7)), "")</f>
        <v>https://doi.org/10.1109/VLSIC.1999.797241</v>
      </c>
      <c r="K7" s="45" t="s">
        <v>117</v>
      </c>
      <c r="L7" s="69" t="n">
        <v>2</v>
      </c>
      <c r="M7" s="69" t="n">
        <v>-3.3</v>
      </c>
      <c r="N7" s="69"/>
      <c r="O7" s="65" t="s">
        <v>117</v>
      </c>
      <c r="P7" s="43" t="n">
        <v>5.5</v>
      </c>
      <c r="Q7" s="41"/>
      <c r="R7" s="48" t="n">
        <v>250000000</v>
      </c>
      <c r="S7" s="41" t="n">
        <v>45</v>
      </c>
      <c r="T7" s="41"/>
      <c r="U7" s="41"/>
      <c r="V7" s="41"/>
      <c r="W7" s="41"/>
      <c r="X7" s="49" t="n">
        <f aca="false">+IF(ISNUMBER($S7),$S7,MIN($V7,$T7,$U7,$W7))</f>
        <v>45</v>
      </c>
      <c r="Y7" s="48" t="n">
        <v>0.95</v>
      </c>
      <c r="Z7" s="48" t="n">
        <v>500000000</v>
      </c>
      <c r="AA7" s="50" t="n">
        <v>1</v>
      </c>
      <c r="AB7" s="48" t="n">
        <f aca="false">Z7/AA7</f>
        <v>500000000</v>
      </c>
      <c r="AC7" s="114"/>
      <c r="AD7" s="107" t="n">
        <f aca="false">Y7/AB7*1000000000000</f>
        <v>1900</v>
      </c>
      <c r="AE7" s="49" t="str">
        <f aca="false">IF(ISNUMBER($Q7),$AD7*1000/2^(($Q7-1.76)/6.02), "")</f>
        <v/>
      </c>
      <c r="AF7" s="49" t="n">
        <f aca="false">$AD7*1000/2^(($X7-1.76)/6.02)</f>
        <v>13077.9041603375</v>
      </c>
      <c r="AG7" s="49" t="str">
        <f aca="false">IF(ISNUMBER($Q7), $Q7+10*LOG10($AB7/2/$Y7), "")</f>
        <v/>
      </c>
      <c r="AH7" s="49" t="n">
        <f aca="false">$X7+10*LOG10($AB7/2/$Y7)</f>
        <v>129.202164033832</v>
      </c>
      <c r="AI7" s="52" t="n">
        <f aca="false">AF7/AB7</f>
        <v>2.6155808320675E-005</v>
      </c>
      <c r="AJ7" s="53" t="n">
        <f aca="false">AH7+10*LOG10(AB7)</f>
        <v>216.191864077192</v>
      </c>
    </row>
    <row r="8" customFormat="false" ht="12.75" hidden="false" customHeight="false" outlineLevel="0" collapsed="false">
      <c r="A8" s="50" t="n">
        <v>1999</v>
      </c>
      <c r="B8" s="43" t="n">
        <v>8.3</v>
      </c>
      <c r="C8" s="42" t="s">
        <v>111</v>
      </c>
      <c r="D8" s="42" t="s">
        <v>208</v>
      </c>
      <c r="E8" s="42" t="n">
        <v>0.35</v>
      </c>
      <c r="F8" s="111" t="s">
        <v>1936</v>
      </c>
      <c r="G8" s="112" t="s">
        <v>1937</v>
      </c>
      <c r="H8" s="111" t="s">
        <v>1938</v>
      </c>
      <c r="I8" s="111" t="s">
        <v>1939</v>
      </c>
      <c r="J8" s="113" t="str">
        <f aca="false">IF(I8&lt;&gt;"?", HYPERLINK(CONCATENATE("https://doi.org/",I8)), "")</f>
        <v>https://doi.org/10.1109/VLSIC.1999.797242</v>
      </c>
      <c r="K8" s="45" t="s">
        <v>117</v>
      </c>
      <c r="L8" s="69"/>
      <c r="M8" s="69"/>
      <c r="N8" s="69"/>
      <c r="O8" s="65" t="s">
        <v>117</v>
      </c>
      <c r="P8" s="43" t="n">
        <v>4.8</v>
      </c>
      <c r="Q8" s="41"/>
      <c r="R8" s="48" t="n">
        <v>25000000</v>
      </c>
      <c r="S8" s="41" t="n">
        <v>33.5</v>
      </c>
      <c r="T8" s="41"/>
      <c r="U8" s="41"/>
      <c r="V8" s="41"/>
      <c r="W8" s="41"/>
      <c r="X8" s="49" t="n">
        <f aca="false">+IF(ISNUMBER($S8),$S8,MIN($V8,$T8,$U8,$W8))</f>
        <v>33.5</v>
      </c>
      <c r="Y8" s="48" t="n">
        <v>0.02</v>
      </c>
      <c r="Z8" s="48" t="n">
        <v>50000000</v>
      </c>
      <c r="AA8" s="50" t="n">
        <v>1</v>
      </c>
      <c r="AB8" s="48" t="n">
        <f aca="false">Z8/AA8</f>
        <v>50000000</v>
      </c>
      <c r="AC8" s="114"/>
      <c r="AD8" s="107" t="n">
        <f aca="false">Y8/AB8*1000000000000</f>
        <v>400</v>
      </c>
      <c r="AE8" s="49" t="str">
        <f aca="false">IF(ISNUMBER($Q8),$AD8*1000/2^(($Q8-1.76)/6.02), "")</f>
        <v/>
      </c>
      <c r="AF8" s="49" t="n">
        <f aca="false">$AD8*1000/2^(($X8-1.76)/6.02)</f>
        <v>10349.0823188305</v>
      </c>
      <c r="AG8" s="49" t="str">
        <f aca="false">IF(ISNUMBER($Q8), $Q8+10*LOG10($AB8/2/$Y8), "")</f>
        <v/>
      </c>
      <c r="AH8" s="49" t="n">
        <f aca="false">$X8+10*LOG10($AB8/2/$Y8)</f>
        <v>124.469100130081</v>
      </c>
      <c r="AI8" s="52" t="n">
        <f aca="false">AF8/AB8</f>
        <v>0.000206981646376609</v>
      </c>
      <c r="AJ8" s="53" t="n">
        <f aca="false">AH8+10*LOG10(AB8)</f>
        <v>201.458800173441</v>
      </c>
    </row>
    <row r="9" customFormat="false" ht="12.75" hidden="false" customHeight="false" outlineLevel="0" collapsed="false">
      <c r="A9" s="50" t="n">
        <v>1999</v>
      </c>
      <c r="B9" s="43" t="n">
        <v>8.4</v>
      </c>
      <c r="C9" s="42" t="s">
        <v>111</v>
      </c>
      <c r="D9" s="42" t="s">
        <v>1940</v>
      </c>
      <c r="E9" s="42" t="n">
        <v>0.5</v>
      </c>
      <c r="F9" s="111" t="s">
        <v>1941</v>
      </c>
      <c r="G9" s="112" t="s">
        <v>1942</v>
      </c>
      <c r="H9" s="111" t="s">
        <v>1943</v>
      </c>
      <c r="I9" s="111" t="s">
        <v>1944</v>
      </c>
      <c r="J9" s="113" t="str">
        <f aca="false">IF(I9&lt;&gt;"?", HYPERLINK(CONCATENATE("https://doi.org/",I9)), "")</f>
        <v>https://doi.org/10.1109/VLSIC.1999.797243</v>
      </c>
      <c r="K9" s="45" t="s">
        <v>117</v>
      </c>
      <c r="L9" s="69"/>
      <c r="M9" s="69"/>
      <c r="N9" s="69"/>
      <c r="O9" s="65" t="s">
        <v>117</v>
      </c>
      <c r="P9" s="43" t="n">
        <v>1.68</v>
      </c>
      <c r="Q9" s="41"/>
      <c r="R9" s="48" t="n">
        <v>50000000</v>
      </c>
      <c r="S9" s="41" t="n">
        <v>42.3</v>
      </c>
      <c r="T9" s="41" t="n">
        <v>46.5</v>
      </c>
      <c r="U9" s="41"/>
      <c r="V9" s="41"/>
      <c r="W9" s="41"/>
      <c r="X9" s="49" t="n">
        <f aca="false">+IF(ISNUMBER($S9),$S9,MIN($V9,$T9,$U9,$W9))</f>
        <v>42.3</v>
      </c>
      <c r="Y9" s="48" t="n">
        <v>0.165</v>
      </c>
      <c r="Z9" s="48" t="n">
        <v>100000000</v>
      </c>
      <c r="AA9" s="50" t="n">
        <v>1</v>
      </c>
      <c r="AB9" s="48" t="n">
        <f aca="false">Z9/AA9</f>
        <v>100000000</v>
      </c>
      <c r="AC9" s="114"/>
      <c r="AD9" s="107" t="n">
        <f aca="false">Y9/AB9*1000000000000</f>
        <v>1650</v>
      </c>
      <c r="AE9" s="49" t="str">
        <f aca="false">IF(ISNUMBER($Q9),$AD9*1000/2^(($Q9-1.76)/6.02), "")</f>
        <v/>
      </c>
      <c r="AF9" s="49" t="n">
        <f aca="false">$AD9*1000/2^(($X9-1.76)/6.02)</f>
        <v>15498.2244731338</v>
      </c>
      <c r="AG9" s="49" t="str">
        <f aca="false">IF(ISNUMBER($Q9), $Q9+10*LOG10($AB9/2/$Y9), "")</f>
        <v/>
      </c>
      <c r="AH9" s="49" t="n">
        <f aca="false">$X9+10*LOG10($AB9/2/$Y9)</f>
        <v>127.114860601221</v>
      </c>
      <c r="AI9" s="52" t="n">
        <f aca="false">AF9/AB9</f>
        <v>0.000154982244731338</v>
      </c>
      <c r="AJ9" s="53" t="n">
        <f aca="false">AH9+10*LOG10(AB9)</f>
        <v>207.114860601221</v>
      </c>
    </row>
    <row r="10" customFormat="false" ht="12.75" hidden="false" customHeight="false" outlineLevel="0" collapsed="false">
      <c r="A10" s="40" t="n">
        <v>2000</v>
      </c>
      <c r="B10" s="43" t="n">
        <v>11.1</v>
      </c>
      <c r="C10" s="42" t="s">
        <v>139</v>
      </c>
      <c r="D10" s="42" t="s">
        <v>145</v>
      </c>
      <c r="E10" s="42" t="n">
        <v>0.25</v>
      </c>
      <c r="F10" s="111" t="s">
        <v>1945</v>
      </c>
      <c r="G10" s="112" t="s">
        <v>1946</v>
      </c>
      <c r="H10" s="111" t="s">
        <v>1947</v>
      </c>
      <c r="I10" s="111" t="s">
        <v>1948</v>
      </c>
      <c r="J10" s="113" t="str">
        <f aca="false">IF(I10&lt;&gt;"?", HYPERLINK(CONCATENATE("https://doi.org/",I10)), "")</f>
        <v>https://doi.org/10.1109/VLSIC.2000.852873</v>
      </c>
      <c r="K10" s="45" t="s">
        <v>117</v>
      </c>
      <c r="L10" s="69" t="n">
        <v>2.5</v>
      </c>
      <c r="M10" s="69"/>
      <c r="N10" s="69"/>
      <c r="O10" s="65" t="s">
        <v>117</v>
      </c>
      <c r="P10" s="43" t="n">
        <v>1.1</v>
      </c>
      <c r="Q10" s="41"/>
      <c r="R10" s="48" t="n">
        <v>1000000</v>
      </c>
      <c r="S10" s="41" t="n">
        <v>78</v>
      </c>
      <c r="T10" s="41" t="n">
        <v>80</v>
      </c>
      <c r="U10" s="41"/>
      <c r="V10" s="41"/>
      <c r="W10" s="41"/>
      <c r="X10" s="49" t="n">
        <f aca="false">+IF(ISNUMBER($S10),$S10,MIN($V10,$T10,$U10,$W10))</f>
        <v>78</v>
      </c>
      <c r="Y10" s="48" t="n">
        <v>0.05</v>
      </c>
      <c r="Z10" s="48" t="n">
        <v>80000000</v>
      </c>
      <c r="AA10" s="50" t="n">
        <v>40</v>
      </c>
      <c r="AB10" s="48" t="n">
        <f aca="false">Z10/AA10</f>
        <v>2000000</v>
      </c>
      <c r="AC10" s="114"/>
      <c r="AD10" s="107" t="n">
        <f aca="false">Y10/AB10*1000000000000</f>
        <v>25000</v>
      </c>
      <c r="AE10" s="49" t="str">
        <f aca="false">IF(ISNUMBER($Q10),$AD10*1000/2^(($Q10-1.76)/6.02), "")</f>
        <v/>
      </c>
      <c r="AF10" s="49" t="n">
        <f aca="false">$AD10*1000/2^(($X10-1.76)/6.02)</f>
        <v>3850.88128176616</v>
      </c>
      <c r="AG10" s="49" t="str">
        <f aca="false">IF(ISNUMBER($Q10), $Q10+10*LOG10($AB10/2/$Y10), "")</f>
        <v/>
      </c>
      <c r="AH10" s="49" t="n">
        <f aca="false">$X10+10*LOG10($AB10/2/$Y10)</f>
        <v>151.01029995664</v>
      </c>
      <c r="AI10" s="52" t="n">
        <f aca="false">AF10/AB10</f>
        <v>0.00192544064088308</v>
      </c>
      <c r="AJ10" s="53" t="n">
        <f aca="false">AH10+10*LOG10(AB10)</f>
        <v>214.02059991328</v>
      </c>
    </row>
    <row r="11" customFormat="false" ht="12.75" hidden="false" customHeight="false" outlineLevel="0" collapsed="false">
      <c r="A11" s="50" t="n">
        <v>2000</v>
      </c>
      <c r="B11" s="43" t="n">
        <v>16.1</v>
      </c>
      <c r="C11" s="42" t="s">
        <v>111</v>
      </c>
      <c r="D11" s="42" t="s">
        <v>133</v>
      </c>
      <c r="E11" s="42" t="s">
        <v>1949</v>
      </c>
      <c r="F11" s="111" t="s">
        <v>1950</v>
      </c>
      <c r="G11" s="112" t="s">
        <v>1951</v>
      </c>
      <c r="H11" s="111" t="s">
        <v>1952</v>
      </c>
      <c r="I11" s="111" t="s">
        <v>1953</v>
      </c>
      <c r="J11" s="113" t="str">
        <f aca="false">IF(I11&lt;&gt;"?", HYPERLINK(CONCATENATE("https://doi.org/",I11)), "")</f>
        <v>https://doi.org/10.1109/VLSIC.2000.852892</v>
      </c>
      <c r="K11" s="45" t="s">
        <v>117</v>
      </c>
      <c r="L11" s="69"/>
      <c r="M11" s="69"/>
      <c r="N11" s="69"/>
      <c r="O11" s="65" t="s">
        <v>117</v>
      </c>
      <c r="P11" s="43" t="n">
        <v>0</v>
      </c>
      <c r="Q11" s="41"/>
      <c r="R11" s="48" t="n">
        <f aca="false">105000000/2</f>
        <v>52500000</v>
      </c>
      <c r="S11" s="41"/>
      <c r="T11" s="41" t="n">
        <v>68</v>
      </c>
      <c r="U11" s="41"/>
      <c r="V11" s="41"/>
      <c r="W11" s="41" t="n">
        <v>78</v>
      </c>
      <c r="X11" s="49" t="n">
        <f aca="false">+IF(ISNUMBER($S11),$S11,MIN($V11,$T11,$U11,$W11))</f>
        <v>68</v>
      </c>
      <c r="Y11" s="48" t="n">
        <v>0.85</v>
      </c>
      <c r="Z11" s="48" t="n">
        <f aca="false">105000000</f>
        <v>105000000</v>
      </c>
      <c r="AA11" s="50" t="n">
        <v>1</v>
      </c>
      <c r="AB11" s="48" t="n">
        <f aca="false">Z11/AA11</f>
        <v>105000000</v>
      </c>
      <c r="AC11" s="114"/>
      <c r="AD11" s="107" t="n">
        <f aca="false">Y11/AB11*1000000000000</f>
        <v>8095.2380952381</v>
      </c>
      <c r="AE11" s="49" t="str">
        <f aca="false">IF(ISNUMBER($Q11),$AD11*1000/2^(($Q11-1.76)/6.02), "")</f>
        <v/>
      </c>
      <c r="AF11" s="49" t="n">
        <f aca="false">$AD11*1000/2^(($X11-1.76)/6.02)</f>
        <v>3943.66099170605</v>
      </c>
      <c r="AG11" s="49" t="str">
        <f aca="false">IF(ISNUMBER($Q11), $Q11+10*LOG10($AB11/2/$Y11), "")</f>
        <v/>
      </c>
      <c r="AH11" s="49" t="n">
        <f aca="false">$X11+10*LOG10($AB11/2/$Y11)</f>
        <v>145.907403776917</v>
      </c>
      <c r="AI11" s="52" t="n">
        <f aca="false">AF11/AB11</f>
        <v>3.75586761114862E-005</v>
      </c>
      <c r="AJ11" s="53" t="n">
        <f aca="false">AH11+10*LOG10(AB11)</f>
        <v>226.119296767616</v>
      </c>
    </row>
    <row r="12" customFormat="false" ht="12.75" hidden="false" customHeight="false" outlineLevel="0" collapsed="false">
      <c r="A12" s="50" t="n">
        <v>2000</v>
      </c>
      <c r="B12" s="43" t="n">
        <v>16.2</v>
      </c>
      <c r="C12" s="42" t="s">
        <v>111</v>
      </c>
      <c r="D12" s="42" t="s">
        <v>118</v>
      </c>
      <c r="E12" s="42" t="n">
        <v>0.35</v>
      </c>
      <c r="F12" s="111" t="s">
        <v>1954</v>
      </c>
      <c r="G12" s="112" t="s">
        <v>1955</v>
      </c>
      <c r="H12" s="111" t="s">
        <v>1956</v>
      </c>
      <c r="I12" s="111" t="s">
        <v>1957</v>
      </c>
      <c r="J12" s="113" t="str">
        <f aca="false">IF(I12&lt;&gt;"?", HYPERLINK(CONCATENATE("https://doi.org/",I12)), "")</f>
        <v>https://doi.org/10.1109/VLSIC.2000.852893</v>
      </c>
      <c r="K12" s="45" t="s">
        <v>117</v>
      </c>
      <c r="L12" s="69"/>
      <c r="M12" s="69"/>
      <c r="N12" s="69"/>
      <c r="O12" s="65" t="s">
        <v>117</v>
      </c>
      <c r="P12" s="43" t="n">
        <v>0.8</v>
      </c>
      <c r="Q12" s="41"/>
      <c r="R12" s="48" t="n">
        <f aca="false">125000000/2</f>
        <v>62500000</v>
      </c>
      <c r="S12" s="41" t="n">
        <v>40.2</v>
      </c>
      <c r="T12" s="41"/>
      <c r="U12" s="41"/>
      <c r="V12" s="41"/>
      <c r="W12" s="41"/>
      <c r="X12" s="49" t="n">
        <f aca="false">+IF(ISNUMBER($S12),$S12,MIN($V12,$T12,$U12,$W12))</f>
        <v>40.2</v>
      </c>
      <c r="Y12" s="48" t="n">
        <v>0.11</v>
      </c>
      <c r="Z12" s="48" t="n">
        <f aca="false">125000000</f>
        <v>125000000</v>
      </c>
      <c r="AA12" s="50" t="n">
        <v>1</v>
      </c>
      <c r="AB12" s="48" t="n">
        <f aca="false">Z12/AA12</f>
        <v>125000000</v>
      </c>
      <c r="AC12" s="114"/>
      <c r="AD12" s="107" t="n">
        <f aca="false">Y12/AB12*1000000000000</f>
        <v>880</v>
      </c>
      <c r="AE12" s="49" t="str">
        <f aca="false">IF(ISNUMBER($Q12),$AD12*1000/2^(($Q12-1.76)/6.02), "")</f>
        <v/>
      </c>
      <c r="AF12" s="49" t="n">
        <f aca="false">$AD12*1000/2^(($X12-1.76)/6.02)</f>
        <v>10526.6731486108</v>
      </c>
      <c r="AG12" s="49" t="str">
        <f aca="false">IF(ISNUMBER($Q12), $Q12+10*LOG10($AB12/2/$Y12), "")</f>
        <v/>
      </c>
      <c r="AH12" s="49" t="n">
        <f aca="false">$X12+10*LOG10($AB12/2/$Y12)</f>
        <v>127.744873321858</v>
      </c>
      <c r="AI12" s="52" t="n">
        <f aca="false">AF12/AB12</f>
        <v>8.42133851888864E-005</v>
      </c>
      <c r="AJ12" s="53" t="n">
        <f aca="false">AH12+10*LOG10(AB12)</f>
        <v>208.713973451939</v>
      </c>
    </row>
    <row r="13" customFormat="false" ht="12.75" hidden="false" customHeight="false" outlineLevel="0" collapsed="false">
      <c r="A13" s="40" t="n">
        <v>2001</v>
      </c>
      <c r="B13" s="43" t="n">
        <v>19.2</v>
      </c>
      <c r="C13" s="42" t="s">
        <v>111</v>
      </c>
      <c r="D13" s="42" t="s">
        <v>118</v>
      </c>
      <c r="E13" s="42" t="n">
        <v>0.18</v>
      </c>
      <c r="F13" s="111" t="s">
        <v>1958</v>
      </c>
      <c r="G13" s="112" t="s">
        <v>1959</v>
      </c>
      <c r="H13" s="111" t="s">
        <v>1960</v>
      </c>
      <c r="I13" s="111" t="s">
        <v>1961</v>
      </c>
      <c r="J13" s="113" t="str">
        <f aca="false">IF(I13&lt;&gt;"?", HYPERLINK(CONCATENATE("https://doi.org/",I13)), "")</f>
        <v>https://doi.org/10.1109/VLSIC.2001.934241</v>
      </c>
      <c r="K13" s="45" t="s">
        <v>117</v>
      </c>
      <c r="L13" s="69" t="n">
        <v>1.8</v>
      </c>
      <c r="M13" s="69"/>
      <c r="N13" s="69"/>
      <c r="O13" s="65" t="s">
        <v>117</v>
      </c>
      <c r="P13" s="43" t="n">
        <v>0.96</v>
      </c>
      <c r="Q13" s="41"/>
      <c r="R13" s="48" t="n">
        <v>15000000</v>
      </c>
      <c r="S13" s="41" t="n">
        <v>45</v>
      </c>
      <c r="T13" s="41"/>
      <c r="U13" s="41"/>
      <c r="V13" s="41"/>
      <c r="W13" s="41"/>
      <c r="X13" s="49" t="n">
        <f aca="false">+IF(ISNUMBER($S13),$S13,MIN($V13,$T13,$U13,$W13))</f>
        <v>45</v>
      </c>
      <c r="Y13" s="48" t="n">
        <v>0.018</v>
      </c>
      <c r="Z13" s="48" t="n">
        <v>30000000</v>
      </c>
      <c r="AA13" s="50" t="n">
        <v>1</v>
      </c>
      <c r="AB13" s="48" t="n">
        <f aca="false">Z13/AA13</f>
        <v>30000000</v>
      </c>
      <c r="AC13" s="114"/>
      <c r="AD13" s="107" t="n">
        <f aca="false">Y13/AB13*1000000000000</f>
        <v>600</v>
      </c>
      <c r="AE13" s="49" t="str">
        <f aca="false">IF(ISNUMBER($Q13),$AD13*1000/2^(($Q13-1.76)/6.02), "")</f>
        <v/>
      </c>
      <c r="AF13" s="49" t="n">
        <f aca="false">$AD13*1000/2^(($X13-1.76)/6.02)</f>
        <v>4129.86447168553</v>
      </c>
      <c r="AG13" s="49" t="str">
        <f aca="false">IF(ISNUMBER($Q13), $Q13+10*LOG10($AB13/2/$Y13), "")</f>
        <v/>
      </c>
      <c r="AH13" s="49" t="n">
        <f aca="false">$X13+10*LOG10($AB13/2/$Y13)</f>
        <v>134.208187539524</v>
      </c>
      <c r="AI13" s="52" t="n">
        <f aca="false">AF13/AB13</f>
        <v>0.000137662149056184</v>
      </c>
      <c r="AJ13" s="53" t="n">
        <f aca="false">AH13+10*LOG10(AB13)</f>
        <v>208.97940008672</v>
      </c>
    </row>
    <row r="14" customFormat="false" ht="12.75" hidden="false" customHeight="false" outlineLevel="0" collapsed="false">
      <c r="A14" s="50" t="n">
        <v>2001</v>
      </c>
      <c r="B14" s="43" t="n">
        <v>19.3</v>
      </c>
      <c r="C14" s="42" t="s">
        <v>111</v>
      </c>
      <c r="D14" s="42" t="s">
        <v>133</v>
      </c>
      <c r="E14" s="42" t="n">
        <v>0.35</v>
      </c>
      <c r="F14" s="111" t="s">
        <v>1962</v>
      </c>
      <c r="G14" s="112" t="s">
        <v>1963</v>
      </c>
      <c r="H14" s="111" t="s">
        <v>1964</v>
      </c>
      <c r="I14" s="111" t="s">
        <v>1961</v>
      </c>
      <c r="J14" s="113" t="str">
        <f aca="false">IF(I14&lt;&gt;"?", HYPERLINK(CONCATENATE("https://doi.org/",I14)), "")</f>
        <v>https://doi.org/10.1109/VLSIC.2001.934241</v>
      </c>
      <c r="K14" s="45" t="s">
        <v>117</v>
      </c>
      <c r="L14" s="69"/>
      <c r="M14" s="69"/>
      <c r="N14" s="69"/>
      <c r="O14" s="65" t="s">
        <v>117</v>
      </c>
      <c r="P14" s="43" t="n">
        <v>0</v>
      </c>
      <c r="Q14" s="41"/>
      <c r="R14" s="48" t="n">
        <f aca="false">51000000/2</f>
        <v>25500000</v>
      </c>
      <c r="S14" s="41" t="n">
        <v>67</v>
      </c>
      <c r="T14" s="41"/>
      <c r="U14" s="41"/>
      <c r="V14" s="41" t="n">
        <v>75</v>
      </c>
      <c r="W14" s="41" t="n">
        <v>77</v>
      </c>
      <c r="X14" s="49" t="n">
        <f aca="false">+IF(ISNUMBER($S14),$S14,MIN($V14,$T14,$U14,$W14))</f>
        <v>67</v>
      </c>
      <c r="Y14" s="48" t="n">
        <f aca="false">(435+165)*0.001</f>
        <v>0.6</v>
      </c>
      <c r="Z14" s="48" t="n">
        <f aca="false">51000000</f>
        <v>51000000</v>
      </c>
      <c r="AA14" s="50" t="n">
        <v>1</v>
      </c>
      <c r="AB14" s="48" t="n">
        <f aca="false">Z14/AA14</f>
        <v>51000000</v>
      </c>
      <c r="AC14" s="114"/>
      <c r="AD14" s="107" t="n">
        <f aca="false">Y14/AB14*1000000000000</f>
        <v>11764.7058823529</v>
      </c>
      <c r="AE14" s="49" t="str">
        <f aca="false">IF(ISNUMBER($Q14),$AD14*1000/2^(($Q14-1.76)/6.02), "")</f>
        <v/>
      </c>
      <c r="AF14" s="49" t="n">
        <f aca="false">$AD14*1000/2^(($X14-1.76)/6.02)</f>
        <v>6430.66676242157</v>
      </c>
      <c r="AG14" s="49" t="str">
        <f aca="false">IF(ISNUMBER($Q14), $Q14+10*LOG10($AB14/2/$Y14), "")</f>
        <v/>
      </c>
      <c r="AH14" s="49" t="n">
        <f aca="false">$X14+10*LOG10($AB14/2/$Y14)</f>
        <v>143.283889300503</v>
      </c>
      <c r="AI14" s="52" t="n">
        <f aca="false">AF14/AB14</f>
        <v>0.000126091505145521</v>
      </c>
      <c r="AJ14" s="53" t="n">
        <f aca="false">AH14+10*LOG10(AB14)</f>
        <v>220.359591061482</v>
      </c>
    </row>
    <row r="15" customFormat="false" ht="12.75" hidden="false" customHeight="false" outlineLevel="0" collapsed="false">
      <c r="A15" s="40" t="n">
        <v>2002</v>
      </c>
      <c r="B15" s="43" t="n">
        <v>23.1</v>
      </c>
      <c r="C15" s="42" t="s">
        <v>111</v>
      </c>
      <c r="D15" s="42" t="s">
        <v>208</v>
      </c>
      <c r="E15" s="42" t="n">
        <v>0.18</v>
      </c>
      <c r="F15" s="111" t="s">
        <v>1965</v>
      </c>
      <c r="G15" s="112" t="s">
        <v>1966</v>
      </c>
      <c r="H15" s="111" t="s">
        <v>1967</v>
      </c>
      <c r="I15" s="111" t="s">
        <v>1968</v>
      </c>
      <c r="J15" s="113" t="str">
        <f aca="false">IF(I15&lt;&gt;"?", HYPERLINK(CONCATENATE("https://doi.org/",I15)), "")</f>
        <v>https://doi.org/10.1109/VLSIC.2002.1015116</v>
      </c>
      <c r="K15" s="45" t="s">
        <v>117</v>
      </c>
      <c r="L15" s="69" t="n">
        <v>2.4</v>
      </c>
      <c r="M15" s="69" t="n">
        <v>1.8</v>
      </c>
      <c r="N15" s="69"/>
      <c r="O15" s="65" t="s">
        <v>117</v>
      </c>
      <c r="P15" s="43" t="n">
        <v>0.2688</v>
      </c>
      <c r="Q15" s="41"/>
      <c r="R15" s="48" t="n">
        <v>200000000</v>
      </c>
      <c r="S15" s="41" t="n">
        <v>31</v>
      </c>
      <c r="T15" s="41" t="n">
        <v>35</v>
      </c>
      <c r="U15" s="41"/>
      <c r="V15" s="41"/>
      <c r="W15" s="41"/>
      <c r="X15" s="49" t="n">
        <f aca="false">+IF(ISNUMBER($S15),$S15,MIN($V15,$T15,$U15,$W15))</f>
        <v>31</v>
      </c>
      <c r="Y15" s="48" t="n">
        <v>0.07</v>
      </c>
      <c r="Z15" s="48" t="n">
        <v>400000000</v>
      </c>
      <c r="AA15" s="50" t="n">
        <v>1</v>
      </c>
      <c r="AB15" s="48" t="n">
        <f aca="false">Z15/AA15</f>
        <v>400000000</v>
      </c>
      <c r="AC15" s="114"/>
      <c r="AD15" s="107" t="n">
        <f aca="false">Y15/AB15*1000000000000</f>
        <v>175</v>
      </c>
      <c r="AE15" s="49" t="str">
        <f aca="false">IF(ISNUMBER($Q15),$AD15*1000/2^(($Q15-1.76)/6.02), "")</f>
        <v/>
      </c>
      <c r="AF15" s="49" t="n">
        <f aca="false">$AD15*1000/2^(($X15-1.76)/6.02)</f>
        <v>6037.98952790366</v>
      </c>
      <c r="AG15" s="49" t="str">
        <f aca="false">IF(ISNUMBER($Q15), $Q15+10*LOG10($AB15/2/$Y15), "")</f>
        <v/>
      </c>
      <c r="AH15" s="49" t="n">
        <f aca="false">$X15+10*LOG10($AB15/2/$Y15)</f>
        <v>125.559319556497</v>
      </c>
      <c r="AI15" s="52" t="n">
        <f aca="false">AF15/AB15</f>
        <v>1.50949738197592E-005</v>
      </c>
      <c r="AJ15" s="53" t="n">
        <f aca="false">AH15+10*LOG10(AB15)</f>
        <v>211.579919469777</v>
      </c>
    </row>
    <row r="16" customFormat="false" ht="12.75" hidden="false" customHeight="false" outlineLevel="0" collapsed="false">
      <c r="A16" s="50" t="n">
        <v>2002</v>
      </c>
      <c r="B16" s="43" t="n">
        <v>23.2</v>
      </c>
      <c r="C16" s="42" t="s">
        <v>111</v>
      </c>
      <c r="D16" s="42" t="s">
        <v>118</v>
      </c>
      <c r="E16" s="42" t="n">
        <v>0.12</v>
      </c>
      <c r="F16" s="111" t="s">
        <v>1969</v>
      </c>
      <c r="G16" s="112" t="s">
        <v>1970</v>
      </c>
      <c r="H16" s="111" t="s">
        <v>1971</v>
      </c>
      <c r="I16" s="111" t="s">
        <v>1972</v>
      </c>
      <c r="J16" s="113" t="str">
        <f aca="false">IF(I16&lt;&gt;"?", HYPERLINK(CONCATENATE("https://doi.org/",I16)), "")</f>
        <v>https://doi.org/10.1109/VLSIC.2002.1015117</v>
      </c>
      <c r="K16" s="45" t="s">
        <v>117</v>
      </c>
      <c r="L16" s="69" t="n">
        <v>1.2</v>
      </c>
      <c r="M16" s="69"/>
      <c r="N16" s="69"/>
      <c r="O16" s="65" t="s">
        <v>117</v>
      </c>
      <c r="P16" s="43" t="n">
        <v>0.32</v>
      </c>
      <c r="Q16" s="41"/>
      <c r="R16" s="48" t="n">
        <v>50000000</v>
      </c>
      <c r="S16" s="41" t="n">
        <f aca="false">8.83*6.02+1.76</f>
        <v>54.9166</v>
      </c>
      <c r="T16" s="41"/>
      <c r="U16" s="41"/>
      <c r="V16" s="41"/>
      <c r="W16" s="41"/>
      <c r="X16" s="49" t="n">
        <f aca="false">+IF(ISNUMBER($S16),$S16,MIN($V16,$T16,$U16,$W16))</f>
        <v>54.9166</v>
      </c>
      <c r="Y16" s="48" t="n">
        <v>0.18</v>
      </c>
      <c r="Z16" s="48" t="n">
        <v>100000000</v>
      </c>
      <c r="AA16" s="50" t="n">
        <v>1</v>
      </c>
      <c r="AB16" s="48" t="n">
        <f aca="false">Z16/AA16</f>
        <v>100000000</v>
      </c>
      <c r="AC16" s="114"/>
      <c r="AD16" s="107" t="n">
        <f aca="false">Y16/AB16*1000000000000</f>
        <v>1800</v>
      </c>
      <c r="AE16" s="49" t="str">
        <f aca="false">IF(ISNUMBER($Q16),$AD16*1000/2^(($Q16-1.76)/6.02), "")</f>
        <v/>
      </c>
      <c r="AF16" s="49" t="n">
        <f aca="false">$AD16*1000/2^(($X16-1.76)/6.02)</f>
        <v>3955.2837352341</v>
      </c>
      <c r="AG16" s="49" t="str">
        <f aca="false">IF(ISNUMBER($Q16), $Q16+10*LOG10($AB16/2/$Y16), "")</f>
        <v/>
      </c>
      <c r="AH16" s="49" t="n">
        <f aca="false">$X16+10*LOG10($AB16/2/$Y16)</f>
        <v>139.353574992327</v>
      </c>
      <c r="AI16" s="52" t="n">
        <f aca="false">AF16/AB16</f>
        <v>3.95528373523409E-005</v>
      </c>
      <c r="AJ16" s="53" t="n">
        <f aca="false">AH16+10*LOG10(AB16)</f>
        <v>219.353574992327</v>
      </c>
    </row>
    <row r="17" customFormat="false" ht="12.75" hidden="false" customHeight="false" outlineLevel="0" collapsed="false">
      <c r="A17" s="40" t="n">
        <v>2003</v>
      </c>
      <c r="B17" s="43" t="n">
        <v>6.1</v>
      </c>
      <c r="C17" s="42" t="s">
        <v>111</v>
      </c>
      <c r="D17" s="42" t="s">
        <v>133</v>
      </c>
      <c r="E17" s="42" t="n">
        <v>0.18</v>
      </c>
      <c r="F17" s="111" t="s">
        <v>1973</v>
      </c>
      <c r="G17" s="112" t="s">
        <v>1974</v>
      </c>
      <c r="H17" s="111" t="s">
        <v>1975</v>
      </c>
      <c r="I17" s="111" t="s">
        <v>1976</v>
      </c>
      <c r="J17" s="113" t="str">
        <f aca="false">IF(I17&lt;&gt;"?", HYPERLINK(CONCATENATE("https://doi.org/",I17)), "")</f>
        <v>https://doi.org/10.1109/VLSIC.2003.1221164</v>
      </c>
      <c r="K17" s="45" t="s">
        <v>1977</v>
      </c>
      <c r="L17" s="69"/>
      <c r="M17" s="69"/>
      <c r="N17" s="69"/>
      <c r="O17" s="65" t="s">
        <v>117</v>
      </c>
      <c r="P17" s="43" t="n">
        <v>1.44</v>
      </c>
      <c r="Q17" s="41"/>
      <c r="R17" s="48" t="n">
        <v>500000</v>
      </c>
      <c r="S17" s="41" t="n">
        <v>55</v>
      </c>
      <c r="T17" s="41"/>
      <c r="U17" s="41"/>
      <c r="V17" s="41"/>
      <c r="W17" s="41" t="n">
        <v>75</v>
      </c>
      <c r="X17" s="49" t="n">
        <f aca="false">+IF(ISNUMBER($S17),$S17,MIN($V17,$T17,$U17,$W17))</f>
        <v>55</v>
      </c>
      <c r="Y17" s="48" t="n">
        <v>0.009</v>
      </c>
      <c r="Z17" s="48" t="n">
        <v>1000000</v>
      </c>
      <c r="AA17" s="50" t="n">
        <v>1</v>
      </c>
      <c r="AB17" s="48" t="n">
        <f aca="false">Z17/AA17</f>
        <v>1000000</v>
      </c>
      <c r="AC17" s="114"/>
      <c r="AD17" s="107" t="n">
        <f aca="false">Y17/AB17*1000000000000</f>
        <v>9000</v>
      </c>
      <c r="AE17" s="49" t="str">
        <f aca="false">IF(ISNUMBER($Q17),$AD17*1000/2^(($Q17-1.76)/6.02), "")</f>
        <v/>
      </c>
      <c r="AF17" s="49" t="n">
        <f aca="false">$AD17*1000/2^(($X17-1.76)/6.02)</f>
        <v>19587.4198403654</v>
      </c>
      <c r="AG17" s="49" t="str">
        <f aca="false">IF(ISNUMBER($Q17), $Q17+10*LOG10($AB17/2/$Y17), "")</f>
        <v/>
      </c>
      <c r="AH17" s="49" t="n">
        <f aca="false">$X17+10*LOG10($AB17/2/$Y17)</f>
        <v>132.447274948967</v>
      </c>
      <c r="AI17" s="52" t="n">
        <f aca="false">AF17/AB17</f>
        <v>0.0195874198403653</v>
      </c>
      <c r="AJ17" s="53" t="n">
        <f aca="false">AH17+10*LOG10(AB17)</f>
        <v>192.447274948967</v>
      </c>
    </row>
    <row r="18" customFormat="false" ht="12.75" hidden="false" customHeight="false" outlineLevel="0" collapsed="false">
      <c r="A18" s="50" t="n">
        <v>2003</v>
      </c>
      <c r="B18" s="43" t="n">
        <v>6.2</v>
      </c>
      <c r="C18" s="42" t="s">
        <v>139</v>
      </c>
      <c r="D18" s="42" t="s">
        <v>145</v>
      </c>
      <c r="E18" s="42" t="n">
        <v>0.35</v>
      </c>
      <c r="F18" s="111" t="s">
        <v>1978</v>
      </c>
      <c r="G18" s="112" t="s">
        <v>1979</v>
      </c>
      <c r="H18" s="111" t="s">
        <v>1980</v>
      </c>
      <c r="I18" s="111" t="s">
        <v>1981</v>
      </c>
      <c r="J18" s="113" t="str">
        <f aca="false">IF(I18&lt;&gt;"?", HYPERLINK(CONCATENATE("https://doi.org/",I18)), "")</f>
        <v>https://doi.org/10.1109/VLSIC.2003.1221165</v>
      </c>
      <c r="K18" s="45" t="s">
        <v>117</v>
      </c>
      <c r="L18" s="69"/>
      <c r="M18" s="69"/>
      <c r="N18" s="69"/>
      <c r="O18" s="65" t="s">
        <v>117</v>
      </c>
      <c r="P18" s="43" t="n">
        <v>6.25</v>
      </c>
      <c r="Q18" s="41"/>
      <c r="R18" s="48" t="n">
        <v>500000</v>
      </c>
      <c r="S18" s="41"/>
      <c r="T18" s="41" t="n">
        <v>85.7</v>
      </c>
      <c r="U18" s="41" t="n">
        <v>87</v>
      </c>
      <c r="V18" s="41"/>
      <c r="W18" s="41"/>
      <c r="X18" s="49" t="n">
        <f aca="false">+IF(ISNUMBER($S18),$S18,MIN($V18,$T18,$U18,$W18))</f>
        <v>85.7</v>
      </c>
      <c r="Y18" s="48" t="n">
        <v>0.15</v>
      </c>
      <c r="Z18" s="48" t="n">
        <v>1000000</v>
      </c>
      <c r="AA18" s="50" t="n">
        <v>1</v>
      </c>
      <c r="AB18" s="48" t="n">
        <f aca="false">Z18/AA18</f>
        <v>1000000</v>
      </c>
      <c r="AC18" s="114"/>
      <c r="AD18" s="107" t="n">
        <f aca="false">Y18/AB18*1000000000000</f>
        <v>150000</v>
      </c>
      <c r="AE18" s="49" t="str">
        <f aca="false">IF(ISNUMBER($Q18),$AD18*1000/2^(($Q18-1.76)/6.02), "")</f>
        <v/>
      </c>
      <c r="AF18" s="49" t="n">
        <f aca="false">$AD18*1000/2^(($X18-1.76)/6.02)</f>
        <v>9520.79061021184</v>
      </c>
      <c r="AG18" s="49" t="str">
        <f aca="false">IF(ISNUMBER($Q18), $Q18+10*LOG10($AB18/2/$Y18), "")</f>
        <v/>
      </c>
      <c r="AH18" s="49" t="n">
        <f aca="false">$X18+10*LOG10($AB18/2/$Y18)</f>
        <v>150.928787452803</v>
      </c>
      <c r="AI18" s="52" t="n">
        <f aca="false">AF18/AB18</f>
        <v>0.00952079061021184</v>
      </c>
      <c r="AJ18" s="53" t="n">
        <f aca="false">AH18+10*LOG10(AB18)</f>
        <v>210.928787452803</v>
      </c>
    </row>
    <row r="19" customFormat="false" ht="12.75" hidden="false" customHeight="false" outlineLevel="0" collapsed="false">
      <c r="A19" s="50" t="n">
        <v>2003</v>
      </c>
      <c r="B19" s="43" t="n">
        <v>6.3</v>
      </c>
      <c r="C19" s="42" t="s">
        <v>139</v>
      </c>
      <c r="D19" s="42" t="s">
        <v>163</v>
      </c>
      <c r="E19" s="42" t="n">
        <v>0.25</v>
      </c>
      <c r="F19" s="111" t="s">
        <v>1982</v>
      </c>
      <c r="G19" s="112" t="s">
        <v>1983</v>
      </c>
      <c r="H19" s="111" t="s">
        <v>1984</v>
      </c>
      <c r="I19" s="111" t="s">
        <v>1985</v>
      </c>
      <c r="J19" s="113" t="str">
        <f aca="false">IF(I19&lt;&gt;"?", HYPERLINK(CONCATENATE("https://doi.org/",I19)), "")</f>
        <v>https://doi.org/10.1109/VLSIC.2003.1221166</v>
      </c>
      <c r="K19" s="45" t="s">
        <v>117</v>
      </c>
      <c r="L19" s="69" t="n">
        <v>2</v>
      </c>
      <c r="M19" s="69"/>
      <c r="N19" s="69"/>
      <c r="O19" s="65" t="s">
        <v>117</v>
      </c>
      <c r="P19" s="43" t="n">
        <v>0.3894</v>
      </c>
      <c r="Q19" s="41"/>
      <c r="R19" s="48" t="n">
        <v>270000</v>
      </c>
      <c r="S19" s="41" t="n">
        <v>78.4</v>
      </c>
      <c r="T19" s="41"/>
      <c r="U19" s="41" t="n">
        <v>82</v>
      </c>
      <c r="V19" s="41"/>
      <c r="W19" s="41"/>
      <c r="X19" s="49" t="n">
        <f aca="false">+IF(ISNUMBER($S19),$S19,MIN($V19,$T19,$U19,$W19))</f>
        <v>78.4</v>
      </c>
      <c r="Y19" s="48" t="n">
        <v>0.0046</v>
      </c>
      <c r="Z19" s="48" t="n">
        <v>13000000</v>
      </c>
      <c r="AA19" s="50" t="n">
        <v>24.0740740740741</v>
      </c>
      <c r="AB19" s="48" t="n">
        <f aca="false">Z19/AA19</f>
        <v>540000</v>
      </c>
      <c r="AC19" s="114" t="n">
        <v>100000</v>
      </c>
      <c r="AD19" s="107" t="n">
        <f aca="false">Y19/AB19*1000000000000</f>
        <v>8518.51851851852</v>
      </c>
      <c r="AE19" s="49" t="str">
        <f aca="false">IF(ISNUMBER($Q19),$AD19*1000/2^(($Q19-1.76)/6.02), "")</f>
        <v/>
      </c>
      <c r="AF19" s="49" t="n">
        <f aca="false">$AD19*1000/2^(($X19-1.76)/6.02)</f>
        <v>1253.08981516337</v>
      </c>
      <c r="AG19" s="49" t="str">
        <f aca="false">IF(ISNUMBER($Q19), $Q19+10*LOG10($AB19/2/$Y19), "")</f>
        <v/>
      </c>
      <c r="AH19" s="49" t="n">
        <f aca="false">$X19+10*LOG10($AB19/2/$Y19)</f>
        <v>156.086059324774</v>
      </c>
      <c r="AI19" s="52" t="n">
        <f aca="false">AF19/AB19</f>
        <v>0.00232053669474698</v>
      </c>
      <c r="AJ19" s="53" t="n">
        <f aca="false">AH19+10*LOG10(AB19)</f>
        <v>213.409996923004</v>
      </c>
    </row>
    <row r="20" customFormat="false" ht="12.75" hidden="false" customHeight="false" outlineLevel="0" collapsed="false">
      <c r="A20" s="40" t="n">
        <v>2004</v>
      </c>
      <c r="B20" s="43" t="n">
        <v>6.1</v>
      </c>
      <c r="C20" s="42" t="s">
        <v>111</v>
      </c>
      <c r="D20" s="42" t="s">
        <v>1986</v>
      </c>
      <c r="E20" s="42" t="n">
        <v>0.13</v>
      </c>
      <c r="F20" s="111" t="s">
        <v>1987</v>
      </c>
      <c r="G20" s="112" t="s">
        <v>1988</v>
      </c>
      <c r="H20" s="111" t="s">
        <v>1989</v>
      </c>
      <c r="I20" s="111" t="s">
        <v>1990</v>
      </c>
      <c r="J20" s="113" t="str">
        <f aca="false">IF(I20&lt;&gt;"?", HYPERLINK(CONCATENATE("https://doi.org/",I20)), "")</f>
        <v>https://doi.org/10.1109/VLSIC.2004.1346509</v>
      </c>
      <c r="K20" s="45" t="s">
        <v>117</v>
      </c>
      <c r="L20" s="69"/>
      <c r="M20" s="69"/>
      <c r="N20" s="69"/>
      <c r="O20" s="65" t="s">
        <v>117</v>
      </c>
      <c r="P20" s="43" t="n">
        <v>0.5</v>
      </c>
      <c r="Q20" s="41"/>
      <c r="R20" s="48" t="n">
        <f aca="false">500000/2</f>
        <v>250000</v>
      </c>
      <c r="S20" s="41" t="n">
        <v>77.4</v>
      </c>
      <c r="T20" s="41"/>
      <c r="U20" s="41"/>
      <c r="V20" s="41" t="n">
        <v>90.2</v>
      </c>
      <c r="W20" s="41"/>
      <c r="X20" s="49" t="n">
        <f aca="false">+IF(ISNUMBER($S20),$S20,MIN($V20,$T20,$U20,$W20))</f>
        <v>77.4</v>
      </c>
      <c r="Y20" s="48" t="n">
        <v>0.006</v>
      </c>
      <c r="Z20" s="48" t="n">
        <f aca="false">500000</f>
        <v>500000</v>
      </c>
      <c r="AA20" s="50" t="n">
        <v>1</v>
      </c>
      <c r="AB20" s="48" t="n">
        <f aca="false">Z20/AA20</f>
        <v>500000</v>
      </c>
      <c r="AC20" s="114"/>
      <c r="AD20" s="107" t="n">
        <f aca="false">Y20/AB20*1000000000000</f>
        <v>12000</v>
      </c>
      <c r="AE20" s="49" t="str">
        <f aca="false">IF(ISNUMBER($Q20),$AD20*1000/2^(($Q20-1.76)/6.02), "")</f>
        <v/>
      </c>
      <c r="AF20" s="49" t="n">
        <f aca="false">$AD20*1000/2^(($X20-1.76)/6.02)</f>
        <v>1980.63457935033</v>
      </c>
      <c r="AG20" s="49" t="str">
        <f aca="false">IF(ISNUMBER($Q20), $Q20+10*LOG10($AB20/2/$Y20), "")</f>
        <v/>
      </c>
      <c r="AH20" s="49" t="n">
        <f aca="false">$X20+10*LOG10($AB20/2/$Y20)</f>
        <v>153.597887582884</v>
      </c>
      <c r="AI20" s="52" t="n">
        <f aca="false">AF20/AB20</f>
        <v>0.00396126915870066</v>
      </c>
      <c r="AJ20" s="53" t="n">
        <f aca="false">AH20+10*LOG10(AB20)</f>
        <v>210.587587626244</v>
      </c>
    </row>
    <row r="21" customFormat="false" ht="12.75" hidden="false" customHeight="false" outlineLevel="0" collapsed="false">
      <c r="A21" s="50" t="n">
        <v>2004</v>
      </c>
      <c r="B21" s="43" t="n">
        <v>6.2</v>
      </c>
      <c r="C21" s="42" t="s">
        <v>139</v>
      </c>
      <c r="D21" s="42" t="s">
        <v>145</v>
      </c>
      <c r="E21" s="42" t="n">
        <v>0.18</v>
      </c>
      <c r="F21" s="111" t="s">
        <v>1991</v>
      </c>
      <c r="G21" s="112" t="s">
        <v>1992</v>
      </c>
      <c r="H21" s="111" t="s">
        <v>1993</v>
      </c>
      <c r="I21" s="111" t="s">
        <v>1994</v>
      </c>
      <c r="J21" s="113" t="str">
        <f aca="false">IF(I21&lt;&gt;"?", HYPERLINK(CONCATENATE("https://doi.org/",I21)), "")</f>
        <v>https://doi.org/10.1109/VLSIC.2004.1346510</v>
      </c>
      <c r="K21" s="45" t="s">
        <v>1995</v>
      </c>
      <c r="L21" s="69"/>
      <c r="M21" s="69"/>
      <c r="N21" s="69"/>
      <c r="O21" s="65" t="s">
        <v>117</v>
      </c>
      <c r="P21" s="43" t="n">
        <v>0.7</v>
      </c>
      <c r="Q21" s="41"/>
      <c r="R21" s="48" t="n">
        <v>200000</v>
      </c>
      <c r="S21" s="41"/>
      <c r="T21" s="41"/>
      <c r="U21" s="41" t="n">
        <v>76</v>
      </c>
      <c r="V21" s="41"/>
      <c r="W21" s="41"/>
      <c r="X21" s="49" t="n">
        <f aca="false">+IF(ISNUMBER($S21),$S21,MIN($V21,$T21,$U21,$W21))</f>
        <v>76</v>
      </c>
      <c r="Y21" s="48" t="n">
        <v>0.004</v>
      </c>
      <c r="Z21" s="48" t="n">
        <v>3200000</v>
      </c>
      <c r="AA21" s="50" t="n">
        <v>8</v>
      </c>
      <c r="AB21" s="48" t="n">
        <f aca="false">Z21/AA21</f>
        <v>400000</v>
      </c>
      <c r="AC21" s="114"/>
      <c r="AD21" s="107" t="n">
        <f aca="false">Y21/AB21*1000000000000</f>
        <v>10000</v>
      </c>
      <c r="AE21" s="49" t="str">
        <f aca="false">IF(ISNUMBER($Q21),$AD21*1000/2^(($Q21-1.76)/6.02), "")</f>
        <v/>
      </c>
      <c r="AF21" s="49" t="n">
        <f aca="false">$AD21*1000/2^(($X21-1.76)/6.02)</f>
        <v>1939.23341857672</v>
      </c>
      <c r="AG21" s="49" t="str">
        <f aca="false">IF(ISNUMBER($Q21), $Q21+10*LOG10($AB21/2/$Y21), "")</f>
        <v/>
      </c>
      <c r="AH21" s="49" t="n">
        <f aca="false">$X21+10*LOG10($AB21/2/$Y21)</f>
        <v>152.98970004336</v>
      </c>
      <c r="AI21" s="52" t="n">
        <f aca="false">AF21/AB21</f>
        <v>0.0048480835464418</v>
      </c>
      <c r="AJ21" s="53" t="n">
        <f aca="false">AH21+10*LOG10(AB21)</f>
        <v>209.01029995664</v>
      </c>
    </row>
    <row r="22" customFormat="false" ht="12.75" hidden="false" customHeight="false" outlineLevel="0" collapsed="false">
      <c r="A22" s="50" t="n">
        <v>2004</v>
      </c>
      <c r="B22" s="43" t="n">
        <v>6.2</v>
      </c>
      <c r="C22" s="42" t="s">
        <v>139</v>
      </c>
      <c r="D22" s="42" t="s">
        <v>145</v>
      </c>
      <c r="E22" s="42" t="n">
        <v>0.18</v>
      </c>
      <c r="F22" s="45" t="s">
        <v>1991</v>
      </c>
      <c r="G22" s="45" t="s">
        <v>1992</v>
      </c>
      <c r="H22" s="45" t="str">
        <f aca="false">+IF(OR(ISBLANK(H21),ISERROR(H21)),"",H21)</f>
        <v>Jae Hoon Shim   Beomsup Kim</v>
      </c>
      <c r="I22" s="111" t="s">
        <v>1994</v>
      </c>
      <c r="J22" s="113" t="str">
        <f aca="false">IF(I22&lt;&gt;"?", HYPERLINK(CONCATENATE("https://doi.org/",I22)), "")</f>
        <v>https://doi.org/10.1109/VLSIC.2004.1346510</v>
      </c>
      <c r="K22" s="45" t="s">
        <v>1996</v>
      </c>
      <c r="L22" s="69"/>
      <c r="M22" s="69"/>
      <c r="N22" s="69"/>
      <c r="O22" s="65" t="s">
        <v>117</v>
      </c>
      <c r="P22" s="43" t="n">
        <v>0.7</v>
      </c>
      <c r="Q22" s="41"/>
      <c r="R22" s="48" t="n">
        <v>5000000</v>
      </c>
      <c r="S22" s="41"/>
      <c r="T22" s="41"/>
      <c r="U22" s="41" t="n">
        <v>55</v>
      </c>
      <c r="V22" s="41"/>
      <c r="W22" s="41"/>
      <c r="X22" s="49" t="n">
        <f aca="false">+IF(ISNUMBER($S22),$S22,MIN($V22,$T22,$U22,$W22))</f>
        <v>55</v>
      </c>
      <c r="Y22" s="48" t="n">
        <v>0.004</v>
      </c>
      <c r="Z22" s="48" t="n">
        <v>40000000</v>
      </c>
      <c r="AA22" s="50" t="n">
        <v>4</v>
      </c>
      <c r="AB22" s="48" t="n">
        <f aca="false">Z22/AA22</f>
        <v>10000000</v>
      </c>
      <c r="AC22" s="114"/>
      <c r="AD22" s="107" t="n">
        <f aca="false">Y22/AB22*1000000000000</f>
        <v>400</v>
      </c>
      <c r="AE22" s="49" t="str">
        <f aca="false">IF(ISNUMBER($Q22),$AD22*1000/2^(($Q22-1.76)/6.02), "")</f>
        <v/>
      </c>
      <c r="AF22" s="49" t="n">
        <f aca="false">$AD22*1000/2^(($X22-1.76)/6.02)</f>
        <v>870.551992905127</v>
      </c>
      <c r="AG22" s="49" t="str">
        <f aca="false">IF(ISNUMBER($Q22), $Q22+10*LOG10($AB22/2/$Y22), "")</f>
        <v/>
      </c>
      <c r="AH22" s="49" t="n">
        <f aca="false">$X22+10*LOG10($AB22/2/$Y22)</f>
        <v>145.969100130081</v>
      </c>
      <c r="AI22" s="52" t="n">
        <f aca="false">AF22/AB22</f>
        <v>8.70551992905127E-005</v>
      </c>
      <c r="AJ22" s="53" t="n">
        <f aca="false">AH22+10*LOG10(AB22)</f>
        <v>215.969100130081</v>
      </c>
    </row>
    <row r="23" customFormat="false" ht="12.75" hidden="false" customHeight="false" outlineLevel="0" collapsed="false">
      <c r="A23" s="50" t="n">
        <v>2004</v>
      </c>
      <c r="B23" s="43" t="n">
        <v>6.3</v>
      </c>
      <c r="C23" s="42" t="s">
        <v>139</v>
      </c>
      <c r="D23" s="42" t="s">
        <v>173</v>
      </c>
      <c r="E23" s="42" t="n">
        <v>0.13</v>
      </c>
      <c r="F23" s="111" t="s">
        <v>1997</v>
      </c>
      <c r="G23" s="112" t="s">
        <v>1998</v>
      </c>
      <c r="H23" s="111" t="s">
        <v>1999</v>
      </c>
      <c r="I23" s="111" t="s">
        <v>2000</v>
      </c>
      <c r="J23" s="113" t="str">
        <f aca="false">IF(I23&lt;&gt;"?", HYPERLINK(CONCATENATE("https://doi.org/",I23)), "")</f>
        <v>https://doi.org/10.1109/VLSIC.2004.1346511</v>
      </c>
      <c r="K23" s="45" t="s">
        <v>117</v>
      </c>
      <c r="L23" s="69" t="n">
        <v>1.5</v>
      </c>
      <c r="M23" s="69"/>
      <c r="N23" s="69"/>
      <c r="O23" s="65" t="s">
        <v>117</v>
      </c>
      <c r="P23" s="43" t="n">
        <v>0</v>
      </c>
      <c r="Q23" s="41"/>
      <c r="R23" s="48" t="n">
        <v>12000000</v>
      </c>
      <c r="S23" s="41" t="n">
        <v>61</v>
      </c>
      <c r="T23" s="41" t="n">
        <v>64</v>
      </c>
      <c r="U23" s="41" t="n">
        <v>76</v>
      </c>
      <c r="V23" s="41"/>
      <c r="W23" s="41"/>
      <c r="X23" s="49" t="n">
        <f aca="false">+IF(ISNUMBER($S23),$S23,MIN($V23,$T23,$U23,$W23))</f>
        <v>61</v>
      </c>
      <c r="Y23" s="48" t="n">
        <v>0.07</v>
      </c>
      <c r="Z23" s="48" t="n">
        <v>400000000</v>
      </c>
      <c r="AA23" s="50" t="n">
        <v>16.6666666666667</v>
      </c>
      <c r="AB23" s="48" t="n">
        <f aca="false">Z23/AA23</f>
        <v>24000000</v>
      </c>
      <c r="AC23" s="114"/>
      <c r="AD23" s="107" t="n">
        <f aca="false">Y23/AB23*1000000000000</f>
        <v>2916.66666666667</v>
      </c>
      <c r="AE23" s="49" t="str">
        <f aca="false">IF(ISNUMBER($Q23),$AD23*1000/2^(($Q23-1.76)/6.02), "")</f>
        <v/>
      </c>
      <c r="AF23" s="49" t="n">
        <f aca="false">$AD23*1000/2^(($X23-1.76)/6.02)</f>
        <v>3181.20477035393</v>
      </c>
      <c r="AG23" s="49" t="str">
        <f aca="false">IF(ISNUMBER($Q23), $Q23+10*LOG10($AB23/2/$Y23), "")</f>
        <v/>
      </c>
      <c r="AH23" s="49" t="n">
        <f aca="false">$X23+10*LOG10($AB23/2/$Y23)</f>
        <v>143.340832060334</v>
      </c>
      <c r="AI23" s="52" t="n">
        <f aca="false">AF23/AB23</f>
        <v>0.000132550198764747</v>
      </c>
      <c r="AJ23" s="53" t="n">
        <f aca="false">AH23+10*LOG10(AB23)</f>
        <v>217.14294447745</v>
      </c>
    </row>
    <row r="24" customFormat="false" ht="12.75" hidden="false" customHeight="false" outlineLevel="0" collapsed="false">
      <c r="A24" s="50" t="n">
        <v>2004</v>
      </c>
      <c r="B24" s="43" t="n">
        <v>6.4</v>
      </c>
      <c r="C24" s="42" t="s">
        <v>139</v>
      </c>
      <c r="D24" s="42" t="s">
        <v>156</v>
      </c>
      <c r="E24" s="42" t="n">
        <v>0.35</v>
      </c>
      <c r="F24" s="111" t="s">
        <v>2001</v>
      </c>
      <c r="G24" s="112" t="s">
        <v>2002</v>
      </c>
      <c r="H24" s="111" t="s">
        <v>2003</v>
      </c>
      <c r="I24" s="111" t="s">
        <v>2004</v>
      </c>
      <c r="J24" s="113" t="str">
        <f aca="false">IF(I24&lt;&gt;"?", HYPERLINK(CONCATENATE("https://doi.org/",I24)), "")</f>
        <v>https://doi.org/10.1109/VLSIC.2004.1346512</v>
      </c>
      <c r="K24" s="45" t="s">
        <v>117</v>
      </c>
      <c r="L24" s="69"/>
      <c r="M24" s="69"/>
      <c r="N24" s="69"/>
      <c r="O24" s="65" t="s">
        <v>117</v>
      </c>
      <c r="P24" s="43" t="n">
        <v>1.2</v>
      </c>
      <c r="Q24" s="41"/>
      <c r="R24" s="48" t="n">
        <v>200000</v>
      </c>
      <c r="S24" s="41" t="n">
        <v>72</v>
      </c>
      <c r="T24" s="41"/>
      <c r="U24" s="41"/>
      <c r="V24" s="41"/>
      <c r="W24" s="41"/>
      <c r="X24" s="49" t="n">
        <f aca="false">+IF(ISNUMBER($S24),$S24,MIN($V24,$T24,$U24,$W24))</f>
        <v>72</v>
      </c>
      <c r="Y24" s="48" t="n">
        <v>0.037</v>
      </c>
      <c r="Z24" s="48" t="n">
        <v>240000000</v>
      </c>
      <c r="AA24" s="50" t="n">
        <v>600</v>
      </c>
      <c r="AB24" s="48" t="n">
        <f aca="false">Z24/AA24</f>
        <v>400000</v>
      </c>
      <c r="AC24" s="114" t="n">
        <v>60000000</v>
      </c>
      <c r="AD24" s="107" t="n">
        <f aca="false">Y24/AB24*1000000000000</f>
        <v>92500</v>
      </c>
      <c r="AE24" s="49" t="str">
        <f aca="false">IF(ISNUMBER($Q24),$AD24*1000/2^(($Q24-1.76)/6.02), "")</f>
        <v/>
      </c>
      <c r="AF24" s="49" t="n">
        <f aca="false">$AD24*1000/2^(($X24-1.76)/6.02)</f>
        <v>28430.9747805922</v>
      </c>
      <c r="AG24" s="49" t="str">
        <f aca="false">IF(ISNUMBER($Q24), $Q24+10*LOG10($AB24/2/$Y24), "")</f>
        <v/>
      </c>
      <c r="AH24" s="49" t="n">
        <f aca="false">$X24+10*LOG10($AB24/2/$Y24)</f>
        <v>139.32828271597</v>
      </c>
      <c r="AI24" s="52" t="n">
        <f aca="false">AF24/AB24</f>
        <v>0.0710774369514804</v>
      </c>
      <c r="AJ24" s="53" t="n">
        <f aca="false">AH24+10*LOG10(AB24)</f>
        <v>195.34888262925</v>
      </c>
    </row>
    <row r="25" customFormat="false" ht="12.75" hidden="false" customHeight="false" outlineLevel="0" collapsed="false">
      <c r="A25" s="50" t="n">
        <v>2004</v>
      </c>
      <c r="B25" s="43" t="n">
        <v>6.4</v>
      </c>
      <c r="C25" s="42" t="s">
        <v>139</v>
      </c>
      <c r="D25" s="42" t="s">
        <v>306</v>
      </c>
      <c r="E25" s="42" t="n">
        <v>0.35</v>
      </c>
      <c r="F25" s="111" t="s">
        <v>2001</v>
      </c>
      <c r="G25" s="115" t="s">
        <v>2002</v>
      </c>
      <c r="H25" s="111" t="str">
        <f aca="false">+IF(OR(ISBLANK(H24),ISERROR(H24)),"",H24)</f>
        <v>Cheung, V.S.L.   Luong, H.C.</v>
      </c>
      <c r="I25" s="111" t="s">
        <v>2004</v>
      </c>
      <c r="J25" s="113" t="str">
        <f aca="false">IF(I25&lt;&gt;"?", HYPERLINK(CONCATENATE("https://doi.org/",I25)), "")</f>
        <v>https://doi.org/10.1109/VLSIC.2004.1346512</v>
      </c>
      <c r="K25" s="45" t="s">
        <v>117</v>
      </c>
      <c r="L25" s="69"/>
      <c r="M25" s="69"/>
      <c r="N25" s="69"/>
      <c r="O25" s="65" t="s">
        <v>117</v>
      </c>
      <c r="P25" s="43" t="n">
        <v>1.2</v>
      </c>
      <c r="Q25" s="41"/>
      <c r="R25" s="48" t="n">
        <v>1000000</v>
      </c>
      <c r="S25" s="41" t="n">
        <v>55</v>
      </c>
      <c r="T25" s="41"/>
      <c r="U25" s="41"/>
      <c r="V25" s="41"/>
      <c r="W25" s="41"/>
      <c r="X25" s="49" t="n">
        <f aca="false">+IF(ISNUMBER($S25),$S25,MIN($V25,$T25,$U25,$W25))</f>
        <v>55</v>
      </c>
      <c r="Y25" s="48" t="n">
        <v>0.037</v>
      </c>
      <c r="Z25" s="48" t="n">
        <v>240000000</v>
      </c>
      <c r="AA25" s="50" t="n">
        <v>120</v>
      </c>
      <c r="AB25" s="48" t="n">
        <f aca="false">Z25/AA25</f>
        <v>2000000</v>
      </c>
      <c r="AC25" s="114" t="n">
        <v>60000000</v>
      </c>
      <c r="AD25" s="107" t="n">
        <f aca="false">Y25/AB25*1000000000000</f>
        <v>18500</v>
      </c>
      <c r="AE25" s="49" t="str">
        <f aca="false">IF(ISNUMBER($Q25),$AD25*1000/2^(($Q25-1.76)/6.02), "")</f>
        <v/>
      </c>
      <c r="AF25" s="49" t="n">
        <f aca="false">$AD25*1000/2^(($X25-1.76)/6.02)</f>
        <v>40263.0296718621</v>
      </c>
      <c r="AG25" s="49" t="str">
        <f aca="false">IF(ISNUMBER($Q25), $Q25+10*LOG10($AB25/2/$Y25), "")</f>
        <v/>
      </c>
      <c r="AH25" s="49" t="n">
        <f aca="false">$X25+10*LOG10($AB25/2/$Y25)</f>
        <v>129.31798275933</v>
      </c>
      <c r="AI25" s="52" t="n">
        <f aca="false">AF25/AB25</f>
        <v>0.0201315148359311</v>
      </c>
      <c r="AJ25" s="53" t="n">
        <f aca="false">AH25+10*LOG10(AB25)</f>
        <v>192.32828271597</v>
      </c>
    </row>
    <row r="26" customFormat="false" ht="12.75" hidden="false" customHeight="false" outlineLevel="0" collapsed="false">
      <c r="A26" s="50" t="n">
        <v>2004</v>
      </c>
      <c r="B26" s="43" t="n">
        <v>6.4</v>
      </c>
      <c r="C26" s="42" t="s">
        <v>139</v>
      </c>
      <c r="D26" s="42" t="s">
        <v>306</v>
      </c>
      <c r="E26" s="42" t="n">
        <v>0.35</v>
      </c>
      <c r="F26" s="111" t="s">
        <v>2001</v>
      </c>
      <c r="G26" s="115" t="s">
        <v>2002</v>
      </c>
      <c r="H26" s="111" t="str">
        <f aca="false">+IF(OR(ISBLANK(H25),ISERROR(H25)),"",H25)</f>
        <v>Cheung, V.S.L.   Luong, H.C.</v>
      </c>
      <c r="I26" s="111" t="s">
        <v>2004</v>
      </c>
      <c r="J26" s="113" t="str">
        <f aca="false">IF(I26&lt;&gt;"?", HYPERLINK(CONCATENATE("https://doi.org/",I26)), "")</f>
        <v>https://doi.org/10.1109/VLSIC.2004.1346512</v>
      </c>
      <c r="K26" s="45" t="s">
        <v>117</v>
      </c>
      <c r="L26" s="69"/>
      <c r="M26" s="69"/>
      <c r="N26" s="69"/>
      <c r="O26" s="65" t="s">
        <v>117</v>
      </c>
      <c r="P26" s="43" t="n">
        <v>1.2</v>
      </c>
      <c r="Q26" s="41"/>
      <c r="R26" s="48" t="n">
        <v>1250000</v>
      </c>
      <c r="S26" s="41" t="n">
        <v>52</v>
      </c>
      <c r="T26" s="41"/>
      <c r="U26" s="41"/>
      <c r="V26" s="41"/>
      <c r="W26" s="41"/>
      <c r="X26" s="49" t="n">
        <f aca="false">+IF(ISNUMBER($S26),$S26,MIN($V26,$T26,$U26,$W26))</f>
        <v>52</v>
      </c>
      <c r="Y26" s="48" t="n">
        <v>0.037</v>
      </c>
      <c r="Z26" s="48" t="n">
        <v>240000000</v>
      </c>
      <c r="AA26" s="50" t="n">
        <v>96</v>
      </c>
      <c r="AB26" s="48" t="n">
        <f aca="false">Z26/AA26</f>
        <v>2500000</v>
      </c>
      <c r="AC26" s="114" t="n">
        <v>60000000</v>
      </c>
      <c r="AD26" s="107" t="n">
        <f aca="false">Y26/AB26*1000000000000</f>
        <v>14800</v>
      </c>
      <c r="AE26" s="49" t="str">
        <f aca="false">IF(ISNUMBER($Q26),$AD26*1000/2^(($Q26-1.76)/6.02), "")</f>
        <v/>
      </c>
      <c r="AF26" s="49" t="n">
        <f aca="false">$AD26*1000/2^(($X26-1.76)/6.02)</f>
        <v>45499.9988973888</v>
      </c>
      <c r="AG26" s="49" t="str">
        <f aca="false">IF(ISNUMBER($Q26), $Q26+10*LOG10($AB26/2/$Y26), "")</f>
        <v/>
      </c>
      <c r="AH26" s="49" t="n">
        <f aca="false">$X26+10*LOG10($AB26/2/$Y26)</f>
        <v>127.287082889411</v>
      </c>
      <c r="AI26" s="52" t="n">
        <f aca="false">AF26/AB26</f>
        <v>0.0181999995589555</v>
      </c>
      <c r="AJ26" s="53" t="n">
        <f aca="false">AH26+10*LOG10(AB26)</f>
        <v>191.266482976131</v>
      </c>
    </row>
    <row r="27" customFormat="false" ht="12.75" hidden="false" customHeight="false" outlineLevel="0" collapsed="false">
      <c r="A27" s="50" t="n">
        <v>2004</v>
      </c>
      <c r="B27" s="43" t="n">
        <v>25.1</v>
      </c>
      <c r="C27" s="42" t="s">
        <v>111</v>
      </c>
      <c r="D27" s="42" t="s">
        <v>208</v>
      </c>
      <c r="E27" s="42" t="n">
        <v>0.13</v>
      </c>
      <c r="F27" s="111" t="s">
        <v>2005</v>
      </c>
      <c r="G27" s="112" t="s">
        <v>2006</v>
      </c>
      <c r="H27" s="111" t="s">
        <v>2007</v>
      </c>
      <c r="I27" s="111" t="s">
        <v>2008</v>
      </c>
      <c r="J27" s="113" t="str">
        <f aca="false">IF(I27&lt;&gt;"?", HYPERLINK(CONCATENATE("https://doi.org/",I27)), "")</f>
        <v>https://doi.org/10.1109/VLSIC.2004.1346637</v>
      </c>
      <c r="K27" s="45" t="s">
        <v>2009</v>
      </c>
      <c r="L27" s="69" t="n">
        <v>1.5</v>
      </c>
      <c r="M27" s="69"/>
      <c r="N27" s="69"/>
      <c r="O27" s="65" t="s">
        <v>117</v>
      </c>
      <c r="P27" s="43" t="n">
        <v>0.5</v>
      </c>
      <c r="Q27" s="41"/>
      <c r="R27" s="48" t="n">
        <v>2000000000</v>
      </c>
      <c r="S27" s="41"/>
      <c r="T27" s="41"/>
      <c r="U27" s="41"/>
      <c r="V27" s="41"/>
      <c r="W27" s="41" t="n">
        <v>30</v>
      </c>
      <c r="X27" s="49" t="n">
        <f aca="false">+IF(ISNUMBER($S27),$S27,MIN($V27,$T27,$U27,$W27))</f>
        <v>30</v>
      </c>
      <c r="Y27" s="48" t="n">
        <v>0.99</v>
      </c>
      <c r="Z27" s="48" t="n">
        <v>4000000000</v>
      </c>
      <c r="AA27" s="50" t="n">
        <v>1</v>
      </c>
      <c r="AB27" s="48" t="n">
        <f aca="false">Z27/AA27</f>
        <v>4000000000</v>
      </c>
      <c r="AC27" s="114"/>
      <c r="AD27" s="107" t="n">
        <f aca="false">Y27/AB27*1000000000000</f>
        <v>247.5</v>
      </c>
      <c r="AE27" s="49" t="str">
        <f aca="false">IF(ISNUMBER($Q27),$AD27*1000/2^(($Q27-1.76)/6.02), "")</f>
        <v/>
      </c>
      <c r="AF27" s="49" t="n">
        <f aca="false">$AD27*1000/2^(($X27-1.76)/6.02)</f>
        <v>9581.52181465368</v>
      </c>
      <c r="AG27" s="49" t="str">
        <f aca="false">IF(ISNUMBER($Q27), $Q27+10*LOG10($AB27/2/$Y27), "")</f>
        <v/>
      </c>
      <c r="AH27" s="49" t="n">
        <f aca="false">$X27+10*LOG10($AB27/2/$Y27)</f>
        <v>123.053948010664</v>
      </c>
      <c r="AI27" s="52" t="n">
        <f aca="false">AF27/AB27</f>
        <v>2.39538045366342E-006</v>
      </c>
      <c r="AJ27" s="53" t="n">
        <f aca="false">AH27+10*LOG10(AB27)</f>
        <v>219.074547923944</v>
      </c>
    </row>
    <row r="28" customFormat="false" ht="12.75" hidden="false" customHeight="false" outlineLevel="0" collapsed="false">
      <c r="A28" s="50" t="n">
        <v>2004</v>
      </c>
      <c r="B28" s="43" t="n">
        <v>25.2</v>
      </c>
      <c r="C28" s="42" t="s">
        <v>111</v>
      </c>
      <c r="D28" s="42" t="s">
        <v>118</v>
      </c>
      <c r="E28" s="42" t="n">
        <v>0.18</v>
      </c>
      <c r="F28" s="111" t="s">
        <v>2010</v>
      </c>
      <c r="G28" s="112" t="s">
        <v>2011</v>
      </c>
      <c r="H28" s="111" t="s">
        <v>2012</v>
      </c>
      <c r="I28" s="111" t="s">
        <v>2013</v>
      </c>
      <c r="J28" s="113" t="str">
        <f aca="false">IF(I28&lt;&gt;"?", HYPERLINK(CONCATENATE("https://doi.org/",I28)), "")</f>
        <v>https://doi.org/10.1109/VLSIC.2004.1346638</v>
      </c>
      <c r="K28" s="45" t="s">
        <v>117</v>
      </c>
      <c r="L28" s="69" t="n">
        <v>1.8</v>
      </c>
      <c r="M28" s="69"/>
      <c r="N28" s="69"/>
      <c r="O28" s="65" t="s">
        <v>117</v>
      </c>
      <c r="P28" s="43" t="n">
        <v>0.5</v>
      </c>
      <c r="Q28" s="41"/>
      <c r="R28" s="48" t="n">
        <f aca="false">600000000/2</f>
        <v>300000000</v>
      </c>
      <c r="S28" s="41" t="n">
        <v>40</v>
      </c>
      <c r="T28" s="41"/>
      <c r="U28" s="41" t="n">
        <f aca="false">7.5*6.02+1.76</f>
        <v>46.91</v>
      </c>
      <c r="V28" s="41"/>
      <c r="W28" s="41"/>
      <c r="X28" s="49" t="n">
        <f aca="false">+IF(ISNUMBER($S28),$S28,MIN($V28,$T28,$U28,$W28))</f>
        <v>40</v>
      </c>
      <c r="Y28" s="48" t="n">
        <v>0.207</v>
      </c>
      <c r="Z28" s="48" t="n">
        <f aca="false">600000000</f>
        <v>600000000</v>
      </c>
      <c r="AA28" s="50" t="n">
        <v>1</v>
      </c>
      <c r="AB28" s="48" t="n">
        <f aca="false">Z28/AA28</f>
        <v>600000000</v>
      </c>
      <c r="AC28" s="114"/>
      <c r="AD28" s="107" t="n">
        <f aca="false">Y28/AB28*1000000000000</f>
        <v>345</v>
      </c>
      <c r="AE28" s="49" t="str">
        <f aca="false">IF(ISNUMBER($Q28),$AD28*1000/2^(($Q28-1.76)/6.02), "")</f>
        <v/>
      </c>
      <c r="AF28" s="49" t="n">
        <f aca="false">$AD28*1000/2^(($X28-1.76)/6.02)</f>
        <v>4223.07269984196</v>
      </c>
      <c r="AG28" s="49" t="str">
        <f aca="false">IF(ISNUMBER($Q28), $Q28+10*LOG10($AB28/2/$Y28), "")</f>
        <v/>
      </c>
      <c r="AH28" s="49" t="n">
        <f aca="false">$X28+10*LOG10($AB28/2/$Y28)</f>
        <v>131.611509092627</v>
      </c>
      <c r="AI28" s="52" t="n">
        <f aca="false">AF28/AB28</f>
        <v>7.0384544997366E-006</v>
      </c>
      <c r="AJ28" s="53" t="n">
        <f aca="false">AH28+10*LOG10(AB28)</f>
        <v>219.393021596464</v>
      </c>
    </row>
    <row r="29" customFormat="false" ht="12.75" hidden="false" customHeight="false" outlineLevel="0" collapsed="false">
      <c r="A29" s="50" t="n">
        <v>2004</v>
      </c>
      <c r="B29" s="43" t="n">
        <v>25.3</v>
      </c>
      <c r="C29" s="42" t="s">
        <v>111</v>
      </c>
      <c r="D29" s="42" t="s">
        <v>133</v>
      </c>
      <c r="E29" s="42" t="s">
        <v>2014</v>
      </c>
      <c r="F29" s="111" t="s">
        <v>2015</v>
      </c>
      <c r="G29" s="112" t="s">
        <v>2016</v>
      </c>
      <c r="H29" s="111" t="s">
        <v>2017</v>
      </c>
      <c r="I29" s="111" t="s">
        <v>2018</v>
      </c>
      <c r="J29" s="113" t="str">
        <f aca="false">IF(I29&lt;&gt;"?", HYPERLINK(CONCATENATE("https://doi.org/",I29)), "")</f>
        <v>https://doi.org/10.1109/VLSIC.2004.1346639</v>
      </c>
      <c r="K29" s="45" t="s">
        <v>117</v>
      </c>
      <c r="L29" s="69" t="n">
        <v>3.3</v>
      </c>
      <c r="M29" s="69"/>
      <c r="N29" s="69"/>
      <c r="O29" s="65" t="s">
        <v>117</v>
      </c>
      <c r="P29" s="43" t="n">
        <v>8</v>
      </c>
      <c r="Q29" s="41"/>
      <c r="R29" s="48" t="n">
        <f aca="false">180000000/2</f>
        <v>90000000</v>
      </c>
      <c r="S29" s="41" t="n">
        <f aca="false">9.74*6.02+1.76</f>
        <v>60.3948</v>
      </c>
      <c r="T29" s="41" t="n">
        <v>60.7</v>
      </c>
      <c r="U29" s="41"/>
      <c r="V29" s="41" t="n">
        <v>72</v>
      </c>
      <c r="W29" s="41"/>
      <c r="X29" s="49" t="n">
        <f aca="false">+IF(ISNUMBER($S29),$S29,MIN($V29,$T29,$U29,$W29))</f>
        <v>60.3948</v>
      </c>
      <c r="Y29" s="48" t="n">
        <v>1.2</v>
      </c>
      <c r="Z29" s="48" t="n">
        <f aca="false">180000000</f>
        <v>180000000</v>
      </c>
      <c r="AA29" s="50" t="n">
        <v>1</v>
      </c>
      <c r="AB29" s="48" t="n">
        <f aca="false">Z29/AA29</f>
        <v>180000000</v>
      </c>
      <c r="AC29" s="114"/>
      <c r="AD29" s="107" t="n">
        <f aca="false">Y29/AB29*1000000000000</f>
        <v>6666.66666666667</v>
      </c>
      <c r="AE29" s="49" t="str">
        <f aca="false">IF(ISNUMBER($Q29),$AD29*1000/2^(($Q29-1.76)/6.02), "")</f>
        <v/>
      </c>
      <c r="AF29" s="49" t="n">
        <f aca="false">$AD29*1000/2^(($X29-1.76)/6.02)</f>
        <v>7796.08531652948</v>
      </c>
      <c r="AG29" s="49" t="str">
        <f aca="false">IF(ISNUMBER($Q29), $Q29+10*LOG10($AB29/2/$Y29), "")</f>
        <v/>
      </c>
      <c r="AH29" s="49" t="n">
        <f aca="false">$X29+10*LOG10($AB29/2/$Y29)</f>
        <v>139.145412633917</v>
      </c>
      <c r="AI29" s="52" t="n">
        <f aca="false">AF29/AB29</f>
        <v>4.33115850918305E-005</v>
      </c>
      <c r="AJ29" s="53" t="n">
        <f aca="false">AH29+10*LOG10(AB29)</f>
        <v>221.69813768495</v>
      </c>
    </row>
    <row r="30" customFormat="false" ht="12.75" hidden="false" customHeight="false" outlineLevel="0" collapsed="false">
      <c r="A30" s="50" t="n">
        <v>2004</v>
      </c>
      <c r="B30" s="43" t="n">
        <v>25.4</v>
      </c>
      <c r="C30" s="42" t="s">
        <v>111</v>
      </c>
      <c r="D30" s="42" t="s">
        <v>2019</v>
      </c>
      <c r="E30" s="42" t="n">
        <v>0.18</v>
      </c>
      <c r="F30" s="111" t="s">
        <v>2020</v>
      </c>
      <c r="G30" s="112" t="s">
        <v>2021</v>
      </c>
      <c r="H30" s="111" t="s">
        <v>2022</v>
      </c>
      <c r="I30" s="111" t="s">
        <v>2023</v>
      </c>
      <c r="J30" s="113" t="str">
        <f aca="false">IF(I30&lt;&gt;"?", HYPERLINK(CONCATENATE("https://doi.org/",I30)), "")</f>
        <v>https://doi.org/10.1109/VLSIC.2004.1346640</v>
      </c>
      <c r="K30" s="45" t="s">
        <v>117</v>
      </c>
      <c r="L30" s="69" t="n">
        <v>1.5</v>
      </c>
      <c r="M30" s="69"/>
      <c r="N30" s="69"/>
      <c r="O30" s="65" t="s">
        <v>117</v>
      </c>
      <c r="P30" s="43" t="n">
        <v>1.3</v>
      </c>
      <c r="Q30" s="41"/>
      <c r="R30" s="48" t="n">
        <f aca="false">50000000/2</f>
        <v>25000000</v>
      </c>
      <c r="S30" s="41" t="n">
        <v>57.2</v>
      </c>
      <c r="T30" s="41" t="n">
        <v>62</v>
      </c>
      <c r="U30" s="41"/>
      <c r="V30" s="41" t="n">
        <v>60.3</v>
      </c>
      <c r="W30" s="41" t="n">
        <v>62.3</v>
      </c>
      <c r="X30" s="49" t="n">
        <f aca="false">+IF(ISNUMBER($S30),$S30,MIN($V30,$T30,$U30,$W30))</f>
        <v>57.2</v>
      </c>
      <c r="Y30" s="48" t="n">
        <v>0.029</v>
      </c>
      <c r="Z30" s="48" t="n">
        <f aca="false">50000000</f>
        <v>50000000</v>
      </c>
      <c r="AA30" s="50" t="n">
        <v>1</v>
      </c>
      <c r="AB30" s="48" t="n">
        <f aca="false">Z30/AA30</f>
        <v>50000000</v>
      </c>
      <c r="AC30" s="114"/>
      <c r="AD30" s="107" t="n">
        <f aca="false">Y30/AB30*1000000000000</f>
        <v>580</v>
      </c>
      <c r="AE30" s="49" t="str">
        <f aca="false">IF(ISNUMBER($Q30),$AD30*1000/2^(($Q30-1.76)/6.02), "")</f>
        <v/>
      </c>
      <c r="AF30" s="49" t="n">
        <f aca="false">$AD30*1000/2^(($X30-1.76)/6.02)</f>
        <v>979.83230592719</v>
      </c>
      <c r="AG30" s="49" t="str">
        <f aca="false">IF(ISNUMBER($Q30), $Q30+10*LOG10($AB30/2/$Y30), "")</f>
        <v/>
      </c>
      <c r="AH30" s="49" t="n">
        <f aca="false">$X30+10*LOG10($AB30/2/$Y30)</f>
        <v>146.555420107731</v>
      </c>
      <c r="AI30" s="52" t="n">
        <f aca="false">AF30/AB30</f>
        <v>1.95966461185438E-005</v>
      </c>
      <c r="AJ30" s="53" t="n">
        <f aca="false">AH30+10*LOG10(AB30)</f>
        <v>223.545120151091</v>
      </c>
    </row>
    <row r="31" customFormat="false" ht="12.75" hidden="false" customHeight="false" outlineLevel="0" collapsed="false">
      <c r="A31" s="50" t="n">
        <v>2004</v>
      </c>
      <c r="B31" s="43" t="n">
        <v>25.5</v>
      </c>
      <c r="C31" s="42" t="s">
        <v>111</v>
      </c>
      <c r="D31" s="42" t="s">
        <v>241</v>
      </c>
      <c r="E31" s="42" t="n">
        <v>0.18</v>
      </c>
      <c r="F31" s="111" t="s">
        <v>2024</v>
      </c>
      <c r="G31" s="112" t="s">
        <v>2025</v>
      </c>
      <c r="H31" s="111" t="s">
        <v>2026</v>
      </c>
      <c r="I31" s="111" t="s">
        <v>2027</v>
      </c>
      <c r="J31" s="113" t="str">
        <f aca="false">IF(I31&lt;&gt;"?", HYPERLINK(CONCATENATE("https://doi.org/",I31)), "")</f>
        <v>https://doi.org/10.1109/VLSIC.2004.1346641</v>
      </c>
      <c r="K31" s="45" t="s">
        <v>117</v>
      </c>
      <c r="L31" s="69" t="n">
        <v>0.9</v>
      </c>
      <c r="M31" s="69"/>
      <c r="N31" s="69"/>
      <c r="O31" s="65" t="s">
        <v>117</v>
      </c>
      <c r="P31" s="43" t="n">
        <v>1.4</v>
      </c>
      <c r="Q31" s="41"/>
      <c r="R31" s="48" t="n">
        <v>2000000</v>
      </c>
      <c r="S31" s="41" t="n">
        <v>55</v>
      </c>
      <c r="T31" s="41" t="n">
        <v>55</v>
      </c>
      <c r="U31" s="41"/>
      <c r="V31" s="41"/>
      <c r="W31" s="41" t="n">
        <v>81</v>
      </c>
      <c r="X31" s="49" t="n">
        <f aca="false">+IF(ISNUMBER($S31),$S31,MIN($V31,$T31,$U31,$W31))</f>
        <v>55</v>
      </c>
      <c r="Y31" s="48" t="n">
        <v>0.012</v>
      </c>
      <c r="Z31" s="48" t="n">
        <v>4000000</v>
      </c>
      <c r="AA31" s="50" t="n">
        <v>1</v>
      </c>
      <c r="AB31" s="48" t="n">
        <f aca="false">Z31/AA31</f>
        <v>4000000</v>
      </c>
      <c r="AC31" s="114"/>
      <c r="AD31" s="107" t="n">
        <f aca="false">Y31/AB31*1000000000000</f>
        <v>3000</v>
      </c>
      <c r="AE31" s="49" t="str">
        <f aca="false">IF(ISNUMBER($Q31),$AD31*1000/2^(($Q31-1.76)/6.02), "")</f>
        <v/>
      </c>
      <c r="AF31" s="49" t="n">
        <f aca="false">$AD31*1000/2^(($X31-1.76)/6.02)</f>
        <v>6529.13994678845</v>
      </c>
      <c r="AG31" s="49" t="str">
        <f aca="false">IF(ISNUMBER($Q31), $Q31+10*LOG10($AB31/2/$Y31), "")</f>
        <v/>
      </c>
      <c r="AH31" s="49" t="n">
        <f aca="false">$X31+10*LOG10($AB31/2/$Y31)</f>
        <v>137.218487496164</v>
      </c>
      <c r="AI31" s="52" t="n">
        <f aca="false">AF31/AB31</f>
        <v>0.00163228498669711</v>
      </c>
      <c r="AJ31" s="53" t="n">
        <f aca="false">AH31+10*LOG10(AB31)</f>
        <v>203.239087409443</v>
      </c>
    </row>
    <row r="32" customFormat="false" ht="12.75" hidden="false" customHeight="false" outlineLevel="0" collapsed="false">
      <c r="A32" s="40" t="n">
        <v>2005</v>
      </c>
      <c r="B32" s="43" t="n">
        <v>12.2</v>
      </c>
      <c r="C32" s="42" t="s">
        <v>139</v>
      </c>
      <c r="D32" s="42" t="s">
        <v>145</v>
      </c>
      <c r="E32" s="42" t="n">
        <v>0.25</v>
      </c>
      <c r="F32" s="111" t="s">
        <v>2028</v>
      </c>
      <c r="G32" s="112" t="s">
        <v>2029</v>
      </c>
      <c r="H32" s="111" t="s">
        <v>2030</v>
      </c>
      <c r="I32" s="111" t="s">
        <v>2031</v>
      </c>
      <c r="J32" s="113" t="str">
        <f aca="false">IF(I32&lt;&gt;"?", HYPERLINK(CONCATENATE("https://doi.org/",I32)), "")</f>
        <v>https://doi.org/10.1109/VLSIC.2005.1469361</v>
      </c>
      <c r="K32" s="45" t="s">
        <v>2032</v>
      </c>
      <c r="L32" s="69" t="n">
        <v>0.9</v>
      </c>
      <c r="M32" s="69"/>
      <c r="N32" s="69"/>
      <c r="O32" s="65" t="s">
        <v>117</v>
      </c>
      <c r="P32" s="43" t="n">
        <v>0.5</v>
      </c>
      <c r="Q32" s="41"/>
      <c r="R32" s="48" t="n">
        <v>8000</v>
      </c>
      <c r="S32" s="41" t="n">
        <v>69</v>
      </c>
      <c r="T32" s="41" t="n">
        <v>72</v>
      </c>
      <c r="U32" s="41"/>
      <c r="V32" s="41"/>
      <c r="W32" s="41"/>
      <c r="X32" s="49" t="n">
        <f aca="false">+IF(ISNUMBER($S32),$S32,MIN($V32,$T32,$U32,$W32))</f>
        <v>69</v>
      </c>
      <c r="Y32" s="48" t="n">
        <v>2.63E-005</v>
      </c>
      <c r="Z32" s="48" t="n">
        <v>1024000</v>
      </c>
      <c r="AA32" s="50" t="n">
        <v>64</v>
      </c>
      <c r="AB32" s="48" t="n">
        <f aca="false">Z32/AA32</f>
        <v>16000</v>
      </c>
      <c r="AC32" s="114"/>
      <c r="AD32" s="107" t="n">
        <f aca="false">Y32/AB32*1000000000000</f>
        <v>1643.75</v>
      </c>
      <c r="AE32" s="49" t="str">
        <f aca="false">IF(ISNUMBER($Q32),$AD32*1000/2^(($Q32-1.76)/6.02), "")</f>
        <v/>
      </c>
      <c r="AF32" s="49" t="n">
        <f aca="false">$AD32*1000/2^(($X32-1.76)/6.02)</f>
        <v>713.675406714752</v>
      </c>
      <c r="AG32" s="49" t="str">
        <f aca="false">IF(ISNUMBER($Q32), $Q32+10*LOG10($AB32/2/$Y32), "")</f>
        <v/>
      </c>
      <c r="AH32" s="49" t="n">
        <f aca="false">$X32+10*LOG10($AB32/2/$Y32)</f>
        <v>153.831342385022</v>
      </c>
      <c r="AI32" s="52" t="n">
        <f aca="false">AF32/AB32</f>
        <v>0.044604712919672</v>
      </c>
      <c r="AJ32" s="53" t="n">
        <f aca="false">AH32+10*LOG10(AB32)</f>
        <v>195.872542211581</v>
      </c>
    </row>
    <row r="33" customFormat="false" ht="12.75" hidden="false" customHeight="false" outlineLevel="0" collapsed="false">
      <c r="A33" s="50" t="n">
        <v>2005</v>
      </c>
      <c r="B33" s="43" t="n">
        <v>12.3</v>
      </c>
      <c r="C33" s="42" t="s">
        <v>139</v>
      </c>
      <c r="D33" s="42" t="s">
        <v>145</v>
      </c>
      <c r="E33" s="42" t="n">
        <v>0.13</v>
      </c>
      <c r="F33" s="111" t="s">
        <v>2033</v>
      </c>
      <c r="G33" s="112" t="s">
        <v>2034</v>
      </c>
      <c r="H33" s="111" t="s">
        <v>2035</v>
      </c>
      <c r="I33" s="111" t="s">
        <v>2036</v>
      </c>
      <c r="J33" s="113" t="str">
        <f aca="false">IF(I33&lt;&gt;"?", HYPERLINK(CONCATENATE("https://doi.org/",I33)), "")</f>
        <v>https://doi.org/10.1109/VLSIC.2005.1469362</v>
      </c>
      <c r="K33" s="45" t="s">
        <v>117</v>
      </c>
      <c r="L33" s="69" t="n">
        <v>1</v>
      </c>
      <c r="M33" s="69"/>
      <c r="N33" s="69"/>
      <c r="O33" s="65" t="s">
        <v>117</v>
      </c>
      <c r="P33" s="43" t="n">
        <v>0.6016</v>
      </c>
      <c r="Q33" s="41"/>
      <c r="R33" s="48" t="n">
        <v>500000</v>
      </c>
      <c r="S33" s="41"/>
      <c r="T33" s="41"/>
      <c r="U33" s="41" t="n">
        <v>88</v>
      </c>
      <c r="V33" s="41"/>
      <c r="W33" s="41"/>
      <c r="X33" s="49" t="n">
        <f aca="false">+IF(ISNUMBER($S33),$S33,MIN($V33,$T33,$U33,$W33))</f>
        <v>88</v>
      </c>
      <c r="Y33" s="48" t="n">
        <v>0.0074</v>
      </c>
      <c r="Z33" s="48" t="n">
        <v>64000000</v>
      </c>
      <c r="AA33" s="50" t="n">
        <v>64</v>
      </c>
      <c r="AB33" s="48" t="n">
        <f aca="false">Z33/AA33</f>
        <v>1000000</v>
      </c>
      <c r="AC33" s="114"/>
      <c r="AD33" s="107" t="n">
        <f aca="false">Y33/AB33*1000000000000</f>
        <v>7400</v>
      </c>
      <c r="AE33" s="49" t="str">
        <f aca="false">IF(ISNUMBER($Q33),$AD33*1000/2^(($Q33-1.76)/6.02), "")</f>
        <v/>
      </c>
      <c r="AF33" s="49" t="n">
        <f aca="false">$AD33*1000/2^(($X33-1.76)/6.02)</f>
        <v>360.414300369033</v>
      </c>
      <c r="AG33" s="49" t="str">
        <f aca="false">IF(ISNUMBER($Q33), $Q33+10*LOG10($AB33/2/$Y33), "")</f>
        <v/>
      </c>
      <c r="AH33" s="49" t="n">
        <f aca="false">$X33+10*LOG10($AB33/2/$Y33)</f>
        <v>166.29738284605</v>
      </c>
      <c r="AI33" s="52" t="n">
        <f aca="false">AF33/AB33</f>
        <v>0.000360414300369033</v>
      </c>
      <c r="AJ33" s="53" t="n">
        <f aca="false">AH33+10*LOG10(AB33)</f>
        <v>226.29738284605</v>
      </c>
    </row>
    <row r="34" customFormat="false" ht="12.75" hidden="false" customHeight="false" outlineLevel="0" collapsed="false">
      <c r="A34" s="50" t="n">
        <v>2005</v>
      </c>
      <c r="B34" s="43" t="n">
        <v>12.4</v>
      </c>
      <c r="C34" s="42" t="s">
        <v>139</v>
      </c>
      <c r="D34" s="42" t="s">
        <v>145</v>
      </c>
      <c r="E34" s="42" t="n">
        <v>0.35</v>
      </c>
      <c r="F34" s="111" t="s">
        <v>2037</v>
      </c>
      <c r="G34" s="112" t="s">
        <v>2038</v>
      </c>
      <c r="H34" s="111" t="s">
        <v>2039</v>
      </c>
      <c r="I34" s="111" t="s">
        <v>2040</v>
      </c>
      <c r="J34" s="113" t="str">
        <f aca="false">IF(I34&lt;&gt;"?", HYPERLINK(CONCATENATE("https://doi.org/",I34)), "")</f>
        <v>https://doi.org/10.1109/VLSIC.2005.1469363</v>
      </c>
      <c r="K34" s="45" t="s">
        <v>2041</v>
      </c>
      <c r="L34" s="69"/>
      <c r="M34" s="69"/>
      <c r="N34" s="69"/>
      <c r="O34" s="65"/>
      <c r="P34" s="43" t="n">
        <v>0</v>
      </c>
      <c r="Q34" s="41"/>
      <c r="R34" s="48"/>
      <c r="S34" s="41" t="n">
        <v>66.1</v>
      </c>
      <c r="T34" s="41"/>
      <c r="U34" s="41"/>
      <c r="V34" s="41"/>
      <c r="W34" s="41" t="n">
        <v>87</v>
      </c>
      <c r="X34" s="49" t="n">
        <v>66.1</v>
      </c>
      <c r="Y34" s="48"/>
      <c r="Z34" s="48" t="n">
        <v>2300000</v>
      </c>
      <c r="AA34" s="50"/>
      <c r="AB34" s="48" t="n">
        <v>18000</v>
      </c>
      <c r="AC34" s="114"/>
      <c r="AD34" s="107" t="n">
        <v>10000000000</v>
      </c>
      <c r="AE34" s="49"/>
      <c r="AF34" s="107" t="n">
        <v>10000000000</v>
      </c>
      <c r="AG34" s="49"/>
      <c r="AH34" s="49" t="n">
        <v>1</v>
      </c>
      <c r="AI34" s="52"/>
      <c r="AJ34" s="53"/>
      <c r="AK34" s="114"/>
      <c r="AL34" s="22"/>
    </row>
    <row r="35" customFormat="false" ht="12.75" hidden="false" customHeight="false" outlineLevel="0" collapsed="false">
      <c r="A35" s="50" t="n">
        <v>2005</v>
      </c>
      <c r="B35" s="43" t="n">
        <v>21.1</v>
      </c>
      <c r="C35" s="42" t="s">
        <v>111</v>
      </c>
      <c r="D35" s="42" t="s">
        <v>191</v>
      </c>
      <c r="E35" s="42" t="n">
        <v>0.18</v>
      </c>
      <c r="F35" s="111" t="s">
        <v>2042</v>
      </c>
      <c r="G35" s="112" t="s">
        <v>2043</v>
      </c>
      <c r="H35" s="111" t="s">
        <v>2044</v>
      </c>
      <c r="I35" s="111" t="s">
        <v>2045</v>
      </c>
      <c r="J35" s="113" t="str">
        <f aca="false">IF(I35&lt;&gt;"?", HYPERLINK(CONCATENATE("https://doi.org/",I35)), "")</f>
        <v>https://doi.org/10.1109/VLSIC.2005.1469396</v>
      </c>
      <c r="K35" s="45" t="s">
        <v>117</v>
      </c>
      <c r="L35" s="69" t="n">
        <v>1.8</v>
      </c>
      <c r="M35" s="69"/>
      <c r="N35" s="69"/>
      <c r="O35" s="65" t="s">
        <v>117</v>
      </c>
      <c r="P35" s="43" t="n">
        <v>2.88</v>
      </c>
      <c r="Q35" s="41"/>
      <c r="R35" s="48" t="n">
        <v>3000000000</v>
      </c>
      <c r="S35" s="41" t="n">
        <v>22.5</v>
      </c>
      <c r="T35" s="41"/>
      <c r="U35" s="41"/>
      <c r="V35" s="41"/>
      <c r="W35" s="41"/>
      <c r="X35" s="49" t="n">
        <f aca="false">+IF(ISNUMBER($S35),$S35,MIN($V35,$T35,$U35,$W35))</f>
        <v>22.5</v>
      </c>
      <c r="Y35" s="48" t="n">
        <v>0.78</v>
      </c>
      <c r="Z35" s="48" t="n">
        <v>6000000000</v>
      </c>
      <c r="AA35" s="50" t="n">
        <v>1</v>
      </c>
      <c r="AB35" s="48" t="n">
        <f aca="false">Z35/AA35</f>
        <v>6000000000</v>
      </c>
      <c r="AC35" s="114"/>
      <c r="AD35" s="107" t="n">
        <f aca="false">Y35/AB35*1000000000000</f>
        <v>130</v>
      </c>
      <c r="AE35" s="49" t="str">
        <f aca="false">IF(ISNUMBER($Q35),$AD35*1000/2^(($Q35-1.76)/6.02), "")</f>
        <v/>
      </c>
      <c r="AF35" s="49" t="n">
        <f aca="false">$AD35*1000/2^(($X35-1.76)/6.02)</f>
        <v>11935.4833633876</v>
      </c>
      <c r="AG35" s="49" t="str">
        <f aca="false">IF(ISNUMBER($Q35), $Q35+10*LOG10($AB35/2/$Y35), "")</f>
        <v/>
      </c>
      <c r="AH35" s="49" t="n">
        <f aca="false">$X35+10*LOG10($AB35/2/$Y35)</f>
        <v>118.350266520292</v>
      </c>
      <c r="AI35" s="52" t="n">
        <f aca="false">AF35/AB35</f>
        <v>1.98924722723126E-006</v>
      </c>
      <c r="AJ35" s="53" t="n">
        <f aca="false">AH35+10*LOG10(AB35)</f>
        <v>216.131779024128</v>
      </c>
    </row>
    <row r="36" customFormat="false" ht="12.75" hidden="false" customHeight="false" outlineLevel="0" collapsed="false">
      <c r="A36" s="50" t="n">
        <v>2005</v>
      </c>
      <c r="B36" s="43" t="n">
        <v>21.2</v>
      </c>
      <c r="C36" s="42" t="s">
        <v>111</v>
      </c>
      <c r="D36" s="42" t="s">
        <v>133</v>
      </c>
      <c r="E36" s="42" t="n">
        <v>0.18</v>
      </c>
      <c r="F36" s="111" t="s">
        <v>2046</v>
      </c>
      <c r="G36" s="112" t="s">
        <v>2047</v>
      </c>
      <c r="H36" s="111" t="s">
        <v>2048</v>
      </c>
      <c r="I36" s="111" t="s">
        <v>2049</v>
      </c>
      <c r="J36" s="113" t="str">
        <f aca="false">IF(I36&lt;&gt;"?", HYPERLINK(CONCATENATE("https://doi.org/",I36)), "")</f>
        <v>https://doi.org/10.1109/VLSIC.2005.1469397</v>
      </c>
      <c r="K36" s="45" t="s">
        <v>117</v>
      </c>
      <c r="L36" s="69"/>
      <c r="M36" s="69"/>
      <c r="N36" s="69"/>
      <c r="O36" s="65" t="s">
        <v>117</v>
      </c>
      <c r="P36" s="43" t="n">
        <v>1.9</v>
      </c>
      <c r="Q36" s="41"/>
      <c r="R36" s="48" t="n">
        <v>5000000</v>
      </c>
      <c r="S36" s="41" t="n">
        <v>58.8</v>
      </c>
      <c r="T36" s="41" t="n">
        <v>59</v>
      </c>
      <c r="U36" s="41"/>
      <c r="V36" s="41" t="n">
        <v>71.1</v>
      </c>
      <c r="W36" s="41" t="n">
        <v>76.3</v>
      </c>
      <c r="X36" s="49" t="n">
        <f aca="false">+IF(ISNUMBER($S36),$S36,MIN($V36,$T36,$U36,$W36))</f>
        <v>58.8</v>
      </c>
      <c r="Y36" s="48" t="n">
        <v>0.081</v>
      </c>
      <c r="Z36" s="48" t="n">
        <v>10000000</v>
      </c>
      <c r="AA36" s="50" t="n">
        <v>1</v>
      </c>
      <c r="AB36" s="48" t="n">
        <f aca="false">Z36/AA36</f>
        <v>10000000</v>
      </c>
      <c r="AC36" s="114"/>
      <c r="AD36" s="107" t="n">
        <f aca="false">Y36/AB36*1000000000000</f>
        <v>8100</v>
      </c>
      <c r="AE36" s="49" t="str">
        <f aca="false">IF(ISNUMBER($Q36),$AD36*1000/2^(($Q36-1.76)/6.02), "")</f>
        <v/>
      </c>
      <c r="AF36" s="49" t="n">
        <f aca="false">$AD36*1000/2^(($X36-1.76)/6.02)</f>
        <v>11381.5341933314</v>
      </c>
      <c r="AG36" s="49" t="str">
        <f aca="false">IF(ISNUMBER($Q36), $Q36+10*LOG10($AB36/2/$Y36), "")</f>
        <v/>
      </c>
      <c r="AH36" s="49" t="n">
        <f aca="false">$X36+10*LOG10($AB36/2/$Y36)</f>
        <v>136.704849854574</v>
      </c>
      <c r="AI36" s="52" t="n">
        <f aca="false">AF36/AB36</f>
        <v>0.00113815341933314</v>
      </c>
      <c r="AJ36" s="53" t="n">
        <f aca="false">AH36+10*LOG10(AB36)</f>
        <v>206.704849854574</v>
      </c>
    </row>
    <row r="37" customFormat="false" ht="12.75" hidden="false" customHeight="false" outlineLevel="0" collapsed="false">
      <c r="A37" s="50" t="n">
        <v>2005</v>
      </c>
      <c r="B37" s="43" t="n">
        <v>21.2</v>
      </c>
      <c r="C37" s="42" t="s">
        <v>111</v>
      </c>
      <c r="D37" s="42" t="s">
        <v>133</v>
      </c>
      <c r="E37" s="42" t="n">
        <v>0.18</v>
      </c>
      <c r="F37" s="45" t="s">
        <v>2046</v>
      </c>
      <c r="G37" s="45" t="s">
        <v>2047</v>
      </c>
      <c r="H37" s="45" t="str">
        <f aca="false">+IF(OR(ISBLANK(H36),ISERROR(H36)),"",H36)</f>
        <v>Anderson, M.   Norling, K.   Dreyfert, A.   Yuan, J.</v>
      </c>
      <c r="I37" s="111" t="s">
        <v>2049</v>
      </c>
      <c r="J37" s="113" t="str">
        <f aca="false">IF(I37&lt;&gt;"?", HYPERLINK(CONCATENATE("https://doi.org/",I37)), "")</f>
        <v>https://doi.org/10.1109/VLSIC.2005.1469397</v>
      </c>
      <c r="K37" s="45" t="s">
        <v>117</v>
      </c>
      <c r="L37" s="69"/>
      <c r="M37" s="69"/>
      <c r="N37" s="69"/>
      <c r="O37" s="65" t="s">
        <v>117</v>
      </c>
      <c r="P37" s="43" t="n">
        <v>1.9</v>
      </c>
      <c r="Q37" s="41"/>
      <c r="R37" s="48" t="n">
        <v>40000000</v>
      </c>
      <c r="S37" s="41" t="n">
        <v>56.5</v>
      </c>
      <c r="T37" s="41" t="n">
        <v>56.9</v>
      </c>
      <c r="U37" s="41"/>
      <c r="V37" s="41" t="n">
        <v>67</v>
      </c>
      <c r="W37" s="41" t="n">
        <v>69.1</v>
      </c>
      <c r="X37" s="49" t="n">
        <f aca="false">+IF(ISNUMBER($S37),$S37,MIN($V37,$T37,$U37,$W37))</f>
        <v>56.5</v>
      </c>
      <c r="Y37" s="48" t="n">
        <v>0.094</v>
      </c>
      <c r="Z37" s="48" t="n">
        <v>80000000</v>
      </c>
      <c r="AA37" s="50" t="n">
        <v>1</v>
      </c>
      <c r="AB37" s="48" t="n">
        <f aca="false">Z37/AA37</f>
        <v>80000000</v>
      </c>
      <c r="AC37" s="114"/>
      <c r="AD37" s="107" t="n">
        <f aca="false">Y37/AB37*1000000000000</f>
        <v>1175</v>
      </c>
      <c r="AE37" s="49" t="str">
        <f aca="false">IF(ISNUMBER($Q37),$AD37*1000/2^(($Q37-1.76)/6.02), "")</f>
        <v/>
      </c>
      <c r="AF37" s="49" t="n">
        <f aca="false">$AD37*1000/2^(($X37-1.76)/6.02)</f>
        <v>2151.61773491118</v>
      </c>
      <c r="AG37" s="49" t="str">
        <f aca="false">IF(ISNUMBER($Q37), $Q37+10*LOG10($AB37/2/$Y37), "")</f>
        <v/>
      </c>
      <c r="AH37" s="49" t="n">
        <f aca="false">$X37+10*LOG10($AB37/2/$Y37)</f>
        <v>142.789321377283</v>
      </c>
      <c r="AI37" s="52" t="n">
        <f aca="false">AF37/AB37</f>
        <v>2.68952216863897E-005</v>
      </c>
      <c r="AJ37" s="53" t="n">
        <f aca="false">AH37+10*LOG10(AB37)</f>
        <v>221.820221247202</v>
      </c>
    </row>
    <row r="38" customFormat="false" ht="12.75" hidden="false" customHeight="false" outlineLevel="0" collapsed="false">
      <c r="A38" s="50" t="n">
        <v>2005</v>
      </c>
      <c r="B38" s="43" t="n">
        <v>21.3</v>
      </c>
      <c r="C38" s="42" t="s">
        <v>111</v>
      </c>
      <c r="D38" s="42" t="s">
        <v>133</v>
      </c>
      <c r="E38" s="42" t="n">
        <v>0.18</v>
      </c>
      <c r="F38" s="111" t="s">
        <v>2050</v>
      </c>
      <c r="G38" s="112" t="s">
        <v>2051</v>
      </c>
      <c r="H38" s="111" t="s">
        <v>2052</v>
      </c>
      <c r="I38" s="111" t="s">
        <v>2053</v>
      </c>
      <c r="J38" s="113" t="str">
        <f aca="false">IF(I38&lt;&gt;"?", HYPERLINK(CONCATENATE("https://doi.org/",I38)), "")</f>
        <v>https://doi.org/10.1109/VLSIC.2005.1469398</v>
      </c>
      <c r="K38" s="45" t="s">
        <v>117</v>
      </c>
      <c r="L38" s="69"/>
      <c r="M38" s="69"/>
      <c r="N38" s="69"/>
      <c r="O38" s="65" t="s">
        <v>117</v>
      </c>
      <c r="P38" s="43" t="n">
        <v>1.15</v>
      </c>
      <c r="Q38" s="41"/>
      <c r="R38" s="48" t="n">
        <v>10000000</v>
      </c>
      <c r="S38" s="41" t="n">
        <v>70.4</v>
      </c>
      <c r="T38" s="41" t="n">
        <v>73.2</v>
      </c>
      <c r="U38" s="41"/>
      <c r="V38" s="41"/>
      <c r="W38" s="41"/>
      <c r="X38" s="49" t="n">
        <f aca="false">+IF(ISNUMBER($S38),$S38,MIN($V38,$T38,$U38,$W38))</f>
        <v>70.4</v>
      </c>
      <c r="Y38" s="48" t="n">
        <v>0.0337</v>
      </c>
      <c r="Z38" s="48" t="n">
        <v>20000000</v>
      </c>
      <c r="AA38" s="50" t="n">
        <v>1</v>
      </c>
      <c r="AB38" s="48" t="n">
        <f aca="false">Z38/AA38</f>
        <v>20000000</v>
      </c>
      <c r="AC38" s="114"/>
      <c r="AD38" s="107" t="n">
        <f aca="false">Y38/AB38*1000000000000</f>
        <v>1685</v>
      </c>
      <c r="AE38" s="49" t="str">
        <f aca="false">IF(ISNUMBER($Q38),$AD38*1000/2^(($Q38-1.76)/6.02), "")</f>
        <v/>
      </c>
      <c r="AF38" s="49" t="n">
        <f aca="false">$AD38*1000/2^(($X38-1.76)/6.02)</f>
        <v>622.669932270819</v>
      </c>
      <c r="AG38" s="49" t="str">
        <f aca="false">IF(ISNUMBER($Q38), $Q38+10*LOG10($AB38/2/$Y38), "")</f>
        <v/>
      </c>
      <c r="AH38" s="49" t="n">
        <f aca="false">$X38+10*LOG10($AB38/2/$Y38)</f>
        <v>155.123700991287</v>
      </c>
      <c r="AI38" s="52" t="n">
        <f aca="false">AF38/AB38</f>
        <v>3.11334966135409E-005</v>
      </c>
      <c r="AJ38" s="53" t="n">
        <f aca="false">AH38+10*LOG10(AB38)</f>
        <v>228.134000947926</v>
      </c>
    </row>
    <row r="39" customFormat="false" ht="12.75" hidden="false" customHeight="false" outlineLevel="0" collapsed="false">
      <c r="A39" s="40" t="n">
        <v>2006</v>
      </c>
      <c r="B39" s="43" t="n">
        <v>6.2</v>
      </c>
      <c r="C39" s="42" t="s">
        <v>111</v>
      </c>
      <c r="D39" s="42" t="s">
        <v>241</v>
      </c>
      <c r="E39" s="42" t="n">
        <v>0.13</v>
      </c>
      <c r="F39" s="111" t="s">
        <v>2054</v>
      </c>
      <c r="G39" s="112" t="s">
        <v>2055</v>
      </c>
      <c r="H39" s="111" t="s">
        <v>2056</v>
      </c>
      <c r="I39" s="111" t="s">
        <v>2057</v>
      </c>
      <c r="J39" s="113" t="str">
        <f aca="false">IF(I39&lt;&gt;"?", HYPERLINK(CONCATENATE("https://doi.org/",I39)), "")</f>
        <v>https://doi.org/10.1109/VLSIC.2006.1705305</v>
      </c>
      <c r="K39" s="45" t="s">
        <v>117</v>
      </c>
      <c r="L39" s="69"/>
      <c r="M39" s="69"/>
      <c r="N39" s="69"/>
      <c r="O39" s="65" t="s">
        <v>117</v>
      </c>
      <c r="P39" s="43" t="n">
        <v>0.055</v>
      </c>
      <c r="Q39" s="41"/>
      <c r="R39" s="48" t="n">
        <f aca="false">41670/2</f>
        <v>20835</v>
      </c>
      <c r="S39" s="41" t="n">
        <v>60</v>
      </c>
      <c r="T39" s="41"/>
      <c r="U39" s="41"/>
      <c r="V39" s="41"/>
      <c r="W39" s="41" t="n">
        <v>80</v>
      </c>
      <c r="X39" s="49" t="n">
        <f aca="false">+IF(ISNUMBER($S39),$S39,MIN($V39,$T39,$U39,$W39))</f>
        <v>60</v>
      </c>
      <c r="Y39" s="48" t="n">
        <v>3.2E-005</v>
      </c>
      <c r="Z39" s="48" t="n">
        <v>41670</v>
      </c>
      <c r="AA39" s="50" t="n">
        <v>1</v>
      </c>
      <c r="AB39" s="48" t="n">
        <f aca="false">Z39/AA39</f>
        <v>41670</v>
      </c>
      <c r="AC39" s="114"/>
      <c r="AD39" s="107" t="n">
        <f aca="false">Y39/AB39*1000000000000</f>
        <v>767.938564914807</v>
      </c>
      <c r="AE39" s="49" t="str">
        <f aca="false">IF(ISNUMBER($Q39),$AD39*1000/2^(($Q39-1.76)/6.02), "")</f>
        <v/>
      </c>
      <c r="AF39" s="49" t="n">
        <f aca="false">$AD39*1000/2^(($X39-1.76)/6.02)</f>
        <v>939.801831944799</v>
      </c>
      <c r="AG39" s="49" t="str">
        <f aca="false">IF(ISNUMBER($Q39), $Q39+10*LOG10($AB39/2/$Y39), "")</f>
        <v/>
      </c>
      <c r="AH39" s="49" t="n">
        <f aca="false">$X39+10*LOG10($AB39/2/$Y39)</f>
        <v>148.136435264734</v>
      </c>
      <c r="AI39" s="52" t="n">
        <f aca="false">AF39/AB39</f>
        <v>0.0225534396914998</v>
      </c>
      <c r="AJ39" s="53" t="n">
        <f aca="false">AH39+10*LOG10(AB39)</f>
        <v>194.334670269307</v>
      </c>
    </row>
    <row r="40" customFormat="false" ht="12.75" hidden="false" customHeight="false" outlineLevel="0" collapsed="false">
      <c r="A40" s="50" t="n">
        <v>2006</v>
      </c>
      <c r="B40" s="43" t="n">
        <v>6.3</v>
      </c>
      <c r="C40" s="42" t="s">
        <v>111</v>
      </c>
      <c r="D40" s="42" t="s">
        <v>241</v>
      </c>
      <c r="E40" s="42" t="n">
        <v>0.13</v>
      </c>
      <c r="F40" s="111" t="s">
        <v>2058</v>
      </c>
      <c r="G40" s="112" t="s">
        <v>2059</v>
      </c>
      <c r="H40" s="111" t="s">
        <v>2060</v>
      </c>
      <c r="I40" s="111" t="s">
        <v>2061</v>
      </c>
      <c r="J40" s="113" t="str">
        <f aca="false">IF(I40&lt;&gt;"?", HYPERLINK(CONCATENATE("https://doi.org/",I40)), "")</f>
        <v>https://doi.org/10.1109/VLSIC.2006.1705306</v>
      </c>
      <c r="K40" s="45" t="s">
        <v>117</v>
      </c>
      <c r="L40" s="69" t="n">
        <v>3</v>
      </c>
      <c r="M40" s="69"/>
      <c r="N40" s="69"/>
      <c r="O40" s="65" t="s">
        <v>117</v>
      </c>
      <c r="P40" s="43" t="n">
        <v>0.19</v>
      </c>
      <c r="Q40" s="41"/>
      <c r="R40" s="48" t="n">
        <f aca="false">10000000/2</f>
        <v>5000000</v>
      </c>
      <c r="S40" s="41" t="n">
        <v>56</v>
      </c>
      <c r="T40" s="41" t="n">
        <v>58</v>
      </c>
      <c r="U40" s="41"/>
      <c r="V40" s="41"/>
      <c r="W40" s="41" t="n">
        <v>69</v>
      </c>
      <c r="X40" s="49" t="n">
        <f aca="false">+IF(ISNUMBER($S40),$S40,MIN($V40,$T40,$U40,$W40))</f>
        <v>56</v>
      </c>
      <c r="Y40" s="48" t="n">
        <v>0.01</v>
      </c>
      <c r="Z40" s="48" t="n">
        <v>10000000</v>
      </c>
      <c r="AA40" s="50" t="n">
        <v>1</v>
      </c>
      <c r="AB40" s="48" t="n">
        <f aca="false">Z40/AA40</f>
        <v>10000000</v>
      </c>
      <c r="AC40" s="114"/>
      <c r="AD40" s="107" t="n">
        <f aca="false">Y40/AB40*1000000000000</f>
        <v>1000</v>
      </c>
      <c r="AE40" s="49" t="str">
        <f aca="false">IF(ISNUMBER($Q40),$AD40*1000/2^(($Q40-1.76)/6.02), "")</f>
        <v/>
      </c>
      <c r="AF40" s="49" t="n">
        <f aca="false">$AD40*1000/2^(($X40-1.76)/6.02)</f>
        <v>1939.67844683372</v>
      </c>
      <c r="AG40" s="49" t="str">
        <f aca="false">IF(ISNUMBER($Q40), $Q40+10*LOG10($AB40/2/$Y40), "")</f>
        <v/>
      </c>
      <c r="AH40" s="49" t="n">
        <f aca="false">$X40+10*LOG10($AB40/2/$Y40)</f>
        <v>142.98970004336</v>
      </c>
      <c r="AI40" s="52" t="n">
        <f aca="false">AF40/AB40</f>
        <v>0.000193967844683372</v>
      </c>
      <c r="AJ40" s="53" t="n">
        <f aca="false">AH40+10*LOG10(AB40)</f>
        <v>212.98970004336</v>
      </c>
    </row>
    <row r="41" customFormat="false" ht="12.75" hidden="false" customHeight="false" outlineLevel="0" collapsed="false">
      <c r="A41" s="50" t="n">
        <v>2006</v>
      </c>
      <c r="B41" s="43" t="n">
        <v>16.1</v>
      </c>
      <c r="C41" s="42" t="s">
        <v>111</v>
      </c>
      <c r="D41" s="42" t="s">
        <v>133</v>
      </c>
      <c r="E41" s="42" t="n">
        <v>0.18</v>
      </c>
      <c r="F41" s="111" t="s">
        <v>2062</v>
      </c>
      <c r="G41" s="112" t="s">
        <v>2063</v>
      </c>
      <c r="H41" s="111" t="s">
        <v>2064</v>
      </c>
      <c r="I41" s="111" t="s">
        <v>2065</v>
      </c>
      <c r="J41" s="113" t="str">
        <f aca="false">IF(I41&lt;&gt;"?", HYPERLINK(CONCATENATE("https://doi.org/",I41)), "")</f>
        <v>https://doi.org/10.1109/VLSIC.2006.1705346</v>
      </c>
      <c r="K41" s="45" t="s">
        <v>117</v>
      </c>
      <c r="L41" s="69" t="n">
        <v>1.8</v>
      </c>
      <c r="M41" s="69"/>
      <c r="N41" s="69"/>
      <c r="O41" s="65" t="s">
        <v>117</v>
      </c>
      <c r="P41" s="43" t="n">
        <v>0.5</v>
      </c>
      <c r="Q41" s="41"/>
      <c r="R41" s="48" t="n">
        <v>400000000</v>
      </c>
      <c r="S41" s="41" t="n">
        <v>33.7</v>
      </c>
      <c r="T41" s="41"/>
      <c r="U41" s="41"/>
      <c r="V41" s="41"/>
      <c r="W41" s="41" t="n">
        <v>47.5</v>
      </c>
      <c r="X41" s="49" t="n">
        <f aca="false">+IF(ISNUMBER($S41),$S41,MIN($V41,$T41,$U41,$W41))</f>
        <v>33.7</v>
      </c>
      <c r="Y41" s="48" t="n">
        <v>0.105</v>
      </c>
      <c r="Z41" s="48" t="n">
        <v>800000000</v>
      </c>
      <c r="AA41" s="50" t="n">
        <v>1</v>
      </c>
      <c r="AB41" s="48" t="n">
        <f aca="false">Z41/AA41</f>
        <v>800000000</v>
      </c>
      <c r="AC41" s="114"/>
      <c r="AD41" s="107" t="n">
        <f aca="false">Y41/AB41*1000000000000</f>
        <v>131.25</v>
      </c>
      <c r="AE41" s="49" t="str">
        <f aca="false">IF(ISNUMBER($Q41),$AD41*1000/2^(($Q41-1.76)/6.02), "")</f>
        <v/>
      </c>
      <c r="AF41" s="49" t="n">
        <f aca="false">$AD41*1000/2^(($X41-1.76)/6.02)</f>
        <v>3318.48734379436</v>
      </c>
      <c r="AG41" s="49" t="str">
        <f aca="false">IF(ISNUMBER($Q41), $Q41+10*LOG10($AB41/2/$Y41), "")</f>
        <v/>
      </c>
      <c r="AH41" s="49" t="n">
        <f aca="false">$X41+10*LOG10($AB41/2/$Y41)</f>
        <v>129.50870692258</v>
      </c>
      <c r="AI41" s="52" t="n">
        <f aca="false">AF41/AB41</f>
        <v>4.14810917974294E-006</v>
      </c>
      <c r="AJ41" s="53" t="n">
        <f aca="false">AH41+10*LOG10(AB41)</f>
        <v>218.5396067925</v>
      </c>
    </row>
    <row r="42" customFormat="false" ht="12.75" hidden="false" customHeight="false" outlineLevel="0" collapsed="false">
      <c r="A42" s="50" t="n">
        <v>2006</v>
      </c>
      <c r="B42" s="43" t="n">
        <v>16.2</v>
      </c>
      <c r="C42" s="42" t="s">
        <v>111</v>
      </c>
      <c r="D42" s="42" t="s">
        <v>2066</v>
      </c>
      <c r="E42" s="42" t="n">
        <v>0.18</v>
      </c>
      <c r="F42" s="111" t="s">
        <v>2067</v>
      </c>
      <c r="G42" s="112" t="s">
        <v>2068</v>
      </c>
      <c r="H42" s="111" t="s">
        <v>2069</v>
      </c>
      <c r="I42" s="111" t="s">
        <v>2070</v>
      </c>
      <c r="J42" s="113" t="str">
        <f aca="false">IF(I42&lt;&gt;"?", HYPERLINK(CONCATENATE("https://doi.org/",I42)), "")</f>
        <v>https://doi.org/10.1109/VLSIC.2006.1705347</v>
      </c>
      <c r="K42" s="45" t="s">
        <v>2071</v>
      </c>
      <c r="L42" s="69" t="n">
        <v>1</v>
      </c>
      <c r="M42" s="69"/>
      <c r="N42" s="69"/>
      <c r="O42" s="65" t="s">
        <v>117</v>
      </c>
      <c r="P42" s="43" t="n">
        <v>2.04</v>
      </c>
      <c r="Q42" s="41"/>
      <c r="R42" s="48" t="n">
        <v>50000000</v>
      </c>
      <c r="S42" s="41" t="n">
        <v>41.5</v>
      </c>
      <c r="T42" s="41" t="n">
        <v>45.2</v>
      </c>
      <c r="U42" s="41"/>
      <c r="V42" s="41"/>
      <c r="W42" s="41" t="n">
        <v>52.6</v>
      </c>
      <c r="X42" s="49" t="n">
        <f aca="false">+IF(ISNUMBER($S42),$S42,MIN($V42,$T42,$U42,$W42))</f>
        <v>41.5</v>
      </c>
      <c r="Y42" s="48" t="n">
        <v>0.03</v>
      </c>
      <c r="Z42" s="48" t="n">
        <v>100000000</v>
      </c>
      <c r="AA42" s="50" t="n">
        <v>1</v>
      </c>
      <c r="AB42" s="48" t="n">
        <f aca="false">Z42/AA42</f>
        <v>100000000</v>
      </c>
      <c r="AC42" s="114"/>
      <c r="AD42" s="107" t="n">
        <f aca="false">Y42/AB42*1000000000000</f>
        <v>300</v>
      </c>
      <c r="AE42" s="49" t="str">
        <f aca="false">IF(ISNUMBER($Q42),$AD42*1000/2^(($Q42-1.76)/6.02), "")</f>
        <v/>
      </c>
      <c r="AF42" s="49" t="n">
        <f aca="false">$AD42*1000/2^(($X42-1.76)/6.02)</f>
        <v>3089.74930681934</v>
      </c>
      <c r="AG42" s="49" t="str">
        <f aca="false">IF(ISNUMBER($Q42), $Q42+10*LOG10($AB42/2/$Y42), "")</f>
        <v/>
      </c>
      <c r="AH42" s="49" t="n">
        <f aca="false">$X42+10*LOG10($AB42/2/$Y42)</f>
        <v>133.718487496164</v>
      </c>
      <c r="AI42" s="52" t="n">
        <f aca="false">AF42/AB42</f>
        <v>3.08974930681934E-005</v>
      </c>
      <c r="AJ42" s="53" t="n">
        <f aca="false">AH42+10*LOG10(AB42)</f>
        <v>213.718487496164</v>
      </c>
    </row>
    <row r="43" customFormat="false" ht="12.75" hidden="false" customHeight="false" outlineLevel="0" collapsed="false">
      <c r="A43" s="50" t="n">
        <f aca="false">+IF(OR(ISBLANK(A42),ISERROR(A42)),"",A42)</f>
        <v>2006</v>
      </c>
      <c r="B43" s="43" t="n">
        <f aca="false">+IF(OR(ISBLANK(B42),ISERROR(B42)),"",B42)</f>
        <v>16.2</v>
      </c>
      <c r="C43" s="42" t="str">
        <f aca="false">+IF(OR(ISBLANK(C42),ISERROR(C42)),"",C42)</f>
        <v>NQ</v>
      </c>
      <c r="D43" s="42" t="str">
        <f aca="false">+IF(OR(ISBLANK(D42),ISERROR(D42)),"",D42)</f>
        <v>Pipe, SwOpAmp</v>
      </c>
      <c r="E43" s="42" t="n">
        <f aca="false">+IF(OR(ISBLANK(E42),ISERROR(E42)),"",E42)</f>
        <v>0.18</v>
      </c>
      <c r="F43" s="45" t="s">
        <v>2067</v>
      </c>
      <c r="G43" s="45" t="s">
        <v>2068</v>
      </c>
      <c r="H43" s="45" t="str">
        <f aca="false">+IF(OR(ISBLANK(H42),ISERROR(H42)),"",H42)</f>
        <v>Y. Wu, V. Cheung, H. Luong</v>
      </c>
      <c r="I43" s="111" t="s">
        <v>2070</v>
      </c>
      <c r="J43" s="113" t="str">
        <f aca="false">IF(I43&lt;&gt;"?", HYPERLINK(CONCATENATE("https://doi.org/",I43)), "")</f>
        <v>https://doi.org/10.1109/VLSIC.2006.1705347</v>
      </c>
      <c r="K43" s="45" t="s">
        <v>2072</v>
      </c>
      <c r="L43" s="69" t="n">
        <v>1</v>
      </c>
      <c r="M43" s="69"/>
      <c r="N43" s="69"/>
      <c r="O43" s="65" t="s">
        <v>117</v>
      </c>
      <c r="P43" s="43" t="n">
        <v>2.04</v>
      </c>
      <c r="Q43" s="41"/>
      <c r="R43" s="48" t="n">
        <v>20000000</v>
      </c>
      <c r="S43" s="41" t="n">
        <v>44.5</v>
      </c>
      <c r="T43" s="41" t="n">
        <v>46.5</v>
      </c>
      <c r="U43" s="41"/>
      <c r="V43" s="41"/>
      <c r="W43" s="41" t="n">
        <v>54.4</v>
      </c>
      <c r="X43" s="49" t="n">
        <f aca="false">+IF(ISNUMBER($S43),$S43,MIN($V43,$T43,$U43,$W43))</f>
        <v>44.5</v>
      </c>
      <c r="Y43" s="48" t="n">
        <v>0.03</v>
      </c>
      <c r="Z43" s="48" t="n">
        <v>40000000</v>
      </c>
      <c r="AA43" s="50" t="n">
        <v>1</v>
      </c>
      <c r="AB43" s="48" t="n">
        <f aca="false">Z43/AA43</f>
        <v>40000000</v>
      </c>
      <c r="AC43" s="114"/>
      <c r="AD43" s="107" t="n">
        <f aca="false">Y43/AB43*1000000000000</f>
        <v>750</v>
      </c>
      <c r="AE43" s="49" t="str">
        <f aca="false">IF(ISNUMBER($Q43),$AD43*1000/2^(($Q43-1.76)/6.02), "")</f>
        <v/>
      </c>
      <c r="AF43" s="49" t="n">
        <f aca="false">$AD43*1000/2^(($X43-1.76)/6.02)</f>
        <v>5468.24927620918</v>
      </c>
      <c r="AG43" s="49" t="str">
        <f aca="false">IF(ISNUMBER($Q43), $Q43+10*LOG10($AB43/2/$Y43), "")</f>
        <v/>
      </c>
      <c r="AH43" s="49" t="n">
        <f aca="false">$X43+10*LOG10($AB43/2/$Y43)</f>
        <v>132.739087409443</v>
      </c>
      <c r="AI43" s="52" t="n">
        <f aca="false">AF43/AB43</f>
        <v>0.000136706231905229</v>
      </c>
      <c r="AJ43" s="53" t="n">
        <f aca="false">AH43+10*LOG10(AB43)</f>
        <v>208.759687322723</v>
      </c>
    </row>
    <row r="44" customFormat="false" ht="12.75" hidden="false" customHeight="false" outlineLevel="0" collapsed="false">
      <c r="A44" s="50" t="n">
        <v>2006</v>
      </c>
      <c r="B44" s="43" t="n">
        <v>16.3</v>
      </c>
      <c r="C44" s="42" t="s">
        <v>111</v>
      </c>
      <c r="D44" s="42" t="s">
        <v>118</v>
      </c>
      <c r="E44" s="42" t="n">
        <v>0.09</v>
      </c>
      <c r="F44" s="111" t="s">
        <v>2073</v>
      </c>
      <c r="G44" s="112" t="s">
        <v>2074</v>
      </c>
      <c r="H44" s="111" t="s">
        <v>2075</v>
      </c>
      <c r="I44" s="111" t="s">
        <v>2076</v>
      </c>
      <c r="J44" s="113" t="str">
        <f aca="false">IF(I44&lt;&gt;"?", HYPERLINK(CONCATENATE("https://doi.org/",I44)), "")</f>
        <v>https://doi.org/10.1109/VLSIC.2006.1705348</v>
      </c>
      <c r="K44" s="45" t="s">
        <v>117</v>
      </c>
      <c r="L44" s="69" t="n">
        <v>2.5</v>
      </c>
      <c r="M44" s="69" t="n">
        <v>1.2</v>
      </c>
      <c r="N44" s="69"/>
      <c r="O44" s="65" t="s">
        <v>117</v>
      </c>
      <c r="P44" s="43" t="n">
        <v>0.32</v>
      </c>
      <c r="Q44" s="41"/>
      <c r="R44" s="48" t="n">
        <v>400000000</v>
      </c>
      <c r="S44" s="41" t="n">
        <v>33.6</v>
      </c>
      <c r="T44" s="41" t="n">
        <v>36.8</v>
      </c>
      <c r="U44" s="41"/>
      <c r="V44" s="41"/>
      <c r="W44" s="41"/>
      <c r="X44" s="49" t="n">
        <f aca="false">+IF(ISNUMBER($S44),$S44,MIN($V44,$T44,$U44,$W44))</f>
        <v>33.6</v>
      </c>
      <c r="Y44" s="48" t="n">
        <v>0.12</v>
      </c>
      <c r="Z44" s="48" t="n">
        <v>800000000</v>
      </c>
      <c r="AA44" s="50" t="n">
        <v>1</v>
      </c>
      <c r="AB44" s="48" t="n">
        <f aca="false">Z44/AA44</f>
        <v>800000000</v>
      </c>
      <c r="AC44" s="114"/>
      <c r="AD44" s="107" t="n">
        <f aca="false">Y44/AB44*1000000000000</f>
        <v>150</v>
      </c>
      <c r="AE44" s="49" t="str">
        <f aca="false">IF(ISNUMBER($Q44),$AD44*1000/2^(($Q44-1.76)/6.02), "")</f>
        <v/>
      </c>
      <c r="AF44" s="49" t="n">
        <f aca="false">$AD44*1000/2^(($X44-1.76)/6.02)</f>
        <v>3836.47710582759</v>
      </c>
      <c r="AG44" s="49" t="str">
        <f aca="false">IF(ISNUMBER($Q44), $Q44+10*LOG10($AB44/2/$Y44), "")</f>
        <v/>
      </c>
      <c r="AH44" s="49" t="n">
        <f aca="false">$X44+10*LOG10($AB44/2/$Y44)</f>
        <v>128.828787452803</v>
      </c>
      <c r="AI44" s="52" t="n">
        <f aca="false">AF44/AB44</f>
        <v>4.79559638228449E-006</v>
      </c>
      <c r="AJ44" s="53" t="n">
        <f aca="false">AH44+10*LOG10(AB44)</f>
        <v>217.859687322723</v>
      </c>
    </row>
    <row r="45" customFormat="false" ht="12.75" hidden="false" customHeight="false" outlineLevel="0" collapsed="false">
      <c r="A45" s="50" t="n">
        <v>2006</v>
      </c>
      <c r="B45" s="43" t="n">
        <v>16.4</v>
      </c>
      <c r="C45" s="42" t="s">
        <v>111</v>
      </c>
      <c r="D45" s="42" t="s">
        <v>548</v>
      </c>
      <c r="E45" s="42" t="n">
        <v>0.065</v>
      </c>
      <c r="F45" s="111" t="s">
        <v>2077</v>
      </c>
      <c r="G45" s="112" t="s">
        <v>2078</v>
      </c>
      <c r="H45" s="111" t="s">
        <v>2079</v>
      </c>
      <c r="I45" s="111" t="s">
        <v>2080</v>
      </c>
      <c r="J45" s="113" t="str">
        <f aca="false">IF(I45&lt;&gt;"?", HYPERLINK(CONCATENATE("https://doi.org/",I45)), "")</f>
        <v>https://doi.org/10.1109/VLSIC.2006.1705349</v>
      </c>
      <c r="K45" s="45" t="s">
        <v>117</v>
      </c>
      <c r="L45" s="69"/>
      <c r="M45" s="69"/>
      <c r="N45" s="69"/>
      <c r="O45" s="65" t="s">
        <v>117</v>
      </c>
      <c r="P45" s="43" t="n">
        <v>2.28</v>
      </c>
      <c r="Q45" s="41"/>
      <c r="R45" s="48" t="n">
        <v>250000000</v>
      </c>
      <c r="S45" s="41" t="n">
        <v>26</v>
      </c>
      <c r="T45" s="41"/>
      <c r="U45" s="41"/>
      <c r="V45" s="41"/>
      <c r="W45" s="41" t="n">
        <v>35</v>
      </c>
      <c r="X45" s="49" t="n">
        <f aca="false">+IF(ISNUMBER($S45),$S45,MIN($V45,$T45,$U45,$W45))</f>
        <v>26</v>
      </c>
      <c r="Y45" s="48" t="n">
        <v>0.006</v>
      </c>
      <c r="Z45" s="48" t="n">
        <v>500000000</v>
      </c>
      <c r="AA45" s="50" t="n">
        <v>1</v>
      </c>
      <c r="AB45" s="48" t="n">
        <f aca="false">Z45/AA45</f>
        <v>500000000</v>
      </c>
      <c r="AC45" s="114"/>
      <c r="AD45" s="107" t="n">
        <f aca="false">Y45/AB45*1000000000000</f>
        <v>12</v>
      </c>
      <c r="AE45" s="49" t="str">
        <f aca="false">IF(ISNUMBER($Q45),$AD45*1000/2^(($Q45-1.76)/6.02), "")</f>
        <v/>
      </c>
      <c r="AF45" s="49" t="n">
        <f aca="false">$AD45*1000/2^(($X45-1.76)/6.02)</f>
        <v>736.309605632803</v>
      </c>
      <c r="AG45" s="49" t="str">
        <f aca="false">IF(ISNUMBER($Q45), $Q45+10*LOG10($AB45/2/$Y45), "")</f>
        <v/>
      </c>
      <c r="AH45" s="49" t="n">
        <f aca="false">$X45+10*LOG10($AB45/2/$Y45)</f>
        <v>132.197887582884</v>
      </c>
      <c r="AI45" s="52" t="n">
        <f aca="false">AF45/AB45</f>
        <v>1.47261921126561E-006</v>
      </c>
      <c r="AJ45" s="53" t="n">
        <f aca="false">AH45+10*LOG10(AB45)</f>
        <v>219.187587626244</v>
      </c>
    </row>
    <row r="46" customFormat="false" ht="12.75" hidden="false" customHeight="false" outlineLevel="0" collapsed="false">
      <c r="A46" s="50" t="n">
        <v>2006</v>
      </c>
      <c r="B46" s="43" t="n">
        <v>19.1</v>
      </c>
      <c r="C46" s="42" t="s">
        <v>139</v>
      </c>
      <c r="D46" s="42" t="s">
        <v>581</v>
      </c>
      <c r="E46" s="42" t="n">
        <v>0.13</v>
      </c>
      <c r="F46" s="111" t="s">
        <v>2081</v>
      </c>
      <c r="G46" s="112" t="s">
        <v>2082</v>
      </c>
      <c r="H46" s="111" t="s">
        <v>2083</v>
      </c>
      <c r="I46" s="111" t="s">
        <v>2084</v>
      </c>
      <c r="J46" s="113" t="str">
        <f aca="false">IF(I46&lt;&gt;"?", HYPERLINK(CONCATENATE("https://doi.org/",I46)), "")</f>
        <v>https://doi.org/10.1109/VLSIC.2006.1705359</v>
      </c>
      <c r="K46" s="45" t="s">
        <v>117</v>
      </c>
      <c r="L46" s="69" t="n">
        <v>0.9</v>
      </c>
      <c r="M46" s="69"/>
      <c r="N46" s="69"/>
      <c r="O46" s="65" t="s">
        <v>117</v>
      </c>
      <c r="P46" s="43" t="n">
        <v>1.44</v>
      </c>
      <c r="Q46" s="41"/>
      <c r="R46" s="48" t="n">
        <v>24000</v>
      </c>
      <c r="S46" s="41" t="n">
        <v>89</v>
      </c>
      <c r="T46" s="41" t="n">
        <v>91</v>
      </c>
      <c r="U46" s="41" t="n">
        <v>92</v>
      </c>
      <c r="V46" s="41"/>
      <c r="W46" s="41"/>
      <c r="X46" s="49" t="n">
        <f aca="false">+IF(ISNUMBER($S46),$S46,MIN($V46,$T46,$U46,$W46))</f>
        <v>89</v>
      </c>
      <c r="Y46" s="48" t="n">
        <v>0.0015</v>
      </c>
      <c r="Z46" s="48" t="n">
        <v>6144000</v>
      </c>
      <c r="AA46" s="50" t="n">
        <v>128</v>
      </c>
      <c r="AB46" s="48" t="n">
        <f aca="false">Z46/AA46</f>
        <v>48000</v>
      </c>
      <c r="AC46" s="114"/>
      <c r="AD46" s="107" t="n">
        <f aca="false">Y46/AB46*1000000000000</f>
        <v>31250</v>
      </c>
      <c r="AE46" s="49" t="str">
        <f aca="false">IF(ISNUMBER($Q46),$AD46*1000/2^(($Q46-1.76)/6.02), "")</f>
        <v/>
      </c>
      <c r="AF46" s="49" t="n">
        <f aca="false">$AD46*1000/2^(($X46-1.76)/6.02)</f>
        <v>1356.48605567474</v>
      </c>
      <c r="AG46" s="49" t="str">
        <f aca="false">IF(ISNUMBER($Q46), $Q46+10*LOG10($AB46/2/$Y46), "")</f>
        <v/>
      </c>
      <c r="AH46" s="49" t="n">
        <f aca="false">$X46+10*LOG10($AB46/2/$Y46)</f>
        <v>161.041199826559</v>
      </c>
      <c r="AI46" s="52" t="n">
        <f aca="false">AF46/AB46</f>
        <v>0.0282601261598903</v>
      </c>
      <c r="AJ46" s="53" t="n">
        <f aca="false">AH46+10*LOG10(AB46)</f>
        <v>207.853612200315</v>
      </c>
    </row>
    <row r="47" customFormat="false" ht="12.75" hidden="false" customHeight="false" outlineLevel="0" collapsed="false">
      <c r="A47" s="50" t="n">
        <v>2006</v>
      </c>
      <c r="B47" s="43" t="n">
        <v>19.2</v>
      </c>
      <c r="C47" s="42" t="s">
        <v>139</v>
      </c>
      <c r="D47" s="42" t="s">
        <v>145</v>
      </c>
      <c r="E47" s="42" t="n">
        <v>0.13</v>
      </c>
      <c r="F47" s="111" t="s">
        <v>2085</v>
      </c>
      <c r="G47" s="112" t="s">
        <v>2086</v>
      </c>
      <c r="H47" s="111" t="s">
        <v>2087</v>
      </c>
      <c r="I47" s="111" t="s">
        <v>2088</v>
      </c>
      <c r="J47" s="113" t="str">
        <f aca="false">IF(I47&lt;&gt;"?", HYPERLINK(CONCATENATE("https://doi.org/",I47)), "")</f>
        <v>https://doi.org/10.1109/VLSIC.2006.1705360</v>
      </c>
      <c r="K47" s="45" t="s">
        <v>117</v>
      </c>
      <c r="L47" s="69"/>
      <c r="M47" s="69"/>
      <c r="N47" s="69"/>
      <c r="O47" s="65" t="s">
        <v>117</v>
      </c>
      <c r="P47" s="43" t="n">
        <v>1.51</v>
      </c>
      <c r="Q47" s="41"/>
      <c r="R47" s="48" t="n">
        <v>500000</v>
      </c>
      <c r="S47" s="41" t="n">
        <v>84</v>
      </c>
      <c r="T47" s="41" t="n">
        <v>84</v>
      </c>
      <c r="U47" s="41" t="n">
        <v>84</v>
      </c>
      <c r="V47" s="41"/>
      <c r="W47" s="41" t="n">
        <v>96</v>
      </c>
      <c r="X47" s="49" t="n">
        <f aca="false">+IF(ISNUMBER($S47),$S47,MIN($V47,$T47,$U47,$W47))</f>
        <v>84</v>
      </c>
      <c r="Y47" s="48" t="n">
        <v>0.0108</v>
      </c>
      <c r="Z47" s="48" t="n">
        <v>64000000</v>
      </c>
      <c r="AA47" s="50" t="n">
        <v>64</v>
      </c>
      <c r="AB47" s="48" t="n">
        <f aca="false">Z47/AA47</f>
        <v>1000000</v>
      </c>
      <c r="AC47" s="114"/>
      <c r="AD47" s="107" t="n">
        <f aca="false">Y47/AB47*1000000000000</f>
        <v>10800</v>
      </c>
      <c r="AE47" s="49" t="str">
        <f aca="false">IF(ISNUMBER($Q47),$AD47*1000/2^(($Q47-1.76)/6.02), "")</f>
        <v/>
      </c>
      <c r="AF47" s="49" t="n">
        <f aca="false">$AD47*1000/2^(($X47-1.76)/6.02)</f>
        <v>833.708022967878</v>
      </c>
      <c r="AG47" s="49" t="str">
        <f aca="false">IF(ISNUMBER($Q47), $Q47+10*LOG10($AB47/2/$Y47), "")</f>
        <v/>
      </c>
      <c r="AH47" s="49" t="n">
        <f aca="false">$X47+10*LOG10($AB47/2/$Y47)</f>
        <v>160.655462488491</v>
      </c>
      <c r="AI47" s="52" t="n">
        <f aca="false">AF47/AB47</f>
        <v>0.000833708022967878</v>
      </c>
      <c r="AJ47" s="53" t="n">
        <f aca="false">AH47+10*LOG10(AB47)</f>
        <v>220.655462488491</v>
      </c>
    </row>
    <row r="48" customFormat="false" ht="12.75" hidden="false" customHeight="false" outlineLevel="0" collapsed="false">
      <c r="A48" s="50" t="n">
        <v>2006</v>
      </c>
      <c r="B48" s="43" t="n">
        <v>19.4</v>
      </c>
      <c r="C48" s="42" t="s">
        <v>139</v>
      </c>
      <c r="D48" s="42" t="s">
        <v>145</v>
      </c>
      <c r="E48" s="42" t="n">
        <v>0.09</v>
      </c>
      <c r="F48" s="111" t="s">
        <v>2089</v>
      </c>
      <c r="G48" s="112" t="s">
        <v>2090</v>
      </c>
      <c r="H48" s="111" t="s">
        <v>2091</v>
      </c>
      <c r="I48" s="111" t="s">
        <v>2092</v>
      </c>
      <c r="J48" s="113" t="str">
        <f aca="false">IF(I48&lt;&gt;"?", HYPERLINK(CONCATENATE("https://doi.org/",I48)), "")</f>
        <v>https://doi.org/10.1109/VLSIC.2006.1705362</v>
      </c>
      <c r="K48" s="45" t="s">
        <v>117</v>
      </c>
      <c r="L48" s="69" t="n">
        <v>1.4</v>
      </c>
      <c r="M48" s="69"/>
      <c r="N48" s="69"/>
      <c r="O48" s="65" t="s">
        <v>117</v>
      </c>
      <c r="P48" s="43" t="n">
        <v>1.3</v>
      </c>
      <c r="Q48" s="41"/>
      <c r="R48" s="48" t="n">
        <v>20480000</v>
      </c>
      <c r="S48" s="41" t="n">
        <v>63</v>
      </c>
      <c r="T48" s="41" t="n">
        <v>67</v>
      </c>
      <c r="U48" s="41"/>
      <c r="V48" s="41"/>
      <c r="W48" s="41" t="n">
        <v>67</v>
      </c>
      <c r="X48" s="49" t="n">
        <f aca="false">+IF(ISNUMBER($S48),$S48,MIN($V48,$T48,$U48,$W48))</f>
        <v>63</v>
      </c>
      <c r="Y48" s="48" t="n">
        <v>0.078</v>
      </c>
      <c r="Z48" s="48" t="n">
        <v>327680000</v>
      </c>
      <c r="AA48" s="50" t="n">
        <v>8</v>
      </c>
      <c r="AB48" s="48" t="n">
        <f aca="false">Z48/AA48</f>
        <v>40960000</v>
      </c>
      <c r="AC48" s="114"/>
      <c r="AD48" s="107" t="n">
        <f aca="false">Y48/AB48*1000000000000</f>
        <v>1904.296875</v>
      </c>
      <c r="AE48" s="49" t="str">
        <f aca="false">IF(ISNUMBER($Q48),$AD48*1000/2^(($Q48-1.76)/6.02), "")</f>
        <v/>
      </c>
      <c r="AF48" s="49" t="n">
        <f aca="false">$AD48*1000/2^(($X48-1.76)/6.02)</f>
        <v>1649.79322613647</v>
      </c>
      <c r="AG48" s="49" t="str">
        <f aca="false">IF(ISNUMBER($Q48), $Q48+10*LOG10($AB48/2/$Y48), "")</f>
        <v/>
      </c>
      <c r="AH48" s="49" t="n">
        <f aca="false">$X48+10*LOG10($AB48/2/$Y48)</f>
        <v>147.192353496133</v>
      </c>
      <c r="AI48" s="52" t="n">
        <f aca="false">AF48/AB48</f>
        <v>4.02781549349724E-005</v>
      </c>
      <c r="AJ48" s="53" t="n">
        <f aca="false">AH48+10*LOG10(AB48)</f>
        <v>223.315952975811</v>
      </c>
    </row>
    <row r="49" customFormat="false" ht="12.75" hidden="false" customHeight="false" outlineLevel="0" collapsed="false">
      <c r="A49" s="50" t="n">
        <v>2006</v>
      </c>
      <c r="B49" s="43" t="n">
        <v>19.5</v>
      </c>
      <c r="C49" s="42" t="s">
        <v>139</v>
      </c>
      <c r="D49" s="42" t="s">
        <v>156</v>
      </c>
      <c r="E49" s="42" t="s">
        <v>2093</v>
      </c>
      <c r="F49" s="111" t="s">
        <v>2094</v>
      </c>
      <c r="G49" s="112" t="s">
        <v>2095</v>
      </c>
      <c r="H49" s="111" t="s">
        <v>2096</v>
      </c>
      <c r="I49" s="111" t="s">
        <v>2097</v>
      </c>
      <c r="J49" s="113" t="str">
        <f aca="false">IF(I49&lt;&gt;"?", HYPERLINK(CONCATENATE("https://doi.org/",I49)), "")</f>
        <v>https://doi.org/10.1109/VLSIC.2006.1705363</v>
      </c>
      <c r="K49" s="45" t="s">
        <v>117</v>
      </c>
      <c r="L49" s="69"/>
      <c r="M49" s="69"/>
      <c r="N49" s="69"/>
      <c r="O49" s="65" t="s">
        <v>117</v>
      </c>
      <c r="P49" s="43" t="n">
        <v>12.4</v>
      </c>
      <c r="Q49" s="41"/>
      <c r="R49" s="48" t="n">
        <v>1000000</v>
      </c>
      <c r="S49" s="41"/>
      <c r="T49" s="41" t="n">
        <v>76</v>
      </c>
      <c r="U49" s="41" t="n">
        <v>90</v>
      </c>
      <c r="V49" s="41"/>
      <c r="W49" s="41"/>
      <c r="X49" s="49" t="n">
        <f aca="false">+IF(ISNUMBER($S49),$S49,MIN($V49,$T49,$U49,$W49))</f>
        <v>76</v>
      </c>
      <c r="Y49" s="48" t="n">
        <v>7.7</v>
      </c>
      <c r="Z49" s="48" t="n">
        <v>4000000000</v>
      </c>
      <c r="AA49" s="50" t="n">
        <v>2000</v>
      </c>
      <c r="AB49" s="48" t="n">
        <f aca="false">Z49/AA49</f>
        <v>2000000</v>
      </c>
      <c r="AC49" s="114" t="n">
        <v>1400000000</v>
      </c>
      <c r="AD49" s="107" t="n">
        <f aca="false">Y49/AB49*1000000000000</f>
        <v>3850000</v>
      </c>
      <c r="AE49" s="49" t="str">
        <f aca="false">IF(ISNUMBER($Q49),$AD49*1000/2^(($Q49-1.76)/6.02), "")</f>
        <v/>
      </c>
      <c r="AF49" s="49" t="n">
        <f aca="false">$AD49*1000/2^(($X49-1.76)/6.02)</f>
        <v>746604.866152038</v>
      </c>
      <c r="AG49" s="49" t="str">
        <f aca="false">IF(ISNUMBER($Q49), $Q49+10*LOG10($AB49/2/$Y49), "")</f>
        <v/>
      </c>
      <c r="AH49" s="49" t="n">
        <f aca="false">$X49+10*LOG10($AB49/2/$Y49)</f>
        <v>127.135092748275</v>
      </c>
      <c r="AI49" s="52" t="n">
        <f aca="false">AF49/AB49</f>
        <v>0.373302433076019</v>
      </c>
      <c r="AJ49" s="53" t="n">
        <f aca="false">AH49+10*LOG10(AB49)</f>
        <v>190.145392704915</v>
      </c>
    </row>
    <row r="50" customFormat="false" ht="12.75" hidden="false" customHeight="false" outlineLevel="0" collapsed="false">
      <c r="A50" s="40" t="n">
        <v>2007</v>
      </c>
      <c r="B50" s="43" t="n">
        <v>7.1</v>
      </c>
      <c r="C50" s="42" t="s">
        <v>111</v>
      </c>
      <c r="D50" s="42" t="s">
        <v>548</v>
      </c>
      <c r="E50" s="42" t="n">
        <v>0.13</v>
      </c>
      <c r="F50" s="111" t="s">
        <v>2098</v>
      </c>
      <c r="G50" s="112" t="s">
        <v>2099</v>
      </c>
      <c r="H50" s="111" t="s">
        <v>2100</v>
      </c>
      <c r="I50" s="111" t="s">
        <v>2101</v>
      </c>
      <c r="J50" s="113" t="str">
        <f aca="false">IF(I50&lt;&gt;"?", HYPERLINK(CONCATENATE("https://doi.org/",I50)), "")</f>
        <v>https://doi.org/10.1109/VLSIC.2007.4342766</v>
      </c>
      <c r="K50" s="45" t="s">
        <v>117</v>
      </c>
      <c r="L50" s="69"/>
      <c r="M50" s="69"/>
      <c r="N50" s="69"/>
      <c r="O50" s="65" t="s">
        <v>117</v>
      </c>
      <c r="P50" s="43" t="n">
        <v>1.6</v>
      </c>
      <c r="Q50" s="41"/>
      <c r="R50" s="48" t="n">
        <f aca="false">Z50/2</f>
        <v>675000000</v>
      </c>
      <c r="S50" s="41" t="n">
        <f aca="false">7.7*6.02+1.76</f>
        <v>48.114</v>
      </c>
      <c r="T50" s="41"/>
      <c r="U50" s="41"/>
      <c r="V50" s="41"/>
      <c r="W50" s="41"/>
      <c r="X50" s="49" t="n">
        <f aca="false">+IF(ISNUMBER($S50),$S50,MIN($V50,$T50,$U50,$W50))</f>
        <v>48.114</v>
      </c>
      <c r="Y50" s="48" t="n">
        <f aca="false">0.0000000000006*Z50*2^7.7</f>
        <v>0.168428656908429</v>
      </c>
      <c r="Z50" s="48" t="n">
        <v>1350000000</v>
      </c>
      <c r="AA50" s="50" t="n">
        <v>1</v>
      </c>
      <c r="AB50" s="48" t="n">
        <f aca="false">Z50/AA50</f>
        <v>1350000000</v>
      </c>
      <c r="AC50" s="114"/>
      <c r="AD50" s="107" t="n">
        <f aca="false">Y50/AB50*1000000000000</f>
        <v>124.761968080318</v>
      </c>
      <c r="AE50" s="49" t="str">
        <f aca="false">IF(ISNUMBER($Q50),$AD50*1000/2^(($Q50-1.76)/6.02), "")</f>
        <v/>
      </c>
      <c r="AF50" s="49" t="n">
        <f aca="false">$AD50*1000/2^(($X50-1.76)/6.02)</f>
        <v>600</v>
      </c>
      <c r="AG50" s="49" t="str">
        <f aca="false">IF(ISNUMBER($Q50), $Q50+10*LOG10($AB50/2/$Y50), "")</f>
        <v/>
      </c>
      <c r="AH50" s="49" t="n">
        <f aca="false">$X50+10*LOG10($AB50/2/$Y50)</f>
        <v>144.142877873397</v>
      </c>
      <c r="AI50" s="52" t="n">
        <f aca="false">AF50/AB50</f>
        <v>4.44444444444444E-007</v>
      </c>
      <c r="AJ50" s="53" t="n">
        <f aca="false">AH50+10*LOG10(AB50)</f>
        <v>235.446215558347</v>
      </c>
    </row>
    <row r="51" customFormat="false" ht="12.75" hidden="false" customHeight="false" outlineLevel="0" collapsed="false">
      <c r="A51" s="50" t="n">
        <v>2007</v>
      </c>
      <c r="B51" s="43" t="n">
        <v>7.2</v>
      </c>
      <c r="C51" s="42" t="s">
        <v>111</v>
      </c>
      <c r="D51" s="42" t="s">
        <v>208</v>
      </c>
      <c r="E51" s="42" t="n">
        <v>0.09</v>
      </c>
      <c r="F51" s="111" t="s">
        <v>2102</v>
      </c>
      <c r="G51" s="112" t="s">
        <v>2103</v>
      </c>
      <c r="H51" s="111" t="s">
        <v>2104</v>
      </c>
      <c r="I51" s="111" t="s">
        <v>2105</v>
      </c>
      <c r="J51" s="113" t="str">
        <f aca="false">IF(I51&lt;&gt;"?", HYPERLINK(CONCATENATE("https://doi.org/",I51)), "")</f>
        <v>https://doi.org/10.1109/VLSIC.2007.4342767</v>
      </c>
      <c r="K51" s="45" t="s">
        <v>117</v>
      </c>
      <c r="L51" s="69" t="n">
        <v>0.9</v>
      </c>
      <c r="M51" s="69"/>
      <c r="N51" s="69"/>
      <c r="O51" s="65" t="s">
        <v>117</v>
      </c>
      <c r="P51" s="43" t="n">
        <v>0.1485</v>
      </c>
      <c r="Q51" s="41"/>
      <c r="R51" s="48" t="n">
        <f aca="false">Z51/2</f>
        <v>1750000000</v>
      </c>
      <c r="S51" s="41" t="n">
        <v>31.18</v>
      </c>
      <c r="T51" s="41"/>
      <c r="U51" s="41"/>
      <c r="V51" s="41"/>
      <c r="W51" s="41"/>
      <c r="X51" s="49" t="n">
        <f aca="false">+IF(ISNUMBER($S51),$S51,MIN($V51,$T51,$U51,$W51))</f>
        <v>31.18</v>
      </c>
      <c r="Y51" s="48" t="n">
        <v>0.098</v>
      </c>
      <c r="Z51" s="48" t="n">
        <v>3500000000</v>
      </c>
      <c r="AA51" s="50" t="n">
        <v>1</v>
      </c>
      <c r="AB51" s="48" t="n">
        <f aca="false">Z51/AA51</f>
        <v>3500000000</v>
      </c>
      <c r="AC51" s="114"/>
      <c r="AD51" s="107" t="n">
        <f aca="false">Y51/AB51*1000000000000</f>
        <v>28</v>
      </c>
      <c r="AE51" s="49" t="str">
        <f aca="false">IF(ISNUMBER($Q51),$AD51*1000/2^(($Q51-1.76)/6.02), "")</f>
        <v/>
      </c>
      <c r="AF51" s="49" t="n">
        <f aca="false">$AD51*1000/2^(($X51-1.76)/6.02)</f>
        <v>946.262089764691</v>
      </c>
      <c r="AG51" s="49" t="str">
        <f aca="false">IF(ISNUMBER($Q51), $Q51+10*LOG10($AB51/2/$Y51), "")</f>
        <v/>
      </c>
      <c r="AH51" s="49" t="n">
        <f aca="false">$X51+10*LOG10($AB51/2/$Y51)</f>
        <v>133.698119729938</v>
      </c>
      <c r="AI51" s="52" t="n">
        <f aca="false">AF51/AB51</f>
        <v>2.70360597075626E-007</v>
      </c>
      <c r="AJ51" s="53" t="n">
        <f aca="false">AH51+10*LOG10(AB51)</f>
        <v>229.138800173441</v>
      </c>
    </row>
    <row r="52" customFormat="false" ht="12.75" hidden="false" customHeight="false" outlineLevel="0" collapsed="false">
      <c r="A52" s="50" t="n">
        <v>2007</v>
      </c>
      <c r="B52" s="43" t="n">
        <v>7.3</v>
      </c>
      <c r="C52" s="42" t="s">
        <v>111</v>
      </c>
      <c r="D52" s="42" t="s">
        <v>191</v>
      </c>
      <c r="E52" s="42" t="n">
        <v>0.09</v>
      </c>
      <c r="F52" s="111" t="s">
        <v>2106</v>
      </c>
      <c r="G52" s="112" t="s">
        <v>2107</v>
      </c>
      <c r="H52" s="111" t="s">
        <v>2108</v>
      </c>
      <c r="I52" s="111" t="s">
        <v>2109</v>
      </c>
      <c r="J52" s="113" t="str">
        <f aca="false">IF(I52&lt;&gt;"?", HYPERLINK(CONCATENATE("https://doi.org/",I52)), "")</f>
        <v>https://doi.org/10.1109/VLSIC.2007.4342768</v>
      </c>
      <c r="K52" s="45" t="s">
        <v>117</v>
      </c>
      <c r="L52" s="69" t="n">
        <v>1.3</v>
      </c>
      <c r="M52" s="69"/>
      <c r="N52" s="69"/>
      <c r="O52" s="65" t="s">
        <v>117</v>
      </c>
      <c r="P52" s="43" t="n">
        <v>0.19</v>
      </c>
      <c r="Q52" s="41"/>
      <c r="R52" s="48" t="n">
        <f aca="false">Z52/2</f>
        <v>550000000</v>
      </c>
      <c r="S52" s="41" t="n">
        <f aca="false">6.5*6.02+1.76</f>
        <v>40.89</v>
      </c>
      <c r="T52" s="41"/>
      <c r="U52" s="41"/>
      <c r="V52" s="41"/>
      <c r="W52" s="41"/>
      <c r="X52" s="49" t="n">
        <f aca="false">+IF(ISNUMBER($S52),$S52,MIN($V52,$T52,$U52,$W52))</f>
        <v>40.89</v>
      </c>
      <c r="Y52" s="48" t="n">
        <f aca="false">0.092/2</f>
        <v>0.046</v>
      </c>
      <c r="Z52" s="48" t="n">
        <v>1100000000</v>
      </c>
      <c r="AA52" s="50" t="n">
        <v>1</v>
      </c>
      <c r="AB52" s="48" t="n">
        <f aca="false">Z52/AA52</f>
        <v>1100000000</v>
      </c>
      <c r="AC52" s="114"/>
      <c r="AD52" s="107" t="n">
        <f aca="false">Y52/AB52*1000000000000</f>
        <v>41.8181818181818</v>
      </c>
      <c r="AE52" s="49" t="str">
        <f aca="false">IF(ISNUMBER($Q52),$AD52*1000/2^(($Q52-1.76)/6.02), "")</f>
        <v/>
      </c>
      <c r="AF52" s="49" t="n">
        <f aca="false">$AD52*1000/2^(($X52-1.76)/6.02)</f>
        <v>462.029999070756</v>
      </c>
      <c r="AG52" s="49" t="str">
        <f aca="false">IF(ISNUMBER($Q52), $Q52+10*LOG10($AB52/2/$Y52), "")</f>
        <v/>
      </c>
      <c r="AH52" s="49" t="n">
        <f aca="false">$X52+10*LOG10($AB52/2/$Y52)</f>
        <v>141.666048578127</v>
      </c>
      <c r="AI52" s="52" t="n">
        <f aca="false">AF52/AB52</f>
        <v>4.20027271882505E-007</v>
      </c>
      <c r="AJ52" s="53" t="n">
        <f aca="false">AH52+10*LOG10(AB52)</f>
        <v>232.079975429709</v>
      </c>
    </row>
    <row r="53" customFormat="false" ht="12.75" hidden="false" customHeight="false" outlineLevel="0" collapsed="false">
      <c r="A53" s="50" t="n">
        <v>2007</v>
      </c>
      <c r="B53" s="43" t="n">
        <v>19.1</v>
      </c>
      <c r="C53" s="42" t="s">
        <v>111</v>
      </c>
      <c r="D53" s="42" t="s">
        <v>2110</v>
      </c>
      <c r="E53" s="42" t="n">
        <v>0.18</v>
      </c>
      <c r="F53" s="111" t="s">
        <v>2111</v>
      </c>
      <c r="G53" s="112" t="s">
        <v>2112</v>
      </c>
      <c r="H53" s="111" t="s">
        <v>2113</v>
      </c>
      <c r="I53" s="111" t="s">
        <v>2114</v>
      </c>
      <c r="J53" s="113" t="str">
        <f aca="false">IF(I53&lt;&gt;"?", HYPERLINK(CONCATENATE("https://doi.org/",I53)), "")</f>
        <v>https://doi.org/10.1109/VLSIC.2007.4342711</v>
      </c>
      <c r="K53" s="45" t="s">
        <v>117</v>
      </c>
      <c r="L53" s="69" t="n">
        <v>1.62</v>
      </c>
      <c r="M53" s="69"/>
      <c r="N53" s="69"/>
      <c r="O53" s="65" t="s">
        <v>117</v>
      </c>
      <c r="P53" s="43" t="n">
        <v>0.56</v>
      </c>
      <c r="Q53" s="41"/>
      <c r="R53" s="48" t="n">
        <f aca="false">Z53/2</f>
        <v>11000000</v>
      </c>
      <c r="S53" s="41" t="n">
        <v>36</v>
      </c>
      <c r="T53" s="41"/>
      <c r="U53" s="41" t="n">
        <v>80</v>
      </c>
      <c r="V53" s="41"/>
      <c r="W53" s="41"/>
      <c r="X53" s="49" t="n">
        <f aca="false">+IF(ISNUMBER($S53),$S53,MIN($V53,$T53,$U53,$W53))</f>
        <v>36</v>
      </c>
      <c r="Y53" s="48" t="n">
        <v>0.00254</v>
      </c>
      <c r="Z53" s="48" t="n">
        <v>22000000</v>
      </c>
      <c r="AA53" s="50" t="n">
        <v>1</v>
      </c>
      <c r="AB53" s="48" t="n">
        <f aca="false">Z53/AA53</f>
        <v>22000000</v>
      </c>
      <c r="AC53" s="114"/>
      <c r="AD53" s="107" t="n">
        <f aca="false">Y53/AB53*1000000000000</f>
        <v>115.454545454545</v>
      </c>
      <c r="AE53" s="49" t="str">
        <f aca="false">IF(ISNUMBER($Q53),$AD53*1000/2^(($Q53-1.76)/6.02), "")</f>
        <v/>
      </c>
      <c r="AF53" s="49" t="n">
        <f aca="false">$AD53*1000/2^(($X53-1.76)/6.02)</f>
        <v>2239.96085733442</v>
      </c>
      <c r="AG53" s="49" t="str">
        <f aca="false">IF(ISNUMBER($Q53), $Q53+10*LOG10($AB53/2/$Y53), "")</f>
        <v/>
      </c>
      <c r="AH53" s="49" t="n">
        <f aca="false">$X53+10*LOG10($AB53/2/$Y53)</f>
        <v>132.365589685383</v>
      </c>
      <c r="AI53" s="52" t="n">
        <f aca="false">AF53/AB53</f>
        <v>0.00010181640260611</v>
      </c>
      <c r="AJ53" s="53" t="n">
        <f aca="false">AH53+10*LOG10(AB53)</f>
        <v>205.789816493605</v>
      </c>
    </row>
    <row r="54" customFormat="false" ht="12.75" hidden="false" customHeight="false" outlineLevel="0" collapsed="false">
      <c r="A54" s="50" t="n">
        <v>2007</v>
      </c>
      <c r="B54" s="43" t="n">
        <v>19.2</v>
      </c>
      <c r="C54" s="42" t="s">
        <v>111</v>
      </c>
      <c r="D54" s="42" t="s">
        <v>133</v>
      </c>
      <c r="E54" s="42" t="n">
        <v>0.25</v>
      </c>
      <c r="F54" s="111" t="s">
        <v>2115</v>
      </c>
      <c r="G54" s="112" t="s">
        <v>2116</v>
      </c>
      <c r="H54" s="111" t="s">
        <v>2117</v>
      </c>
      <c r="I54" s="111" t="s">
        <v>2118</v>
      </c>
      <c r="J54" s="113" t="str">
        <f aca="false">IF(I54&lt;&gt;"?", HYPERLINK(CONCATENATE("https://doi.org/",I54)), "")</f>
        <v>https://doi.org/10.1109/VLSIC.2007.4342712</v>
      </c>
      <c r="K54" s="45" t="s">
        <v>117</v>
      </c>
      <c r="L54" s="69"/>
      <c r="M54" s="69"/>
      <c r="N54" s="69"/>
      <c r="O54" s="65" t="s">
        <v>117</v>
      </c>
      <c r="P54" s="43" t="n">
        <v>8</v>
      </c>
      <c r="Q54" s="41"/>
      <c r="R54" s="48" t="n">
        <f aca="false">Z54/2</f>
        <v>15000000</v>
      </c>
      <c r="S54" s="41" t="n">
        <v>70.7</v>
      </c>
      <c r="T54" s="41"/>
      <c r="U54" s="41"/>
      <c r="V54" s="41"/>
      <c r="W54" s="41" t="n">
        <v>82.2</v>
      </c>
      <c r="X54" s="49" t="n">
        <f aca="false">+IF(ISNUMBER($S54),$S54,MIN($V54,$T54,$U54,$W54))</f>
        <v>70.7</v>
      </c>
      <c r="Y54" s="48" t="n">
        <v>0.102</v>
      </c>
      <c r="Z54" s="48" t="n">
        <v>30000000</v>
      </c>
      <c r="AA54" s="50" t="n">
        <v>1</v>
      </c>
      <c r="AB54" s="48" t="n">
        <f aca="false">Z54/AA54</f>
        <v>30000000</v>
      </c>
      <c r="AC54" s="114"/>
      <c r="AD54" s="107" t="n">
        <f aca="false">Y54/AB54*1000000000000</f>
        <v>3400</v>
      </c>
      <c r="AE54" s="49" t="str">
        <f aca="false">IF(ISNUMBER($Q54),$AD54*1000/2^(($Q54-1.76)/6.02), "")</f>
        <v/>
      </c>
      <c r="AF54" s="49" t="n">
        <f aca="false">$AD54*1000/2^(($X54-1.76)/6.02)</f>
        <v>1213.76724091338</v>
      </c>
      <c r="AG54" s="49" t="str">
        <f aca="false">IF(ISNUMBER($Q54), $Q54+10*LOG10($AB54/2/$Y54), "")</f>
        <v/>
      </c>
      <c r="AH54" s="49" t="n">
        <f aca="false">$X54+10*LOG10($AB54/2/$Y54)</f>
        <v>152.374910872938</v>
      </c>
      <c r="AI54" s="52" t="n">
        <f aca="false">AF54/AB54</f>
        <v>4.04589080304461E-005</v>
      </c>
      <c r="AJ54" s="53" t="n">
        <f aca="false">AH54+10*LOG10(AB54)</f>
        <v>227.146123420134</v>
      </c>
    </row>
    <row r="55" customFormat="false" ht="12.75" hidden="false" customHeight="false" outlineLevel="0" collapsed="false">
      <c r="A55" s="50" t="n">
        <v>2007</v>
      </c>
      <c r="B55" s="43" t="n">
        <v>19.3</v>
      </c>
      <c r="C55" s="42" t="s">
        <v>111</v>
      </c>
      <c r="D55" s="42" t="s">
        <v>133</v>
      </c>
      <c r="E55" s="42" t="n">
        <v>0.09</v>
      </c>
      <c r="F55" s="111" t="s">
        <v>2119</v>
      </c>
      <c r="G55" s="112" t="s">
        <v>2120</v>
      </c>
      <c r="H55" s="111" t="s">
        <v>2121</v>
      </c>
      <c r="I55" s="111" t="s">
        <v>2122</v>
      </c>
      <c r="J55" s="113" t="str">
        <f aca="false">IF(I55&lt;&gt;"?", HYPERLINK(CONCATENATE("https://doi.org/",I55)), "")</f>
        <v>https://doi.org/10.1109/VLSIC.2007.4342713</v>
      </c>
      <c r="K55" s="45" t="s">
        <v>117</v>
      </c>
      <c r="L55" s="69" t="n">
        <v>1</v>
      </c>
      <c r="M55" s="69"/>
      <c r="N55" s="69"/>
      <c r="O55" s="65" t="s">
        <v>117</v>
      </c>
      <c r="P55" s="43" t="n">
        <v>0.28</v>
      </c>
      <c r="Q55" s="41"/>
      <c r="R55" s="48" t="n">
        <f aca="false">Z55/2</f>
        <v>20000000</v>
      </c>
      <c r="S55" s="41" t="n">
        <v>62</v>
      </c>
      <c r="T55" s="41"/>
      <c r="U55" s="41"/>
      <c r="V55" s="41"/>
      <c r="W55" s="41" t="n">
        <v>73</v>
      </c>
      <c r="X55" s="49" t="n">
        <f aca="false">+IF(ISNUMBER($S55),$S55,MIN($V55,$T55,$U55,$W55))</f>
        <v>62</v>
      </c>
      <c r="Y55" s="48" t="n">
        <v>0.016</v>
      </c>
      <c r="Z55" s="48" t="n">
        <v>40000000</v>
      </c>
      <c r="AA55" s="50" t="n">
        <v>1</v>
      </c>
      <c r="AB55" s="48" t="n">
        <f aca="false">Z55/AA55</f>
        <v>40000000</v>
      </c>
      <c r="AC55" s="114"/>
      <c r="AD55" s="107" t="n">
        <f aca="false">Y55/AB55*1000000000000</f>
        <v>400</v>
      </c>
      <c r="AE55" s="49" t="str">
        <f aca="false">IF(ISNUMBER($Q55),$AD55*1000/2^(($Q55-1.76)/6.02), "")</f>
        <v/>
      </c>
      <c r="AF55" s="49" t="n">
        <f aca="false">$AD55*1000/2^(($X55-1.76)/6.02)</f>
        <v>388.830062710726</v>
      </c>
      <c r="AG55" s="49" t="str">
        <f aca="false">IF(ISNUMBER($Q55), $Q55+10*LOG10($AB55/2/$Y55), "")</f>
        <v/>
      </c>
      <c r="AH55" s="49" t="n">
        <f aca="false">$X55+10*LOG10($AB55/2/$Y55)</f>
        <v>152.969100130081</v>
      </c>
      <c r="AI55" s="52" t="n">
        <f aca="false">AF55/AB55</f>
        <v>9.72075156776815E-006</v>
      </c>
      <c r="AJ55" s="53" t="n">
        <f aca="false">AH55+10*LOG10(AB55)</f>
        <v>228.98970004336</v>
      </c>
    </row>
    <row r="56" customFormat="false" ht="12.75" hidden="false" customHeight="false" outlineLevel="0" collapsed="false">
      <c r="A56" s="50" t="n">
        <v>2007</v>
      </c>
      <c r="B56" s="43" t="n">
        <v>19.5</v>
      </c>
      <c r="C56" s="42" t="s">
        <v>111</v>
      </c>
      <c r="D56" s="42" t="s">
        <v>133</v>
      </c>
      <c r="E56" s="42" t="n">
        <v>0.09</v>
      </c>
      <c r="F56" s="111" t="s">
        <v>2123</v>
      </c>
      <c r="G56" s="112" t="s">
        <v>2124</v>
      </c>
      <c r="H56" s="111" t="s">
        <v>2125</v>
      </c>
      <c r="I56" s="111" t="s">
        <v>2126</v>
      </c>
      <c r="J56" s="113" t="str">
        <f aca="false">IF(I56&lt;&gt;"?", HYPERLINK(CONCATENATE("https://doi.org/",I56)), "")</f>
        <v>https://doi.org/10.1109/VLSIC.2007.4342715</v>
      </c>
      <c r="K56" s="45" t="s">
        <v>117</v>
      </c>
      <c r="L56" s="69"/>
      <c r="M56" s="69"/>
      <c r="N56" s="69"/>
      <c r="O56" s="65" t="s">
        <v>117</v>
      </c>
      <c r="P56" s="43" t="n">
        <v>0.85</v>
      </c>
      <c r="Q56" s="41"/>
      <c r="R56" s="48" t="n">
        <f aca="false">Z56/2</f>
        <v>5000000</v>
      </c>
      <c r="S56" s="41" t="n">
        <v>48.1</v>
      </c>
      <c r="T56" s="41"/>
      <c r="U56" s="41"/>
      <c r="V56" s="41"/>
      <c r="W56" s="41"/>
      <c r="X56" s="49" t="n">
        <f aca="false">+IF(ISNUMBER($S56),$S56,MIN($V56,$T56,$U56,$W56))</f>
        <v>48.1</v>
      </c>
      <c r="Y56" s="48" t="n">
        <v>0.0023</v>
      </c>
      <c r="Z56" s="48" t="n">
        <v>10000000</v>
      </c>
      <c r="AA56" s="50" t="n">
        <v>1</v>
      </c>
      <c r="AB56" s="48" t="n">
        <f aca="false">Z56/AA56</f>
        <v>10000000</v>
      </c>
      <c r="AC56" s="114"/>
      <c r="AD56" s="107" t="n">
        <f aca="false">Y56/AB56*1000000000000</f>
        <v>230</v>
      </c>
      <c r="AE56" s="49" t="str">
        <f aca="false">IF(ISNUMBER($Q56),$AD56*1000/2^(($Q56-1.76)/6.02), "")</f>
        <v/>
      </c>
      <c r="AF56" s="49" t="n">
        <f aca="false">$AD56*1000/2^(($X56-1.76)/6.02)</f>
        <v>1107.89075711079</v>
      </c>
      <c r="AG56" s="49" t="str">
        <f aca="false">IF(ISNUMBER($Q56), $Q56+10*LOG10($AB56/2/$Y56), "")</f>
        <v/>
      </c>
      <c r="AH56" s="49" t="n">
        <f aca="false">$X56+10*LOG10($AB56/2/$Y56)</f>
        <v>141.472421683184</v>
      </c>
      <c r="AI56" s="52" t="n">
        <f aca="false">AF56/AB56</f>
        <v>0.000110789075711079</v>
      </c>
      <c r="AJ56" s="53" t="n">
        <f aca="false">AH56+10*LOG10(AB56)</f>
        <v>211.472421683184</v>
      </c>
    </row>
    <row r="57" customFormat="false" ht="12.75" hidden="false" customHeight="false" outlineLevel="0" collapsed="false">
      <c r="A57" s="50" t="n">
        <v>2007</v>
      </c>
      <c r="B57" s="43" t="n">
        <v>23.1</v>
      </c>
      <c r="C57" s="42" t="s">
        <v>139</v>
      </c>
      <c r="D57" s="42" t="s">
        <v>173</v>
      </c>
      <c r="E57" s="42" t="n">
        <v>0.18</v>
      </c>
      <c r="F57" s="111" t="s">
        <v>2127</v>
      </c>
      <c r="G57" s="112" t="s">
        <v>2128</v>
      </c>
      <c r="H57" s="111" t="s">
        <v>2129</v>
      </c>
      <c r="I57" s="111" t="s">
        <v>2130</v>
      </c>
      <c r="J57" s="113" t="str">
        <f aca="false">IF(I57&lt;&gt;"?", HYPERLINK(CONCATENATE("https://doi.org/",I57)), "")</f>
        <v>https://doi.org/10.1109/VLSIC.2007.4342733</v>
      </c>
      <c r="K57" s="45" t="s">
        <v>117</v>
      </c>
      <c r="L57" s="69" t="n">
        <v>1.2</v>
      </c>
      <c r="M57" s="69"/>
      <c r="N57" s="69"/>
      <c r="O57" s="65" t="s">
        <v>117</v>
      </c>
      <c r="P57" s="43" t="n">
        <v>1.4</v>
      </c>
      <c r="Q57" s="41"/>
      <c r="R57" s="48" t="n">
        <v>7500000</v>
      </c>
      <c r="S57" s="41" t="n">
        <v>67</v>
      </c>
      <c r="T57" s="41"/>
      <c r="U57" s="41" t="n">
        <v>77</v>
      </c>
      <c r="V57" s="41"/>
      <c r="W57" s="41"/>
      <c r="X57" s="49" t="n">
        <f aca="false">+IF(ISNUMBER($S57),$S57,MIN($V57,$T57,$U57,$W57))</f>
        <v>67</v>
      </c>
      <c r="Y57" s="48" t="n">
        <v>0.0636</v>
      </c>
      <c r="Z57" s="48" t="n">
        <v>240000000</v>
      </c>
      <c r="AA57" s="50" t="n">
        <v>16</v>
      </c>
      <c r="AB57" s="48" t="n">
        <f aca="false">Z57/AA57</f>
        <v>15000000</v>
      </c>
      <c r="AC57" s="114"/>
      <c r="AD57" s="107" t="n">
        <f aca="false">Y57/AB57*1000000000000</f>
        <v>4240</v>
      </c>
      <c r="AE57" s="49" t="str">
        <f aca="false">IF(ISNUMBER($Q57),$AD57*1000/2^(($Q57-1.76)/6.02), "")</f>
        <v/>
      </c>
      <c r="AF57" s="49" t="n">
        <f aca="false">$AD57*1000/2^(($X57-1.76)/6.02)</f>
        <v>2317.61230117673</v>
      </c>
      <c r="AG57" s="49" t="str">
        <f aca="false">IF(ISNUMBER($Q57), $Q57+10*LOG10($AB57/2/$Y57), "")</f>
        <v/>
      </c>
      <c r="AH57" s="49" t="n">
        <f aca="false">$X57+10*LOG10($AB57/2/$Y57)</f>
        <v>147.716041477433</v>
      </c>
      <c r="AI57" s="52" t="n">
        <f aca="false">AF57/AB57</f>
        <v>0.000154507486745116</v>
      </c>
      <c r="AJ57" s="53" t="n">
        <f aca="false">AH57+10*LOG10(AB57)</f>
        <v>219.47695406799</v>
      </c>
    </row>
    <row r="58" customFormat="false" ht="12.75" hidden="false" customHeight="false" outlineLevel="0" collapsed="false">
      <c r="A58" s="50" t="n">
        <v>2007</v>
      </c>
      <c r="B58" s="43" t="n">
        <v>23.2</v>
      </c>
      <c r="C58" s="42" t="s">
        <v>139</v>
      </c>
      <c r="D58" s="42" t="s">
        <v>2131</v>
      </c>
      <c r="E58" s="42" t="n">
        <v>0.35</v>
      </c>
      <c r="F58" s="111" t="s">
        <v>2132</v>
      </c>
      <c r="G58" s="112" t="s">
        <v>2133</v>
      </c>
      <c r="H58" s="111" t="s">
        <v>2134</v>
      </c>
      <c r="I58" s="111" t="s">
        <v>2135</v>
      </c>
      <c r="J58" s="113" t="str">
        <f aca="false">IF(I58&lt;&gt;"?", HYPERLINK(CONCATENATE("https://doi.org/",I58)), "")</f>
        <v>https://doi.org/10.1109/VLSIC.2007.4342734</v>
      </c>
      <c r="K58" s="45" t="s">
        <v>117</v>
      </c>
      <c r="L58" s="69" t="n">
        <v>1.2</v>
      </c>
      <c r="M58" s="69"/>
      <c r="N58" s="69"/>
      <c r="O58" s="65" t="s">
        <v>117</v>
      </c>
      <c r="P58" s="43" t="n">
        <v>0.00324</v>
      </c>
      <c r="Q58" s="41"/>
      <c r="R58" s="48" t="n">
        <v>8000</v>
      </c>
      <c r="S58" s="41" t="n">
        <v>63</v>
      </c>
      <c r="T58" s="41" t="n">
        <v>72</v>
      </c>
      <c r="U58" s="41" t="n">
        <v>76</v>
      </c>
      <c r="V58" s="41"/>
      <c r="W58" s="41"/>
      <c r="X58" s="49" t="n">
        <f aca="false">+IF(ISNUMBER($S58),$S58,MIN($V58,$T58,$U58,$W58))</f>
        <v>63</v>
      </c>
      <c r="Y58" s="48" t="n">
        <v>5.6E-006</v>
      </c>
      <c r="Z58" s="48" t="n">
        <v>2000000</v>
      </c>
      <c r="AA58" s="50" t="n">
        <v>125</v>
      </c>
      <c r="AB58" s="48" t="n">
        <f aca="false">Z58/AA58</f>
        <v>16000</v>
      </c>
      <c r="AC58" s="114"/>
      <c r="AD58" s="107" t="n">
        <f aca="false">Y58/AB58*1000000000000</f>
        <v>350</v>
      </c>
      <c r="AE58" s="49" t="str">
        <f aca="false">IF(ISNUMBER($Q58),$AD58*1000/2^(($Q58-1.76)/6.02), "")</f>
        <v/>
      </c>
      <c r="AF58" s="49" t="n">
        <f aca="false">$AD58*1000/2^(($X58-1.76)/6.02)</f>
        <v>303.2235344858</v>
      </c>
      <c r="AG58" s="49" t="str">
        <f aca="false">IF(ISNUMBER($Q58), $Q58+10*LOG10($AB58/2/$Y58), "")</f>
        <v/>
      </c>
      <c r="AH58" s="49" t="n">
        <f aca="false">$X58+10*LOG10($AB58/2/$Y58)</f>
        <v>154.549019599857</v>
      </c>
      <c r="AI58" s="52" t="n">
        <f aca="false">AF58/AB58</f>
        <v>0.0189514709053625</v>
      </c>
      <c r="AJ58" s="53" t="n">
        <f aca="false">AH58+10*LOG10(AB58)</f>
        <v>196.590219426417</v>
      </c>
    </row>
    <row r="59" customFormat="false" ht="12.75" hidden="false" customHeight="false" outlineLevel="0" collapsed="false">
      <c r="A59" s="50" t="n">
        <v>2007</v>
      </c>
      <c r="B59" s="43" t="n">
        <v>23.3</v>
      </c>
      <c r="C59" s="42" t="s">
        <v>139</v>
      </c>
      <c r="D59" s="42" t="s">
        <v>145</v>
      </c>
      <c r="E59" s="42" t="n">
        <v>0.18</v>
      </c>
      <c r="F59" s="111" t="s">
        <v>2136</v>
      </c>
      <c r="G59" s="112" t="s">
        <v>2137</v>
      </c>
      <c r="H59" s="111" t="s">
        <v>2138</v>
      </c>
      <c r="I59" s="111" t="s">
        <v>2139</v>
      </c>
      <c r="J59" s="113" t="str">
        <f aca="false">IF(I59&lt;&gt;"?", HYPERLINK(CONCATENATE("https://doi.org/",I59)), "")</f>
        <v>https://doi.org/10.1109/VLSIC.2007.4342735</v>
      </c>
      <c r="K59" s="45" t="s">
        <v>117</v>
      </c>
      <c r="L59" s="69"/>
      <c r="M59" s="69"/>
      <c r="N59" s="69"/>
      <c r="O59" s="65" t="s">
        <v>117</v>
      </c>
      <c r="P59" s="43" t="n">
        <v>14</v>
      </c>
      <c r="Q59" s="41"/>
      <c r="R59" s="48" t="n">
        <v>1250000</v>
      </c>
      <c r="S59" s="41"/>
      <c r="T59" s="41"/>
      <c r="U59" s="41" t="n">
        <v>84</v>
      </c>
      <c r="V59" s="41"/>
      <c r="W59" s="41"/>
      <c r="X59" s="49" t="n">
        <f aca="false">+IF(ISNUMBER($S59),$S59,MIN($V59,$T59,$U59,$W59))</f>
        <v>84</v>
      </c>
      <c r="Y59" s="48" t="n">
        <f aca="false">0.046+0.018</f>
        <v>0.064</v>
      </c>
      <c r="Z59" s="48" t="n">
        <v>20000000</v>
      </c>
      <c r="AA59" s="50" t="n">
        <v>8</v>
      </c>
      <c r="AB59" s="48" t="n">
        <f aca="false">Z59/AA59</f>
        <v>2500000</v>
      </c>
      <c r="AC59" s="114"/>
      <c r="AD59" s="107" t="n">
        <f aca="false">Y59/AB59*1000000000000</f>
        <v>25600</v>
      </c>
      <c r="AE59" s="49" t="str">
        <f aca="false">IF(ISNUMBER($Q59),$AD59*1000/2^(($Q59-1.76)/6.02), "")</f>
        <v/>
      </c>
      <c r="AF59" s="49" t="n">
        <f aca="false">$AD59*1000/2^(($X59-1.76)/6.02)</f>
        <v>1976.19679518312</v>
      </c>
      <c r="AG59" s="49" t="str">
        <f aca="false">IF(ISNUMBER($Q59), $Q59+10*LOG10($AB59/2/$Y59), "")</f>
        <v/>
      </c>
      <c r="AH59" s="49" t="n">
        <f aca="false">$X59+10*LOG10($AB59/2/$Y59)</f>
        <v>156.907300390242</v>
      </c>
      <c r="AI59" s="52" t="n">
        <f aca="false">AF59/AB59</f>
        <v>0.000790478718073248</v>
      </c>
      <c r="AJ59" s="53" t="n">
        <f aca="false">AH59+10*LOG10(AB59)</f>
        <v>220.886700476962</v>
      </c>
    </row>
    <row r="60" customFormat="false" ht="14.25" hidden="false" customHeight="false" outlineLevel="0" collapsed="false">
      <c r="A60" s="50" t="n">
        <v>2007</v>
      </c>
      <c r="B60" s="43" t="n">
        <v>23.4</v>
      </c>
      <c r="C60" s="42" t="s">
        <v>139</v>
      </c>
      <c r="D60" s="42" t="s">
        <v>2140</v>
      </c>
      <c r="E60" s="42" t="n">
        <v>0.18</v>
      </c>
      <c r="F60" s="111" t="s">
        <v>2141</v>
      </c>
      <c r="G60" s="112" t="s">
        <v>2142</v>
      </c>
      <c r="H60" s="111" t="s">
        <v>2143</v>
      </c>
      <c r="I60" s="111" t="s">
        <v>2144</v>
      </c>
      <c r="J60" s="113" t="str">
        <f aca="false">IF(I60&lt;&gt;"?", HYPERLINK(CONCATENATE("https://doi.org/",I60)), "")</f>
        <v>https://doi.org/10.1109/VLSIC.2007.4342736</v>
      </c>
      <c r="K60" s="45" t="s">
        <v>117</v>
      </c>
      <c r="L60" s="69"/>
      <c r="M60" s="69"/>
      <c r="N60" s="69"/>
      <c r="O60" s="65" t="s">
        <v>117</v>
      </c>
      <c r="P60" s="43" t="n">
        <v>3.5</v>
      </c>
      <c r="Q60" s="41"/>
      <c r="R60" s="48" t="n">
        <v>500000</v>
      </c>
      <c r="S60" s="41" t="n">
        <v>86.3</v>
      </c>
      <c r="T60" s="41"/>
      <c r="U60" s="41" t="n">
        <v>90.1</v>
      </c>
      <c r="V60" s="41"/>
      <c r="W60" s="41"/>
      <c r="X60" s="49" t="n">
        <f aca="false">+IF(ISNUMBER($S60),$S60,MIN($V60,$T60,$U60,$W60))</f>
        <v>86.3</v>
      </c>
      <c r="Y60" s="48" t="n">
        <v>0.038</v>
      </c>
      <c r="Z60" s="48" t="n">
        <v>1000000</v>
      </c>
      <c r="AA60" s="50" t="n">
        <v>1</v>
      </c>
      <c r="AB60" s="48" t="n">
        <f aca="false">Z60/AA60</f>
        <v>1000000</v>
      </c>
      <c r="AC60" s="114"/>
      <c r="AD60" s="107" t="n">
        <f aca="false">Y60/AB60*1000000000000</f>
        <v>38000</v>
      </c>
      <c r="AE60" s="49" t="str">
        <f aca="false">IF(ISNUMBER($Q60),$AD60*1000/2^(($Q60-1.76)/6.02), "")</f>
        <v/>
      </c>
      <c r="AF60" s="49" t="n">
        <f aca="false">$AD60*1000/2^(($X60-1.76)/6.02)</f>
        <v>2250.9319302289</v>
      </c>
      <c r="AG60" s="49" t="str">
        <f aca="false">IF(ISNUMBER($Q60), $Q60+10*LOG10($AB60/2/$Y60), "")</f>
        <v/>
      </c>
      <c r="AH60" s="49" t="n">
        <f aca="false">$X60+10*LOG10($AB60/2/$Y60)</f>
        <v>157.491864077192</v>
      </c>
      <c r="AI60" s="52" t="n">
        <f aca="false">AF60/AB60</f>
        <v>0.0022509319302289</v>
      </c>
      <c r="AJ60" s="53" t="n">
        <f aca="false">AH60+10*LOG10(AB60)</f>
        <v>217.491864077192</v>
      </c>
    </row>
    <row r="61" customFormat="false" ht="12.75" hidden="false" customHeight="false" outlineLevel="0" collapsed="false">
      <c r="A61" s="50" t="n">
        <v>2007</v>
      </c>
      <c r="B61" s="43" t="n">
        <v>23.5</v>
      </c>
      <c r="C61" s="42" t="s">
        <v>139</v>
      </c>
      <c r="D61" s="42" t="s">
        <v>981</v>
      </c>
      <c r="E61" s="42" t="n">
        <v>0.13</v>
      </c>
      <c r="F61" s="111" t="s">
        <v>2145</v>
      </c>
      <c r="G61" s="112" t="s">
        <v>2146</v>
      </c>
      <c r="H61" s="111" t="s">
        <v>2147</v>
      </c>
      <c r="I61" s="111" t="s">
        <v>2148</v>
      </c>
      <c r="J61" s="113" t="str">
        <f aca="false">IF(I61&lt;&gt;"?", HYPERLINK(CONCATENATE("https://doi.org/",I61)), "")</f>
        <v>https://doi.org/10.1109/VLSIC.2007.4342737</v>
      </c>
      <c r="K61" s="45" t="s">
        <v>117</v>
      </c>
      <c r="L61" s="69" t="n">
        <v>1.2</v>
      </c>
      <c r="M61" s="69"/>
      <c r="N61" s="69"/>
      <c r="O61" s="65" t="s">
        <v>117</v>
      </c>
      <c r="P61" s="43" t="n">
        <v>0.185</v>
      </c>
      <c r="Q61" s="41"/>
      <c r="R61" s="48" t="n">
        <v>20000000</v>
      </c>
      <c r="S61" s="41"/>
      <c r="T61" s="41" t="n">
        <v>60</v>
      </c>
      <c r="U61" s="41"/>
      <c r="V61" s="41"/>
      <c r="W61" s="41"/>
      <c r="X61" s="49" t="n">
        <f aca="false">+IF(ISNUMBER($S61),$S61,MIN($V61,$T61,$U61,$W61))</f>
        <v>60</v>
      </c>
      <c r="Y61" s="48" t="n">
        <f aca="false">0.032*1.2</f>
        <v>0.0384</v>
      </c>
      <c r="Z61" s="48" t="n">
        <v>950000000</v>
      </c>
      <c r="AA61" s="50" t="n">
        <v>23.75</v>
      </c>
      <c r="AB61" s="48" t="n">
        <f aca="false">Z61/AA61</f>
        <v>40000000</v>
      </c>
      <c r="AC61" s="114"/>
      <c r="AD61" s="107" t="n">
        <f aca="false">Y61/AB61*1000000000000</f>
        <v>960</v>
      </c>
      <c r="AE61" s="49" t="str">
        <f aca="false">IF(ISNUMBER($Q61),$AD61*1000/2^(($Q61-1.76)/6.02), "")</f>
        <v/>
      </c>
      <c r="AF61" s="49" t="n">
        <f aca="false">$AD61*1000/2^(($X61-1.76)/6.02)</f>
        <v>1174.84627011419</v>
      </c>
      <c r="AG61" s="49" t="str">
        <f aca="false">IF(ISNUMBER($Q61), $Q61+10*LOG10($AB61/2/$Y61), "")</f>
        <v/>
      </c>
      <c r="AH61" s="49" t="n">
        <f aca="false">$X61+10*LOG10($AB61/2/$Y61)</f>
        <v>147.166987712965</v>
      </c>
      <c r="AI61" s="52" t="n">
        <f aca="false">AF61/AB61</f>
        <v>2.93711567528548E-005</v>
      </c>
      <c r="AJ61" s="53" t="n">
        <f aca="false">AH61+10*LOG10(AB61)</f>
        <v>223.187587626244</v>
      </c>
    </row>
    <row r="62" customFormat="false" ht="12.75" hidden="false" customHeight="false" outlineLevel="0" collapsed="false">
      <c r="A62" s="40" t="n">
        <v>2008</v>
      </c>
      <c r="B62" s="43" t="n">
        <v>8.1</v>
      </c>
      <c r="C62" s="42" t="s">
        <v>111</v>
      </c>
      <c r="D62" s="42" t="s">
        <v>191</v>
      </c>
      <c r="E62" s="42" t="n">
        <v>0.065</v>
      </c>
      <c r="F62" s="45" t="s">
        <v>2149</v>
      </c>
      <c r="G62" s="45" t="s">
        <v>2150</v>
      </c>
      <c r="H62" s="45" t="s">
        <v>2151</v>
      </c>
      <c r="I62" s="45" t="s">
        <v>2152</v>
      </c>
      <c r="J62" s="113" t="str">
        <f aca="false">IF(I62&lt;&gt;"?", HYPERLINK(CONCATENATE("https://doi.org/",I62)), "")</f>
        <v>https://doi.org/10.1109/VLSIC.2008.4585956</v>
      </c>
      <c r="K62" s="45" t="s">
        <v>117</v>
      </c>
      <c r="L62" s="69" t="n">
        <v>1.2</v>
      </c>
      <c r="M62" s="69"/>
      <c r="N62" s="69"/>
      <c r="O62" s="65" t="s">
        <v>117</v>
      </c>
      <c r="P62" s="43" t="n">
        <v>0.12</v>
      </c>
      <c r="Q62" s="41"/>
      <c r="R62" s="48" t="n">
        <f aca="false">Z62/2</f>
        <v>400000000</v>
      </c>
      <c r="S62" s="41" t="n">
        <v>44.2</v>
      </c>
      <c r="T62" s="41" t="n">
        <v>45</v>
      </c>
      <c r="V62" s="41" t="n">
        <v>51</v>
      </c>
      <c r="W62" s="41"/>
      <c r="X62" s="49" t="n">
        <f aca="false">+IF(ISNUMBER($S62),$S62,MIN($V62,$T62,$U62,$W62))</f>
        <v>44.2</v>
      </c>
      <c r="Y62" s="48" t="n">
        <v>0.3</v>
      </c>
      <c r="Z62" s="71" t="n">
        <v>800000000</v>
      </c>
      <c r="AA62" s="50" t="n">
        <v>1</v>
      </c>
      <c r="AB62" s="48" t="n">
        <f aca="false">Z62/AA62</f>
        <v>800000000</v>
      </c>
      <c r="AC62" s="114"/>
      <c r="AD62" s="107" t="n">
        <f aca="false">Y62/AB62*1000000000000</f>
        <v>375</v>
      </c>
      <c r="AE62" s="49" t="str">
        <f aca="false">IF(ISNUMBER($Q62),$AD62*1000/2^(($Q62-1.76)/6.02), "")</f>
        <v/>
      </c>
      <c r="AF62" s="49" t="n">
        <f aca="false">$AD62*1000/2^(($X62-1.76)/6.02)</f>
        <v>2830.21744318295</v>
      </c>
      <c r="AG62" s="49" t="str">
        <f aca="false">IF(ISNUMBER($Q62), $Q62+10*LOG10($AB62/2/$Y62), "")</f>
        <v/>
      </c>
      <c r="AH62" s="49" t="n">
        <f aca="false">$X62+10*LOG10($AB62/2/$Y62)</f>
        <v>135.449387366083</v>
      </c>
      <c r="AI62" s="52" t="n">
        <f aca="false">AF62/AB62</f>
        <v>3.53777180397869E-006</v>
      </c>
      <c r="AJ62" s="53" t="n">
        <f aca="false">AH62+10*LOG10(AB62)</f>
        <v>224.480287236002</v>
      </c>
    </row>
    <row r="63" customFormat="false" ht="12.75" hidden="false" customHeight="false" outlineLevel="0" collapsed="false">
      <c r="A63" s="50" t="n">
        <v>2008</v>
      </c>
      <c r="B63" s="43" t="n">
        <v>8.2</v>
      </c>
      <c r="C63" s="42" t="s">
        <v>111</v>
      </c>
      <c r="D63" s="42" t="s">
        <v>133</v>
      </c>
      <c r="E63" s="42" t="n">
        <v>0.09</v>
      </c>
      <c r="F63" s="45" t="s">
        <v>2153</v>
      </c>
      <c r="G63" s="45" t="s">
        <v>2154</v>
      </c>
      <c r="H63" s="45" t="s">
        <v>2155</v>
      </c>
      <c r="I63" s="45" t="s">
        <v>2156</v>
      </c>
      <c r="J63" s="113" t="str">
        <f aca="false">IF(I63&lt;&gt;"?", HYPERLINK(CONCATENATE("https://doi.org/",I63)), "")</f>
        <v>https://doi.org/10.1109/VLSIC.2008.4585957</v>
      </c>
      <c r="K63" s="45" t="s">
        <v>117</v>
      </c>
      <c r="L63" s="69" t="n">
        <v>1.2</v>
      </c>
      <c r="M63" s="69"/>
      <c r="N63" s="69"/>
      <c r="O63" s="65" t="s">
        <v>117</v>
      </c>
      <c r="P63" s="43" t="n">
        <v>1</v>
      </c>
      <c r="Q63" s="41"/>
      <c r="R63" s="48" t="n">
        <f aca="false">Z63/2</f>
        <v>50000000</v>
      </c>
      <c r="S63" s="41" t="n">
        <v>70</v>
      </c>
      <c r="T63" s="41" t="n">
        <v>70</v>
      </c>
      <c r="U63" s="41"/>
      <c r="V63" s="41"/>
      <c r="W63" s="41" t="n">
        <v>80</v>
      </c>
      <c r="X63" s="49" t="n">
        <f aca="false">+IF(ISNUMBER($S63),$S63,MIN($V63,$T63,$U63,$W63))</f>
        <v>70</v>
      </c>
      <c r="Y63" s="48" t="n">
        <v>0.25</v>
      </c>
      <c r="Z63" s="71" t="n">
        <v>100000000</v>
      </c>
      <c r="AA63" s="50" t="n">
        <v>1</v>
      </c>
      <c r="AB63" s="48" t="n">
        <f aca="false">Z63/AA63</f>
        <v>100000000</v>
      </c>
      <c r="AC63" s="114"/>
      <c r="AD63" s="107" t="n">
        <f aca="false">Y63/AB63*1000000000000</f>
        <v>2500</v>
      </c>
      <c r="AE63" s="49" t="str">
        <f aca="false">IF(ISNUMBER($Q63),$AD63*1000/2^(($Q63-1.76)/6.02), "")</f>
        <v/>
      </c>
      <c r="AF63" s="49" t="n">
        <f aca="false">$AD63*1000/2^(($X63-1.76)/6.02)</f>
        <v>967.386430763547</v>
      </c>
      <c r="AG63" s="49" t="str">
        <f aca="false">IF(ISNUMBER($Q63), $Q63+10*LOG10($AB63/2/$Y63), "")</f>
        <v/>
      </c>
      <c r="AH63" s="49" t="n">
        <f aca="false">$X63+10*LOG10($AB63/2/$Y63)</f>
        <v>153.01029995664</v>
      </c>
      <c r="AI63" s="52" t="n">
        <f aca="false">AF63/AB63</f>
        <v>9.67386430763547E-006</v>
      </c>
      <c r="AJ63" s="53" t="n">
        <f aca="false">AH63+10*LOG10(AB63)</f>
        <v>233.01029995664</v>
      </c>
    </row>
    <row r="64" customFormat="false" ht="12.75" hidden="false" customHeight="false" outlineLevel="0" collapsed="false">
      <c r="A64" s="50" t="n">
        <v>2008</v>
      </c>
      <c r="B64" s="43" t="n">
        <v>2.1</v>
      </c>
      <c r="C64" s="42" t="s">
        <v>111</v>
      </c>
      <c r="D64" s="42" t="s">
        <v>208</v>
      </c>
      <c r="E64" s="42" t="n">
        <v>0.065</v>
      </c>
      <c r="F64" s="45" t="s">
        <v>2157</v>
      </c>
      <c r="G64" s="45" t="s">
        <v>2158</v>
      </c>
      <c r="H64" s="45" t="s">
        <v>2159</v>
      </c>
      <c r="I64" s="45" t="s">
        <v>2160</v>
      </c>
      <c r="J64" s="113" t="str">
        <f aca="false">IF(I64&lt;&gt;"?", HYPERLINK(CONCATENATE("https://doi.org/",I64)), "")</f>
        <v>https://doi.org/10.1109/JSSC.2009.2014701</v>
      </c>
      <c r="K64" s="45" t="s">
        <v>117</v>
      </c>
      <c r="L64" s="69" t="n">
        <v>1.2</v>
      </c>
      <c r="M64" s="69"/>
      <c r="N64" s="69"/>
      <c r="O64" s="65" t="s">
        <v>117</v>
      </c>
      <c r="P64" s="43" t="n">
        <v>0.13</v>
      </c>
      <c r="Q64" s="41"/>
      <c r="R64" s="48" t="n">
        <f aca="false">Z64/2</f>
        <v>400000000</v>
      </c>
      <c r="S64" s="41" t="n">
        <f aca="false">5.3*6.02+1.76</f>
        <v>33.666</v>
      </c>
      <c r="T64" s="41"/>
      <c r="V64" s="41"/>
      <c r="W64" s="41"/>
      <c r="X64" s="49" t="n">
        <f aca="false">+IF(ISNUMBER($S64),$S64,MIN($V64,$T64,$U64,$W64))</f>
        <v>33.666</v>
      </c>
      <c r="Y64" s="48" t="n">
        <v>0.012</v>
      </c>
      <c r="Z64" s="71" t="n">
        <v>800000000</v>
      </c>
      <c r="AA64" s="50" t="n">
        <v>1</v>
      </c>
      <c r="AB64" s="48" t="n">
        <f aca="false">Z64/AA64</f>
        <v>800000000</v>
      </c>
      <c r="AC64" s="114"/>
      <c r="AD64" s="107" t="n">
        <f aca="false">Y64/AB64*1000000000000</f>
        <v>15</v>
      </c>
      <c r="AE64" s="49" t="str">
        <f aca="false">IF(ISNUMBER($Q64),$AD64*1000/2^(($Q64-1.76)/6.02), "")</f>
        <v/>
      </c>
      <c r="AF64" s="49" t="n">
        <f aca="false">$AD64*1000/2^(($X64-1.76)/6.02)</f>
        <v>380.743310791985</v>
      </c>
      <c r="AG64" s="49" t="str">
        <f aca="false">IF(ISNUMBER($Q64), $Q64+10*LOG10($AB64/2/$Y64), "")</f>
        <v/>
      </c>
      <c r="AH64" s="49" t="n">
        <f aca="false">$X64+10*LOG10($AB64/2/$Y64)</f>
        <v>138.894787452803</v>
      </c>
      <c r="AI64" s="52" t="n">
        <f aca="false">AF64/AB64</f>
        <v>4.75929138489982E-007</v>
      </c>
      <c r="AJ64" s="53" t="n">
        <f aca="false">AH64+10*LOG10(AB64)</f>
        <v>227.925687322723</v>
      </c>
    </row>
    <row r="65" customFormat="false" ht="12.75" hidden="false" customHeight="false" outlineLevel="0" collapsed="false">
      <c r="A65" s="50" t="n">
        <v>2008</v>
      </c>
      <c r="B65" s="43" t="n">
        <v>2.2</v>
      </c>
      <c r="C65" s="42" t="s">
        <v>111</v>
      </c>
      <c r="D65" s="42" t="s">
        <v>208</v>
      </c>
      <c r="E65" s="42" t="n">
        <v>0.09</v>
      </c>
      <c r="F65" s="45" t="s">
        <v>2161</v>
      </c>
      <c r="G65" s="45" t="s">
        <v>2162</v>
      </c>
      <c r="H65" s="45" t="s">
        <v>2163</v>
      </c>
      <c r="I65" s="45" t="s">
        <v>2164</v>
      </c>
      <c r="J65" s="113" t="str">
        <f aca="false">IF(I65&lt;&gt;"?", HYPERLINK(CONCATENATE("https://doi.org/",I65)), "")</f>
        <v>https://doi.org/10.1109/VLSIC.2008.4585933</v>
      </c>
      <c r="K65" s="45" t="s">
        <v>117</v>
      </c>
      <c r="L65" s="69" t="n">
        <v>1</v>
      </c>
      <c r="M65" s="69"/>
      <c r="N65" s="69"/>
      <c r="O65" s="65" t="s">
        <v>117</v>
      </c>
      <c r="P65" s="43" t="n">
        <v>0.0308</v>
      </c>
      <c r="Q65" s="41"/>
      <c r="R65" s="48" t="n">
        <f aca="false">Z65/2</f>
        <v>875000000</v>
      </c>
      <c r="S65" s="41" t="n">
        <v>30</v>
      </c>
      <c r="T65" s="41"/>
      <c r="V65" s="41"/>
      <c r="W65" s="41"/>
      <c r="X65" s="49" t="n">
        <f aca="false">+IF(ISNUMBER($S65),$S65,MIN($V65,$T65,$U65,$W65))</f>
        <v>30</v>
      </c>
      <c r="Y65" s="48" t="n">
        <v>0.0076</v>
      </c>
      <c r="Z65" s="71" t="n">
        <v>1750000000</v>
      </c>
      <c r="AA65" s="50" t="n">
        <v>1</v>
      </c>
      <c r="AB65" s="48" t="n">
        <f aca="false">Z65/AA65</f>
        <v>1750000000</v>
      </c>
      <c r="AC65" s="114"/>
      <c r="AD65" s="107" t="n">
        <f aca="false">Y65/AB65*1000000000000</f>
        <v>4.34285714285714</v>
      </c>
      <c r="AE65" s="49" t="str">
        <f aca="false">IF(ISNUMBER($Q65),$AD65*1000/2^(($Q65-1.76)/6.02), "")</f>
        <v/>
      </c>
      <c r="AF65" s="49" t="n">
        <f aca="false">$AD65*1000/2^(($X65-1.76)/6.02)</f>
        <v>168.125981625092</v>
      </c>
      <c r="AG65" s="49" t="str">
        <f aca="false">IF(ISNUMBER($Q65), $Q65+10*LOG10($AB65/2/$Y65), "")</f>
        <v/>
      </c>
      <c r="AH65" s="49" t="n">
        <f aca="false">$X65+10*LOG10($AB65/2/$Y65)</f>
        <v>140.611944607415</v>
      </c>
      <c r="AI65" s="52" t="n">
        <f aca="false">AF65/AB65</f>
        <v>9.60719895000526E-008</v>
      </c>
      <c r="AJ65" s="53" t="n">
        <f aca="false">AH65+10*LOG10(AB65)</f>
        <v>233.042325094278</v>
      </c>
    </row>
    <row r="66" customFormat="false" ht="12.75" hidden="false" customHeight="false" outlineLevel="0" collapsed="false">
      <c r="A66" s="50" t="n">
        <v>2008</v>
      </c>
      <c r="B66" s="43" t="n">
        <v>2.3</v>
      </c>
      <c r="C66" s="42" t="s">
        <v>111</v>
      </c>
      <c r="D66" s="42" t="s">
        <v>208</v>
      </c>
      <c r="E66" s="42" t="n">
        <v>0.065</v>
      </c>
      <c r="F66" s="45" t="s">
        <v>2165</v>
      </c>
      <c r="G66" s="45" t="s">
        <v>2166</v>
      </c>
      <c r="H66" s="45" t="s">
        <v>2167</v>
      </c>
      <c r="I66" s="45" t="s">
        <v>2168</v>
      </c>
      <c r="J66" s="113" t="str">
        <f aca="false">IF(I66&lt;&gt;"?", HYPERLINK(CONCATENATE("https://doi.org/",I66)), "")</f>
        <v>https://doi.org/10.1109/VLSIC.2008.4585934</v>
      </c>
      <c r="K66" s="45" t="s">
        <v>117</v>
      </c>
      <c r="L66" s="69"/>
      <c r="M66" s="69"/>
      <c r="N66" s="69"/>
      <c r="O66" s="65" t="s">
        <v>117</v>
      </c>
      <c r="P66" s="43" t="n">
        <v>0.3</v>
      </c>
      <c r="Q66" s="41"/>
      <c r="R66" s="48" t="n">
        <f aca="false">Z66/2</f>
        <v>2500000000</v>
      </c>
      <c r="S66" s="41" t="n">
        <v>32</v>
      </c>
      <c r="T66" s="41"/>
      <c r="V66" s="41"/>
      <c r="W66" s="41"/>
      <c r="X66" s="49" t="n">
        <f aca="false">+IF(ISNUMBER($S66),$S66,MIN($V66,$T66,$U66,$W66))</f>
        <v>32</v>
      </c>
      <c r="Y66" s="48" t="n">
        <v>0.32</v>
      </c>
      <c r="Z66" s="71" t="n">
        <v>5000000000</v>
      </c>
      <c r="AA66" s="50" t="n">
        <v>1</v>
      </c>
      <c r="AB66" s="48" t="n">
        <f aca="false">Z66/AA66</f>
        <v>5000000000</v>
      </c>
      <c r="AC66" s="114"/>
      <c r="AD66" s="107" t="n">
        <f aca="false">Y66/AB66*1000000000000</f>
        <v>64</v>
      </c>
      <c r="AE66" s="49" t="str">
        <f aca="false">IF(ISNUMBER($Q66),$AD66*1000/2^(($Q66-1.76)/6.02), "")</f>
        <v/>
      </c>
      <c r="AF66" s="49" t="n">
        <f aca="false">$AD66*1000/2^(($X66-1.76)/6.02)</f>
        <v>1968.01905044319</v>
      </c>
      <c r="AG66" s="49" t="str">
        <f aca="false">IF(ISNUMBER($Q66), $Q66+10*LOG10($AB66/2/$Y66), "")</f>
        <v/>
      </c>
      <c r="AH66" s="49" t="n">
        <f aca="false">$X66+10*LOG10($AB66/2/$Y66)</f>
        <v>130.927900303521</v>
      </c>
      <c r="AI66" s="52" t="n">
        <f aca="false">AF66/AB66</f>
        <v>3.93603810088639E-007</v>
      </c>
      <c r="AJ66" s="53" t="n">
        <f aca="false">AH66+10*LOG10(AB66)</f>
        <v>227.917600346881</v>
      </c>
    </row>
    <row r="67" customFormat="false" ht="12.75" hidden="false" customHeight="false" outlineLevel="0" collapsed="false">
      <c r="A67" s="50" t="n">
        <v>2008</v>
      </c>
      <c r="B67" s="43" t="n">
        <v>2.4</v>
      </c>
      <c r="C67" s="42" t="s">
        <v>111</v>
      </c>
      <c r="D67" s="42" t="s">
        <v>191</v>
      </c>
      <c r="E67" s="42" t="n">
        <v>0.09</v>
      </c>
      <c r="F67" s="45" t="s">
        <v>2169</v>
      </c>
      <c r="G67" s="45" t="s">
        <v>2170</v>
      </c>
      <c r="H67" s="45" t="s">
        <v>2171</v>
      </c>
      <c r="I67" s="45" t="s">
        <v>2172</v>
      </c>
      <c r="J67" s="113" t="str">
        <f aca="false">IF(I67&lt;&gt;"?", HYPERLINK(CONCATENATE("https://doi.org/",I67)), "")</f>
        <v>https://doi.org/10.1109/VLSIC.2008.4585935</v>
      </c>
      <c r="K67" s="45" t="s">
        <v>117</v>
      </c>
      <c r="L67" s="69"/>
      <c r="M67" s="69"/>
      <c r="N67" s="69"/>
      <c r="O67" s="65" t="s">
        <v>117</v>
      </c>
      <c r="P67" s="43" t="n">
        <v>0</v>
      </c>
      <c r="Q67" s="41"/>
      <c r="R67" s="48" t="n">
        <f aca="false">Z67/2</f>
        <v>5150000000</v>
      </c>
      <c r="S67" s="41" t="n">
        <v>32.4</v>
      </c>
      <c r="T67" s="41"/>
      <c r="V67" s="41"/>
      <c r="W67" s="41"/>
      <c r="X67" s="49" t="n">
        <f aca="false">+IF(ISNUMBER($S67),$S67,MIN($V67,$T67,$U67,$W67))</f>
        <v>32.4</v>
      </c>
      <c r="Y67" s="43" t="n">
        <v>1.6</v>
      </c>
      <c r="Z67" s="71" t="n">
        <v>10300000000</v>
      </c>
      <c r="AA67" s="50" t="n">
        <v>1</v>
      </c>
      <c r="AB67" s="48" t="n">
        <f aca="false">Z67/AA67</f>
        <v>10300000000</v>
      </c>
      <c r="AC67" s="114"/>
      <c r="AD67" s="107" t="n">
        <f aca="false">Y67/AB67*1000000000000</f>
        <v>155.339805825243</v>
      </c>
      <c r="AE67" s="49" t="str">
        <f aca="false">IF(ISNUMBER($Q67),$AD67*1000/2^(($Q67-1.76)/6.02), "")</f>
        <v/>
      </c>
      <c r="AF67" s="49" t="n">
        <f aca="false">$AD67*1000/2^(($X67-1.76)/6.02)</f>
        <v>4561.735381519</v>
      </c>
      <c r="AG67" s="49" t="str">
        <f aca="false">IF(ISNUMBER($Q67), $Q67+10*LOG10($AB67/2/$Y67), "")</f>
        <v/>
      </c>
      <c r="AH67" s="49" t="n">
        <f aca="false">$X67+10*LOG10($AB67/2/$Y67)</f>
        <v>127.476872463853</v>
      </c>
      <c r="AI67" s="52" t="n">
        <f aca="false">AF67/AB67</f>
        <v>4.42886930244563E-007</v>
      </c>
      <c r="AJ67" s="53" t="n">
        <f aca="false">AH67+10*LOG10(AB67)</f>
        <v>227.605244710904</v>
      </c>
    </row>
    <row r="68" customFormat="false" ht="12.75" hidden="false" customHeight="false" outlineLevel="0" collapsed="false">
      <c r="A68" s="50" t="n">
        <v>2008</v>
      </c>
      <c r="B68" s="43" t="n">
        <v>18.2</v>
      </c>
      <c r="C68" s="42" t="s">
        <v>139</v>
      </c>
      <c r="D68" s="42" t="s">
        <v>145</v>
      </c>
      <c r="E68" s="42" t="n">
        <v>0.18</v>
      </c>
      <c r="F68" s="45" t="s">
        <v>2173</v>
      </c>
      <c r="G68" s="45" t="s">
        <v>2174</v>
      </c>
      <c r="H68" s="45" t="s">
        <v>2175</v>
      </c>
      <c r="I68" s="45" t="s">
        <v>2176</v>
      </c>
      <c r="J68" s="113" t="str">
        <f aca="false">IF(I68&lt;&gt;"?", HYPERLINK(CONCATENATE("https://doi.org/",I68)), "")</f>
        <v>https://doi.org/10.1109/VLSIC.2008.4585997</v>
      </c>
      <c r="K68" s="45" t="s">
        <v>117</v>
      </c>
      <c r="L68" s="69" t="n">
        <v>0.7</v>
      </c>
      <c r="M68" s="69"/>
      <c r="N68" s="69"/>
      <c r="O68" s="65" t="s">
        <v>117</v>
      </c>
      <c r="P68" s="43" t="n">
        <v>2.16</v>
      </c>
      <c r="Q68" s="41"/>
      <c r="R68" s="48" t="n">
        <v>25000</v>
      </c>
      <c r="S68" s="41" t="n">
        <v>95</v>
      </c>
      <c r="T68" s="41" t="n">
        <v>100</v>
      </c>
      <c r="U68" s="43" t="n">
        <v>100</v>
      </c>
      <c r="V68" s="41"/>
      <c r="W68" s="41"/>
      <c r="X68" s="49" t="n">
        <f aca="false">+IF(ISNUMBER($S68),$S68,MIN($V68,$T68,$U68,$W68))</f>
        <v>95</v>
      </c>
      <c r="Y68" s="48" t="n">
        <v>0.00087</v>
      </c>
      <c r="Z68" s="71" t="n">
        <v>5000000</v>
      </c>
      <c r="AA68" s="50" t="n">
        <v>100</v>
      </c>
      <c r="AB68" s="48" t="n">
        <f aca="false">Z68/AA68</f>
        <v>50000</v>
      </c>
      <c r="AC68" s="114"/>
      <c r="AD68" s="107" t="n">
        <f aca="false">Y68/AB68*1000000000000</f>
        <v>17400</v>
      </c>
      <c r="AE68" s="49" t="str">
        <f aca="false">IF(ISNUMBER($Q68),$AD68*1000/2^(($Q68-1.76)/6.02), "")</f>
        <v/>
      </c>
      <c r="AF68" s="49" t="n">
        <f aca="false">$AD68*1000/2^(($X68-1.76)/6.02)</f>
        <v>378.516368043197</v>
      </c>
      <c r="AG68" s="49" t="str">
        <f aca="false">IF(ISNUMBER($Q68), $Q68+10*LOG10($AB68/2/$Y68), "")</f>
        <v/>
      </c>
      <c r="AH68" s="49" t="n">
        <f aca="false">$X68+10*LOG10($AB68/2/$Y68)</f>
        <v>169.584207560534</v>
      </c>
      <c r="AI68" s="52" t="n">
        <f aca="false">AF68/AB68</f>
        <v>0.00757032736086395</v>
      </c>
      <c r="AJ68" s="53" t="n">
        <f aca="false">AH68+10*LOG10(AB68)</f>
        <v>216.573907603894</v>
      </c>
    </row>
    <row r="69" customFormat="false" ht="12.75" hidden="false" customHeight="false" outlineLevel="0" collapsed="false">
      <c r="A69" s="50" t="n">
        <v>2008</v>
      </c>
      <c r="B69" s="43" t="n">
        <v>18.3</v>
      </c>
      <c r="C69" s="42" t="s">
        <v>139</v>
      </c>
      <c r="D69" s="42" t="s">
        <v>173</v>
      </c>
      <c r="E69" s="42" t="n">
        <v>0.065</v>
      </c>
      <c r="F69" s="45" t="s">
        <v>2177</v>
      </c>
      <c r="G69" s="45" t="s">
        <v>2178</v>
      </c>
      <c r="H69" s="45" t="s">
        <v>2179</v>
      </c>
      <c r="I69" s="45" t="s">
        <v>2180</v>
      </c>
      <c r="J69" s="113" t="str">
        <f aca="false">IF(I69&lt;&gt;"?", HYPERLINK(CONCATENATE("https://doi.org/",I69)), "")</f>
        <v>https://doi.org/10.1109/VLSIC.2008.4585998</v>
      </c>
      <c r="K69" s="45" t="s">
        <v>117</v>
      </c>
      <c r="L69" s="69"/>
      <c r="M69" s="69"/>
      <c r="N69" s="69"/>
      <c r="O69" s="65" t="s">
        <v>117</v>
      </c>
      <c r="P69" s="43" t="n">
        <v>0.18</v>
      </c>
      <c r="Q69" s="41"/>
      <c r="R69" s="48" t="n">
        <v>100000</v>
      </c>
      <c r="S69" s="41"/>
      <c r="T69" s="41" t="n">
        <v>84</v>
      </c>
      <c r="U69" s="43" t="n">
        <v>86</v>
      </c>
      <c r="V69" s="41"/>
      <c r="W69" s="41"/>
      <c r="X69" s="49" t="n">
        <f aca="false">+IF(ISNUMBER($S69),$S69,MIN($V69,$T69,$U69,$W69))</f>
        <v>84</v>
      </c>
      <c r="Y69" s="48" t="n">
        <v>0.0021</v>
      </c>
      <c r="Z69" s="71" t="n">
        <v>26000000</v>
      </c>
      <c r="AA69" s="50" t="n">
        <v>130</v>
      </c>
      <c r="AB69" s="48" t="n">
        <f aca="false">Z69/AA69</f>
        <v>200000</v>
      </c>
      <c r="AC69" s="114"/>
      <c r="AD69" s="107" t="n">
        <f aca="false">Y69/AB69*1000000000000</f>
        <v>10500</v>
      </c>
      <c r="AE69" s="49" t="str">
        <f aca="false">IF(ISNUMBER($Q69),$AD69*1000/2^(($Q69-1.76)/6.02), "")</f>
        <v/>
      </c>
      <c r="AF69" s="49" t="n">
        <f aca="false">$AD69*1000/2^(($X69-1.76)/6.02)</f>
        <v>810.549466774326</v>
      </c>
      <c r="AG69" s="49" t="str">
        <f aca="false">IF(ISNUMBER($Q69), $Q69+10*LOG10($AB69/2/$Y69), "")</f>
        <v/>
      </c>
      <c r="AH69" s="49" t="n">
        <f aca="false">$X69+10*LOG10($AB69/2/$Y69)</f>
        <v>160.777807052661</v>
      </c>
      <c r="AI69" s="52" t="n">
        <f aca="false">AF69/AB69</f>
        <v>0.00405274733387163</v>
      </c>
      <c r="AJ69" s="53" t="n">
        <f aca="false">AH69+10*LOG10(AB69)</f>
        <v>213.788107009301</v>
      </c>
    </row>
    <row r="70" customFormat="false" ht="12.75" hidden="false" customHeight="false" outlineLevel="0" collapsed="false">
      <c r="A70" s="50" t="n">
        <v>2008</v>
      </c>
      <c r="B70" s="43" t="n">
        <v>18.3</v>
      </c>
      <c r="C70" s="42" t="s">
        <v>139</v>
      </c>
      <c r="D70" s="42" t="s">
        <v>173</v>
      </c>
      <c r="E70" s="42" t="n">
        <v>0.065</v>
      </c>
      <c r="F70" s="45" t="s">
        <v>2177</v>
      </c>
      <c r="G70" s="45" t="s">
        <v>2178</v>
      </c>
      <c r="H70" s="45" t="str">
        <f aca="false">+IF(OR(ISBLANK(H69),ISERROR(H69)),"",H69)</f>
        <v>M. Vadipour, C. Chen, A. Yazdi, M. Nariman, T. Li, P. Kilcoyne, H. Darabi</v>
      </c>
      <c r="I70" s="45" t="s">
        <v>2180</v>
      </c>
      <c r="J70" s="113" t="str">
        <f aca="false">IF(I70&lt;&gt;"?", HYPERLINK(CONCATENATE("https://doi.org/",I70)), "")</f>
        <v>https://doi.org/10.1109/VLSIC.2008.4585998</v>
      </c>
      <c r="K70" s="45" t="s">
        <v>117</v>
      </c>
      <c r="L70" s="69"/>
      <c r="M70" s="69"/>
      <c r="N70" s="69"/>
      <c r="O70" s="65" t="s">
        <v>117</v>
      </c>
      <c r="P70" s="43" t="n">
        <v>0.18</v>
      </c>
      <c r="Q70" s="41"/>
      <c r="R70" s="48" t="n">
        <v>1920000</v>
      </c>
      <c r="S70" s="41"/>
      <c r="T70" s="41" t="n">
        <v>61</v>
      </c>
      <c r="U70" s="43" t="n">
        <v>63</v>
      </c>
      <c r="V70" s="41"/>
      <c r="W70" s="41"/>
      <c r="X70" s="49" t="n">
        <f aca="false">+IF(ISNUMBER($S70),$S70,MIN($V70,$T70,$U70,$W70))</f>
        <v>61</v>
      </c>
      <c r="Y70" s="48" t="n">
        <v>0.0032</v>
      </c>
      <c r="Z70" s="71" t="n">
        <v>62400000</v>
      </c>
      <c r="AA70" s="50" t="n">
        <v>16.25</v>
      </c>
      <c r="AB70" s="48" t="n">
        <f aca="false">Z70/AA70</f>
        <v>3840000</v>
      </c>
      <c r="AC70" s="114"/>
      <c r="AD70" s="107" t="n">
        <f aca="false">Y70/AB70*1000000000000</f>
        <v>833.333333333333</v>
      </c>
      <c r="AE70" s="49" t="str">
        <f aca="false">IF(ISNUMBER($Q70),$AD70*1000/2^(($Q70-1.76)/6.02), "")</f>
        <v/>
      </c>
      <c r="AF70" s="49" t="n">
        <f aca="false">$AD70*1000/2^(($X70-1.76)/6.02)</f>
        <v>908.915648672551</v>
      </c>
      <c r="AG70" s="49" t="str">
        <f aca="false">IF(ISNUMBER($Q70), $Q70+10*LOG10($AB70/2/$Y70), "")</f>
        <v/>
      </c>
      <c r="AH70" s="49" t="n">
        <f aca="false">$X70+10*LOG10($AB70/2/$Y70)</f>
        <v>148.781512503836</v>
      </c>
      <c r="AI70" s="52" t="n">
        <f aca="false">AF70/AB70</f>
        <v>0.000236696783508477</v>
      </c>
      <c r="AJ70" s="53" t="n">
        <f aca="false">AH70+10*LOG10(AB70)</f>
        <v>214.624824747512</v>
      </c>
    </row>
    <row r="71" customFormat="false" ht="12.75" hidden="false" customHeight="false" outlineLevel="0" collapsed="false">
      <c r="A71" s="50" t="n">
        <v>2008</v>
      </c>
      <c r="B71" s="43" t="n">
        <v>18.4</v>
      </c>
      <c r="C71" s="42" t="s">
        <v>139</v>
      </c>
      <c r="D71" s="42" t="s">
        <v>2140</v>
      </c>
      <c r="E71" s="42" t="n">
        <v>0.18</v>
      </c>
      <c r="F71" s="45" t="s">
        <v>2181</v>
      </c>
      <c r="G71" s="45" t="s">
        <v>2182</v>
      </c>
      <c r="H71" s="45" t="s">
        <v>2183</v>
      </c>
      <c r="I71" s="45" t="s">
        <v>2184</v>
      </c>
      <c r="J71" s="113" t="str">
        <f aca="false">IF(I71&lt;&gt;"?", HYPERLINK(CONCATENATE("https://doi.org/",I71)), "")</f>
        <v>https://doi.org/10.1109/VLSIC.2008.4585999</v>
      </c>
      <c r="K71" s="45" t="s">
        <v>2185</v>
      </c>
      <c r="L71" s="69" t="n">
        <v>2</v>
      </c>
      <c r="M71" s="69"/>
      <c r="N71" s="69"/>
      <c r="O71" s="65" t="s">
        <v>117</v>
      </c>
      <c r="P71" s="43" t="n">
        <v>0.5</v>
      </c>
      <c r="Q71" s="41"/>
      <c r="R71" s="48" t="n">
        <v>11500000</v>
      </c>
      <c r="S71" s="41" t="n">
        <v>68</v>
      </c>
      <c r="T71" s="41" t="n">
        <v>68</v>
      </c>
      <c r="V71" s="41"/>
      <c r="W71" s="41" t="n">
        <v>81</v>
      </c>
      <c r="X71" s="49" t="n">
        <f aca="false">+IF(ISNUMBER($S71),$S71,MIN($V71,$T71,$U71,$W71))</f>
        <v>68</v>
      </c>
      <c r="Y71" s="48" t="n">
        <v>0.048</v>
      </c>
      <c r="Z71" s="71" t="n">
        <v>115000000</v>
      </c>
      <c r="AA71" s="50" t="n">
        <v>5</v>
      </c>
      <c r="AB71" s="48" t="n">
        <f aca="false">Z71/AA71</f>
        <v>23000000</v>
      </c>
      <c r="AC71" s="114"/>
      <c r="AD71" s="107" t="n">
        <f aca="false">Y71/AB71*1000000000000</f>
        <v>2086.95652173913</v>
      </c>
      <c r="AE71" s="49" t="str">
        <f aca="false">IF(ISNUMBER($Q71),$AD71*1000/2^(($Q71-1.76)/6.02), "")</f>
        <v/>
      </c>
      <c r="AF71" s="49" t="n">
        <f aca="false">$AD71*1000/2^(($X71-1.76)/6.02)</f>
        <v>1016.67782087972</v>
      </c>
      <c r="AG71" s="49" t="str">
        <f aca="false">IF(ISNUMBER($Q71), $Q71+10*LOG10($AB71/2/$Y71), "")</f>
        <v/>
      </c>
      <c r="AH71" s="49" t="n">
        <f aca="false">$X71+10*LOG10($AB71/2/$Y71)</f>
        <v>151.79456602978</v>
      </c>
      <c r="AI71" s="52" t="n">
        <f aca="false">AF71/AB71</f>
        <v>4.42033835165095E-005</v>
      </c>
      <c r="AJ71" s="53" t="n">
        <f aca="false">AH71+10*LOG10(AB71)</f>
        <v>225.411844389956</v>
      </c>
    </row>
    <row r="72" customFormat="false" ht="12.75" hidden="false" customHeight="false" outlineLevel="0" collapsed="false">
      <c r="A72" s="50" t="n">
        <v>2008</v>
      </c>
      <c r="B72" s="43" t="n">
        <v>22.1</v>
      </c>
      <c r="C72" s="42" t="s">
        <v>111</v>
      </c>
      <c r="D72" s="42" t="s">
        <v>133</v>
      </c>
      <c r="E72" s="42" t="n">
        <v>0.09</v>
      </c>
      <c r="F72" s="45" t="s">
        <v>2186</v>
      </c>
      <c r="G72" s="45" t="s">
        <v>2187</v>
      </c>
      <c r="H72" s="45" t="s">
        <v>2188</v>
      </c>
      <c r="I72" s="45" t="s">
        <v>2189</v>
      </c>
      <c r="J72" s="113" t="str">
        <f aca="false">IF(I72&lt;&gt;"?", HYPERLINK(CONCATENATE("https://doi.org/",I72)), "")</f>
        <v>https://doi.org/10.1109/VLSIC.2008.4586012</v>
      </c>
      <c r="K72" s="45" t="s">
        <v>117</v>
      </c>
      <c r="L72" s="69" t="n">
        <v>1.2</v>
      </c>
      <c r="M72" s="69"/>
      <c r="N72" s="69"/>
      <c r="O72" s="65" t="n">
        <v>0.09</v>
      </c>
      <c r="P72" s="43" t="n">
        <v>0.123</v>
      </c>
      <c r="Q72" s="41"/>
      <c r="R72" s="48" t="n">
        <f aca="false">Z72/2</f>
        <v>25000000</v>
      </c>
      <c r="S72" s="41" t="n">
        <v>47.7</v>
      </c>
      <c r="T72" s="41"/>
      <c r="V72" s="41"/>
      <c r="W72" s="41"/>
      <c r="X72" s="49" t="n">
        <f aca="false">+IF(ISNUMBER($S72),$S72,MIN($V72,$T72,$U72,$W72))</f>
        <v>47.7</v>
      </c>
      <c r="Y72" s="48" t="n">
        <v>0.00144</v>
      </c>
      <c r="Z72" s="71" t="n">
        <v>50000000</v>
      </c>
      <c r="AA72" s="50" t="n">
        <v>1</v>
      </c>
      <c r="AB72" s="48" t="n">
        <f aca="false">Z72/AA72</f>
        <v>50000000</v>
      </c>
      <c r="AC72" s="114"/>
      <c r="AD72" s="107" t="n">
        <f aca="false">Y72/AB72*1000000000000</f>
        <v>28.8</v>
      </c>
      <c r="AE72" s="49" t="str">
        <f aca="false">IF(ISNUMBER($Q72),$AD72*1000/2^(($Q72-1.76)/6.02), "")</f>
        <v/>
      </c>
      <c r="AF72" s="49" t="n">
        <f aca="false">$AD72*1000/2^(($X72-1.76)/6.02)</f>
        <v>145.265868170607</v>
      </c>
      <c r="AG72" s="49" t="str">
        <f aca="false">IF(ISNUMBER($Q72), $Q72+10*LOG10($AB72/2/$Y72), "")</f>
        <v/>
      </c>
      <c r="AH72" s="49" t="n">
        <f aca="false">$X72+10*LOG10($AB72/2/$Y72)</f>
        <v>150.095775165768</v>
      </c>
      <c r="AI72" s="52" t="n">
        <f aca="false">AF72/AB72</f>
        <v>2.90531736341215E-006</v>
      </c>
      <c r="AJ72" s="53" t="n">
        <f aca="false">AH72+10*LOG10(AB72)</f>
        <v>227.085475209128</v>
      </c>
    </row>
    <row r="73" customFormat="false" ht="12.75" hidden="false" customHeight="false" outlineLevel="0" collapsed="false">
      <c r="A73" s="50" t="n">
        <v>2008</v>
      </c>
      <c r="B73" s="43" t="n">
        <v>22.2</v>
      </c>
      <c r="C73" s="42" t="s">
        <v>111</v>
      </c>
      <c r="D73" s="62" t="s">
        <v>798</v>
      </c>
      <c r="E73" s="42" t="n">
        <v>0.065</v>
      </c>
      <c r="F73" s="45" t="s">
        <v>2190</v>
      </c>
      <c r="G73" s="45" t="s">
        <v>2191</v>
      </c>
      <c r="H73" s="45" t="s">
        <v>2192</v>
      </c>
      <c r="I73" s="45" t="s">
        <v>2193</v>
      </c>
      <c r="J73" s="113" t="str">
        <f aca="false">IF(I73&lt;&gt;"?", HYPERLINK(CONCATENATE("https://doi.org/",I73)), "")</f>
        <v>https://doi.org/10.1109/VLSIC.2008.4586013</v>
      </c>
      <c r="K73" s="45" t="s">
        <v>117</v>
      </c>
      <c r="L73" s="69"/>
      <c r="M73" s="69"/>
      <c r="N73" s="69"/>
      <c r="O73" s="65" t="s">
        <v>117</v>
      </c>
      <c r="P73" s="43" t="n">
        <v>0.33</v>
      </c>
      <c r="Q73" s="41"/>
      <c r="R73" s="48" t="n">
        <f aca="false">Z73/2</f>
        <v>13000000</v>
      </c>
      <c r="S73" s="41" t="n">
        <v>54.3</v>
      </c>
      <c r="T73" s="41"/>
      <c r="V73" s="41"/>
      <c r="W73" s="41"/>
      <c r="X73" s="49" t="n">
        <f aca="false">+IF(ISNUMBER($S73),$S73,MIN($V73,$T73,$U73,$W73))</f>
        <v>54.3</v>
      </c>
      <c r="Y73" s="48" t="n">
        <v>0.00551</v>
      </c>
      <c r="Z73" s="71" t="n">
        <v>26000000</v>
      </c>
      <c r="AA73" s="50" t="n">
        <v>1</v>
      </c>
      <c r="AB73" s="48" t="n">
        <f aca="false">Z73/AA73</f>
        <v>26000000</v>
      </c>
      <c r="AC73" s="114"/>
      <c r="AD73" s="107" t="n">
        <f aca="false">Y73/AB73*1000000000000</f>
        <v>211.923076923077</v>
      </c>
      <c r="AE73" s="49" t="str">
        <f aca="false">IF(ISNUMBER($Q73),$AD73*1000/2^(($Q73-1.76)/6.02), "")</f>
        <v/>
      </c>
      <c r="AF73" s="49" t="n">
        <f aca="false">$AD73*1000/2^(($X73-1.76)/6.02)</f>
        <v>499.938360310289</v>
      </c>
      <c r="AG73" s="49" t="str">
        <f aca="false">IF(ISNUMBER($Q73), $Q73+10*LOG10($AB73/2/$Y73), "")</f>
        <v/>
      </c>
      <c r="AH73" s="49" t="n">
        <f aca="false">$X73+10*LOG10($AB73/2/$Y73)</f>
        <v>148.027917534551</v>
      </c>
      <c r="AI73" s="52" t="n">
        <f aca="false">AF73/AB73</f>
        <v>1.92283984734726E-005</v>
      </c>
      <c r="AJ73" s="53" t="n">
        <f aca="false">AH73+10*LOG10(AB73)</f>
        <v>222.177651014259</v>
      </c>
    </row>
    <row r="74" customFormat="false" ht="12.75" hidden="false" customHeight="false" outlineLevel="0" collapsed="false">
      <c r="A74" s="50" t="n">
        <v>2008</v>
      </c>
      <c r="B74" s="43" t="n">
        <v>22.3</v>
      </c>
      <c r="C74" s="42" t="s">
        <v>111</v>
      </c>
      <c r="D74" s="42" t="s">
        <v>133</v>
      </c>
      <c r="E74" s="42" t="n">
        <v>0.18</v>
      </c>
      <c r="F74" s="45" t="s">
        <v>2194</v>
      </c>
      <c r="G74" s="45" t="s">
        <v>2195</v>
      </c>
      <c r="H74" s="45" t="s">
        <v>2196</v>
      </c>
      <c r="I74" s="45" t="s">
        <v>2197</v>
      </c>
      <c r="J74" s="113" t="str">
        <f aca="false">IF(I74&lt;&gt;"?", HYPERLINK(CONCATENATE("https://doi.org/",I74)), "")</f>
        <v>https://doi.org/10.1109/VLSIC.2008.4586014</v>
      </c>
      <c r="K74" s="45" t="s">
        <v>2198</v>
      </c>
      <c r="L74" s="69"/>
      <c r="M74" s="69"/>
      <c r="N74" s="69"/>
      <c r="O74" s="65" t="s">
        <v>117</v>
      </c>
      <c r="P74" s="43" t="n">
        <v>0.26</v>
      </c>
      <c r="Q74" s="41"/>
      <c r="R74" s="48" t="n">
        <f aca="false">Z74/2</f>
        <v>25000000</v>
      </c>
      <c r="S74" s="41" t="n">
        <v>64</v>
      </c>
      <c r="T74" s="41"/>
      <c r="V74" s="41"/>
      <c r="W74" s="41" t="n">
        <v>76.6</v>
      </c>
      <c r="X74" s="49" t="n">
        <f aca="false">+IF(ISNUMBER($S74),$S74,MIN($V74,$T74,$U74,$W74))</f>
        <v>64</v>
      </c>
      <c r="Y74" s="43" t="n">
        <f aca="false">0.0102*1.8</f>
        <v>0.01836</v>
      </c>
      <c r="Z74" s="71" t="n">
        <v>50000000</v>
      </c>
      <c r="AA74" s="50" t="n">
        <v>1</v>
      </c>
      <c r="AB74" s="48" t="n">
        <f aca="false">Z74/AA74</f>
        <v>50000000</v>
      </c>
      <c r="AC74" s="114"/>
      <c r="AD74" s="107" t="n">
        <f aca="false">Y74/AB74*1000000000000</f>
        <v>367.2</v>
      </c>
      <c r="AE74" s="49" t="str">
        <f aca="false">IF(ISNUMBER($Q74),$AD74*1000/2^(($Q74-1.76)/6.02), "")</f>
        <v/>
      </c>
      <c r="AF74" s="49" t="n">
        <f aca="false">$AD74*1000/2^(($X74-1.76)/6.02)</f>
        <v>283.525778273049</v>
      </c>
      <c r="AG74" s="49" t="str">
        <f aca="false">IF(ISNUMBER($Q74), $Q74+10*LOG10($AB74/2/$Y74), "")</f>
        <v/>
      </c>
      <c r="AH74" s="49" t="n">
        <f aca="false">$X74+10*LOG10($AB74/2/$Y74)</f>
        <v>155.340673318068</v>
      </c>
      <c r="AI74" s="52" t="n">
        <f aca="false">AF74/AB74</f>
        <v>5.67051556546098E-006</v>
      </c>
      <c r="AJ74" s="53" t="n">
        <f aca="false">AH74+10*LOG10(AB74)</f>
        <v>232.330373361428</v>
      </c>
    </row>
    <row r="75" customFormat="false" ht="12.75" hidden="false" customHeight="false" outlineLevel="0" collapsed="false">
      <c r="A75" s="50" t="n">
        <v>2008</v>
      </c>
      <c r="B75" s="43" t="n">
        <v>22.4</v>
      </c>
      <c r="C75" s="42" t="s">
        <v>111</v>
      </c>
      <c r="D75" s="42" t="s">
        <v>133</v>
      </c>
      <c r="E75" s="42" t="n">
        <v>0.18</v>
      </c>
      <c r="F75" s="45" t="s">
        <v>2199</v>
      </c>
      <c r="G75" s="45" t="s">
        <v>2200</v>
      </c>
      <c r="H75" s="45" t="s">
        <v>2201</v>
      </c>
      <c r="I75" s="45" t="s">
        <v>2202</v>
      </c>
      <c r="J75" s="113" t="str">
        <f aca="false">IF(I75&lt;&gt;"?", HYPERLINK(CONCATENATE("https://doi.org/",I75)), "")</f>
        <v>https://doi.org/10.1109/VLSIC.2008.4586015</v>
      </c>
      <c r="K75" s="45" t="s">
        <v>117</v>
      </c>
      <c r="L75" s="69"/>
      <c r="M75" s="69"/>
      <c r="N75" s="69"/>
      <c r="O75" s="65" t="s">
        <v>117</v>
      </c>
      <c r="P75" s="43" t="n">
        <v>0.89</v>
      </c>
      <c r="Q75" s="41"/>
      <c r="R75" s="48" t="n">
        <f aca="false">Z75/2</f>
        <v>125000000</v>
      </c>
      <c r="S75" s="41" t="n">
        <v>65.9</v>
      </c>
      <c r="T75" s="41"/>
      <c r="V75" s="41"/>
      <c r="W75" s="41" t="n">
        <v>77</v>
      </c>
      <c r="X75" s="49" t="n">
        <f aca="false">+IF(ISNUMBER($S75),$S75,MIN($V75,$T75,$U75,$W75))</f>
        <v>65.9</v>
      </c>
      <c r="Y75" s="48" t="n">
        <v>0.14</v>
      </c>
      <c r="Z75" s="71" t="n">
        <v>250000000</v>
      </c>
      <c r="AA75" s="50" t="n">
        <v>1</v>
      </c>
      <c r="AB75" s="48" t="n">
        <f aca="false">Z75/AA75</f>
        <v>250000000</v>
      </c>
      <c r="AC75" s="114"/>
      <c r="AD75" s="107" t="n">
        <f aca="false">Y75/AB75*1000000000000</f>
        <v>560</v>
      </c>
      <c r="AE75" s="49" t="str">
        <f aca="false">IF(ISNUMBER($Q75),$AD75*1000/2^(($Q75-1.76)/6.02), "")</f>
        <v/>
      </c>
      <c r="AF75" s="49" t="n">
        <f aca="false">$AD75*1000/2^(($X75-1.76)/6.02)</f>
        <v>347.430897842443</v>
      </c>
      <c r="AG75" s="49" t="str">
        <f aca="false">IF(ISNUMBER($Q75), $Q75+10*LOG10($AB75/2/$Y75), "")</f>
        <v/>
      </c>
      <c r="AH75" s="49" t="n">
        <f aca="false">$X75+10*LOG10($AB75/2/$Y75)</f>
        <v>155.407819773298</v>
      </c>
      <c r="AI75" s="52" t="n">
        <f aca="false">AF75/AB75</f>
        <v>1.38972359136977E-006</v>
      </c>
      <c r="AJ75" s="53" t="n">
        <f aca="false">AH75+10*LOG10(AB75)</f>
        <v>239.387219860019</v>
      </c>
    </row>
    <row r="76" customFormat="false" ht="12.75" hidden="false" customHeight="false" outlineLevel="0" collapsed="false">
      <c r="A76" s="40" t="n">
        <v>2009</v>
      </c>
      <c r="B76" s="43" t="n">
        <v>7.1</v>
      </c>
      <c r="C76" s="42" t="s">
        <v>139</v>
      </c>
      <c r="D76" s="42" t="s">
        <v>173</v>
      </c>
      <c r="E76" s="42" t="n">
        <v>0.11</v>
      </c>
      <c r="F76" s="45" t="s">
        <v>2203</v>
      </c>
      <c r="G76" s="45" t="s">
        <v>2204</v>
      </c>
      <c r="H76" s="111" t="s">
        <v>2205</v>
      </c>
      <c r="I76" s="45" t="s">
        <v>2206</v>
      </c>
      <c r="J76" s="113" t="s">
        <v>2207</v>
      </c>
      <c r="K76" s="45" t="s">
        <v>117</v>
      </c>
      <c r="L76" s="69"/>
      <c r="M76" s="69"/>
      <c r="N76" s="69"/>
      <c r="O76" s="65" t="s">
        <v>117</v>
      </c>
      <c r="P76" s="43" t="n">
        <v>0.32</v>
      </c>
      <c r="Q76" s="41"/>
      <c r="R76" s="48" t="n">
        <v>10000000</v>
      </c>
      <c r="S76" s="41" t="n">
        <v>62.5</v>
      </c>
      <c r="T76" s="41" t="n">
        <v>68.2</v>
      </c>
      <c r="U76" s="43" t="n">
        <v>70.2</v>
      </c>
      <c r="V76" s="41"/>
      <c r="W76" s="41"/>
      <c r="X76" s="49" t="n">
        <f aca="false">+IF(ISNUMBER($S76),$S76,MIN($V76,$T76,$U76,$W76))</f>
        <v>62.5</v>
      </c>
      <c r="Y76" s="48" t="n">
        <v>0.00532</v>
      </c>
      <c r="Z76" s="71" t="n">
        <v>300000000</v>
      </c>
      <c r="AA76" s="50" t="n">
        <v>15</v>
      </c>
      <c r="AB76" s="48" t="n">
        <f aca="false">Z76/AA76</f>
        <v>20000000</v>
      </c>
      <c r="AC76" s="114"/>
      <c r="AD76" s="107" t="n">
        <f aca="false">Y76/AB76*1000000000000</f>
        <v>266</v>
      </c>
      <c r="AE76" s="49" t="str">
        <f aca="false">IF(ISNUMBER($Q76),$AD76*1000/2^(($Q76-1.76)/6.02), "")</f>
        <v/>
      </c>
      <c r="AF76" s="49" t="n">
        <f aca="false">$AD76*1000/2^(($X76-1.76)/6.02)</f>
        <v>244.106300747769</v>
      </c>
      <c r="AG76" s="49" t="str">
        <f aca="false">IF(ISNUMBER($Q76), $Q76+10*LOG10($AB76/2/$Y76), "")</f>
        <v/>
      </c>
      <c r="AH76" s="49" t="n">
        <f aca="false">$X76+10*LOG10($AB76/2/$Y76)</f>
        <v>155.24088367705</v>
      </c>
      <c r="AI76" s="52" t="n">
        <f aca="false">AF76/AB76</f>
        <v>1.22053150373884E-005</v>
      </c>
      <c r="AJ76" s="53" t="n">
        <f aca="false">AH76+10*LOG10(AB76)</f>
        <v>228.251183633689</v>
      </c>
    </row>
    <row r="77" customFormat="false" ht="12.75" hidden="false" customHeight="false" outlineLevel="0" collapsed="false">
      <c r="A77" s="50" t="n">
        <v>2009</v>
      </c>
      <c r="B77" s="43" t="n">
        <v>7.2</v>
      </c>
      <c r="C77" s="42" t="s">
        <v>139</v>
      </c>
      <c r="D77" s="42" t="s">
        <v>173</v>
      </c>
      <c r="E77" s="42" t="n">
        <v>0.09</v>
      </c>
      <c r="F77" s="45" t="s">
        <v>2208</v>
      </c>
      <c r="G77" s="45" t="s">
        <v>2209</v>
      </c>
      <c r="H77" s="111" t="s">
        <v>2210</v>
      </c>
      <c r="I77" s="45" t="s">
        <v>2206</v>
      </c>
      <c r="J77" s="113" t="s">
        <v>2211</v>
      </c>
      <c r="K77" s="45" t="s">
        <v>117</v>
      </c>
      <c r="L77" s="69"/>
      <c r="M77" s="69"/>
      <c r="N77" s="69"/>
      <c r="O77" s="65" t="s">
        <v>117</v>
      </c>
      <c r="P77" s="43" t="n">
        <v>0.4</v>
      </c>
      <c r="Q77" s="41"/>
      <c r="R77" s="48" t="n">
        <v>10000000</v>
      </c>
      <c r="S77" s="41" t="n">
        <v>65</v>
      </c>
      <c r="T77" s="41"/>
      <c r="U77" s="43" t="n">
        <v>67</v>
      </c>
      <c r="V77" s="41"/>
      <c r="W77" s="41" t="n">
        <v>72</v>
      </c>
      <c r="X77" s="49" t="n">
        <f aca="false">+IF(ISNUMBER($S77),$S77,MIN($V77,$T77,$U77,$W77))</f>
        <v>65</v>
      </c>
      <c r="Y77" s="48" t="n">
        <v>0.0068</v>
      </c>
      <c r="Z77" s="71" t="n">
        <v>640000000</v>
      </c>
      <c r="AA77" s="50" t="n">
        <v>32</v>
      </c>
      <c r="AB77" s="48" t="n">
        <f aca="false">Z77/AA77</f>
        <v>20000000</v>
      </c>
      <c r="AC77" s="114"/>
      <c r="AD77" s="107" t="n">
        <f aca="false">Y77/AB77*1000000000000</f>
        <v>340</v>
      </c>
      <c r="AE77" s="49" t="str">
        <f aca="false">IF(ISNUMBER($Q77),$AD77*1000/2^(($Q77-1.76)/6.02), "")</f>
        <v/>
      </c>
      <c r="AF77" s="49" t="n">
        <f aca="false">$AD77*1000/2^(($X77-1.76)/6.02)</f>
        <v>233.971959945037</v>
      </c>
      <c r="AG77" s="49" t="str">
        <f aca="false">IF(ISNUMBER($Q77), $Q77+10*LOG10($AB77/2/$Y77), "")</f>
        <v/>
      </c>
      <c r="AH77" s="49" t="n">
        <f aca="false">$X77+10*LOG10($AB77/2/$Y77)</f>
        <v>156.674910872938</v>
      </c>
      <c r="AI77" s="52" t="n">
        <f aca="false">AF77/AB77</f>
        <v>1.16985979972519E-005</v>
      </c>
      <c r="AJ77" s="53" t="n">
        <f aca="false">AH77+10*LOG10(AB77)</f>
        <v>229.685210829577</v>
      </c>
    </row>
    <row r="78" customFormat="false" ht="12.75" hidden="false" customHeight="false" outlineLevel="0" collapsed="false">
      <c r="A78" s="50" t="n">
        <v>2009</v>
      </c>
      <c r="B78" s="43" t="n">
        <v>7.3</v>
      </c>
      <c r="C78" s="42" t="s">
        <v>139</v>
      </c>
      <c r="D78" s="42" t="s">
        <v>145</v>
      </c>
      <c r="E78" s="42" t="n">
        <v>0.045</v>
      </c>
      <c r="F78" s="45" t="s">
        <v>2212</v>
      </c>
      <c r="G78" s="45" t="s">
        <v>2213</v>
      </c>
      <c r="H78" s="45" t="s">
        <v>2214</v>
      </c>
      <c r="I78" s="45" t="s">
        <v>2206</v>
      </c>
      <c r="J78" s="113" t="s">
        <v>2215</v>
      </c>
      <c r="K78" s="45" t="s">
        <v>117</v>
      </c>
      <c r="L78" s="69"/>
      <c r="M78" s="69"/>
      <c r="N78" s="69"/>
      <c r="O78" s="65" t="s">
        <v>117</v>
      </c>
      <c r="P78" s="43" t="n">
        <v>0.04</v>
      </c>
      <c r="Q78" s="41"/>
      <c r="R78" s="48" t="n">
        <v>15000000</v>
      </c>
      <c r="S78" s="41" t="n">
        <v>56.3</v>
      </c>
      <c r="T78" s="41" t="n">
        <v>59.6</v>
      </c>
      <c r="V78" s="41"/>
      <c r="W78" s="41" t="n">
        <v>56.3</v>
      </c>
      <c r="X78" s="49" t="n">
        <f aca="false">+IF(ISNUMBER($S78),$S78,MIN($V78,$T78,$U78,$W78))</f>
        <v>56.3</v>
      </c>
      <c r="Y78" s="48" t="n">
        <v>0.009</v>
      </c>
      <c r="Z78" s="71" t="n">
        <v>1500000000</v>
      </c>
      <c r="AA78" s="50" t="n">
        <v>50</v>
      </c>
      <c r="AB78" s="48" t="n">
        <f aca="false">Z78/AA78</f>
        <v>30000000</v>
      </c>
      <c r="AC78" s="114"/>
      <c r="AD78" s="107" t="n">
        <f aca="false">Y78/AB78*1000000000000</f>
        <v>300</v>
      </c>
      <c r="AE78" s="49" t="str">
        <f aca="false">IF(ISNUMBER($Q78),$AD78*1000/2^(($Q78-1.76)/6.02), "")</f>
        <v/>
      </c>
      <c r="AF78" s="49" t="n">
        <f aca="false">$AD78*1000/2^(($X78-1.76)/6.02)</f>
        <v>562.14648569803</v>
      </c>
      <c r="AG78" s="49" t="str">
        <f aca="false">IF(ISNUMBER($Q78), $Q78+10*LOG10($AB78/2/$Y78), "")</f>
        <v/>
      </c>
      <c r="AH78" s="49" t="n">
        <f aca="false">$X78+10*LOG10($AB78/2/$Y78)</f>
        <v>148.518487496164</v>
      </c>
      <c r="AI78" s="52" t="n">
        <f aca="false">AF78/AB78</f>
        <v>1.87382161899343E-005</v>
      </c>
      <c r="AJ78" s="53" t="n">
        <f aca="false">AH78+10*LOG10(AB78)</f>
        <v>223.28970004336</v>
      </c>
    </row>
    <row r="79" customFormat="false" ht="12.75" hidden="false" customHeight="false" outlineLevel="0" collapsed="false">
      <c r="A79" s="50" t="n">
        <v>2009</v>
      </c>
      <c r="B79" s="43" t="n">
        <v>7.4</v>
      </c>
      <c r="C79" s="43" t="s">
        <v>139</v>
      </c>
      <c r="D79" s="43" t="s">
        <v>140</v>
      </c>
      <c r="E79" s="43" t="n">
        <v>0.18</v>
      </c>
      <c r="F79" s="45" t="s">
        <v>2216</v>
      </c>
      <c r="G79" s="45" t="s">
        <v>2217</v>
      </c>
      <c r="H79" s="45" t="s">
        <v>2218</v>
      </c>
      <c r="I79" s="45" t="s">
        <v>2206</v>
      </c>
      <c r="J79" s="113" t="s">
        <v>2219</v>
      </c>
      <c r="K79" s="45" t="s">
        <v>117</v>
      </c>
      <c r="L79" s="69"/>
      <c r="M79" s="69"/>
      <c r="N79" s="69"/>
      <c r="O79" s="65" t="s">
        <v>117</v>
      </c>
      <c r="P79" s="43" t="n">
        <v>3.75</v>
      </c>
      <c r="Q79" s="41"/>
      <c r="R79" s="48" t="n">
        <v>5000000</v>
      </c>
      <c r="S79" s="41" t="n">
        <v>75.4</v>
      </c>
      <c r="T79" s="41" t="n">
        <v>76</v>
      </c>
      <c r="V79" s="41"/>
      <c r="W79" s="41" t="n">
        <v>85</v>
      </c>
      <c r="X79" s="49" t="n">
        <f aca="false">+IF(ISNUMBER($S79),$S79,MIN($V79,$T79,$U79,$W79))</f>
        <v>75.4</v>
      </c>
      <c r="Y79" s="48" t="n">
        <v>0.036</v>
      </c>
      <c r="Z79" s="71" t="n">
        <v>80000000</v>
      </c>
      <c r="AA79" s="50" t="n">
        <v>8</v>
      </c>
      <c r="AB79" s="48" t="n">
        <f aca="false">Z79/AA79</f>
        <v>10000000</v>
      </c>
      <c r="AC79" s="114"/>
      <c r="AD79" s="107" t="n">
        <f aca="false">Y79/AB79*1000000000000</f>
        <v>3600</v>
      </c>
      <c r="AE79" s="49" t="str">
        <f aca="false">IF(ISNUMBER($Q79),$AD79*1000/2^(($Q79-1.76)/6.02), "")</f>
        <v/>
      </c>
      <c r="AF79" s="49" t="n">
        <f aca="false">$AD79*1000/2^(($X79-1.76)/6.02)</f>
        <v>748.058525807739</v>
      </c>
      <c r="AG79" s="49" t="str">
        <f aca="false">IF(ISNUMBER($Q79), $Q79+10*LOG10($AB79/2/$Y79), "")</f>
        <v/>
      </c>
      <c r="AH79" s="49" t="n">
        <f aca="false">$X79+10*LOG10($AB79/2/$Y79)</f>
        <v>156.826675035687</v>
      </c>
      <c r="AI79" s="52" t="n">
        <f aca="false">AF79/AB79</f>
        <v>7.48058525807739E-005</v>
      </c>
      <c r="AJ79" s="53" t="n">
        <f aca="false">AH79+10*LOG10(AB79)</f>
        <v>226.826675035687</v>
      </c>
    </row>
    <row r="80" customFormat="false" ht="12.75" hidden="false" customHeight="false" outlineLevel="0" collapsed="false">
      <c r="A80" s="50" t="n">
        <v>2009</v>
      </c>
      <c r="B80" s="43" t="n">
        <v>23.1</v>
      </c>
      <c r="C80" s="43" t="s">
        <v>111</v>
      </c>
      <c r="D80" s="43" t="s">
        <v>112</v>
      </c>
      <c r="E80" s="43" t="n">
        <v>0.13</v>
      </c>
      <c r="F80" s="45" t="s">
        <v>2220</v>
      </c>
      <c r="G80" s="45" t="s">
        <v>2221</v>
      </c>
      <c r="H80" s="45" t="s">
        <v>2222</v>
      </c>
      <c r="I80" s="45" t="s">
        <v>2206</v>
      </c>
      <c r="J80" s="113" t="s">
        <v>2223</v>
      </c>
      <c r="K80" s="45" t="s">
        <v>117</v>
      </c>
      <c r="L80" s="69" t="n">
        <v>1.2</v>
      </c>
      <c r="M80" s="69"/>
      <c r="N80" s="69"/>
      <c r="O80" s="65" t="s">
        <v>117</v>
      </c>
      <c r="P80" s="43" t="n">
        <v>0.075</v>
      </c>
      <c r="Q80" s="41"/>
      <c r="R80" s="48" t="n">
        <v>50000000</v>
      </c>
      <c r="S80" s="41" t="n">
        <v>52</v>
      </c>
      <c r="T80" s="41"/>
      <c r="V80" s="41"/>
      <c r="W80" s="41" t="n">
        <v>62.5</v>
      </c>
      <c r="X80" s="49" t="n">
        <f aca="false">+IF(ISNUMBER($S80),$S80,MIN($V80,$T80,$U80,$W80))</f>
        <v>52</v>
      </c>
      <c r="Y80" s="48" t="n">
        <v>0.00092</v>
      </c>
      <c r="Z80" s="71" t="n">
        <v>50000000</v>
      </c>
      <c r="AA80" s="50" t="n">
        <v>0.5</v>
      </c>
      <c r="AB80" s="48" t="n">
        <f aca="false">Z80/AA80</f>
        <v>100000000</v>
      </c>
      <c r="AC80" s="114"/>
      <c r="AD80" s="107" t="n">
        <f aca="false">Y80/AB80*1000000000000</f>
        <v>9.2</v>
      </c>
      <c r="AE80" s="49" t="str">
        <f aca="false">IF(ISNUMBER($Q80),$AD80*1000/2^(($Q80-1.76)/6.02), "")</f>
        <v/>
      </c>
      <c r="AF80" s="49" t="n">
        <f aca="false">$AD80*1000/2^(($X80-1.76)/6.02)</f>
        <v>28.2837830983768</v>
      </c>
      <c r="AG80" s="49" t="str">
        <f aca="false">IF(ISNUMBER($Q80), $Q80+10*LOG10($AB80/2/$Y80), "")</f>
        <v/>
      </c>
      <c r="AH80" s="49" t="n">
        <f aca="false">$X80+10*LOG10($AB80/2/$Y80)</f>
        <v>159.351821769905</v>
      </c>
      <c r="AI80" s="52" t="n">
        <f aca="false">AF80/AB80</f>
        <v>2.82837830983768E-007</v>
      </c>
      <c r="AJ80" s="53" t="n">
        <f aca="false">AH80+10*LOG10(AB80)</f>
        <v>239.351821769905</v>
      </c>
    </row>
    <row r="81" customFormat="false" ht="12.75" hidden="false" customHeight="false" outlineLevel="0" collapsed="false">
      <c r="A81" s="50" t="n">
        <v>2009</v>
      </c>
      <c r="B81" s="43" t="n">
        <v>23.2</v>
      </c>
      <c r="C81" s="43" t="s">
        <v>111</v>
      </c>
      <c r="D81" s="43" t="s">
        <v>112</v>
      </c>
      <c r="E81" s="43" t="n">
        <v>0.09</v>
      </c>
      <c r="F81" s="45" t="s">
        <v>2224</v>
      </c>
      <c r="G81" s="45" t="s">
        <v>2225</v>
      </c>
      <c r="H81" s="45" t="s">
        <v>2226</v>
      </c>
      <c r="I81" s="45" t="s">
        <v>2206</v>
      </c>
      <c r="J81" s="113" t="s">
        <v>2227</v>
      </c>
      <c r="K81" s="45" t="s">
        <v>117</v>
      </c>
      <c r="L81" s="69"/>
      <c r="M81" s="69"/>
      <c r="N81" s="69"/>
      <c r="O81" s="65" t="s">
        <v>117</v>
      </c>
      <c r="P81" s="43" t="n">
        <v>0.0055</v>
      </c>
      <c r="Q81" s="41"/>
      <c r="R81" s="48" t="n">
        <v>16000000</v>
      </c>
      <c r="S81" s="41" t="n">
        <v>32</v>
      </c>
      <c r="T81" s="41"/>
      <c r="V81" s="41"/>
      <c r="W81" s="41"/>
      <c r="X81" s="49" t="n">
        <f aca="false">+IF(ISNUMBER($S81),$S81,MIN($V81,$T81,$U81,$W81))</f>
        <v>32</v>
      </c>
      <c r="Y81" s="48" t="n">
        <v>0.00024</v>
      </c>
      <c r="Z81" s="71" t="n">
        <v>50000000</v>
      </c>
      <c r="AA81" s="50" t="n">
        <v>1</v>
      </c>
      <c r="AB81" s="48" t="n">
        <f aca="false">Z81/AA81</f>
        <v>50000000</v>
      </c>
      <c r="AC81" s="114"/>
      <c r="AD81" s="107" t="n">
        <f aca="false">Y81/AB81*1000000000000</f>
        <v>4.8</v>
      </c>
      <c r="AE81" s="49" t="str">
        <f aca="false">IF(ISNUMBER($Q81),$AD81*1000/2^(($Q81-1.76)/6.02), "")</f>
        <v/>
      </c>
      <c r="AF81" s="49" t="n">
        <f aca="false">$AD81*1000/2^(($X81-1.76)/6.02)</f>
        <v>147.601428783239</v>
      </c>
      <c r="AG81" s="49" t="str">
        <f aca="false">IF(ISNUMBER($Q81), $Q81+10*LOG10($AB81/2/$Y81), "")</f>
        <v/>
      </c>
      <c r="AH81" s="49" t="n">
        <f aca="false">$X81+10*LOG10($AB81/2/$Y81)</f>
        <v>142.177287669604</v>
      </c>
      <c r="AI81" s="52" t="n">
        <f aca="false">AF81/AB81</f>
        <v>2.95202857566479E-006</v>
      </c>
      <c r="AJ81" s="53" t="n">
        <f aca="false">AH81+10*LOG10(AB81)</f>
        <v>219.166987712964</v>
      </c>
    </row>
    <row r="82" customFormat="false" ht="12.75" hidden="false" customHeight="false" outlineLevel="0" collapsed="false">
      <c r="A82" s="50" t="n">
        <v>2009</v>
      </c>
      <c r="B82" s="43" t="n">
        <v>23.3</v>
      </c>
      <c r="C82" s="43" t="s">
        <v>111</v>
      </c>
      <c r="D82" s="43" t="s">
        <v>112</v>
      </c>
      <c r="E82" s="43" t="n">
        <v>0.13</v>
      </c>
      <c r="F82" s="45" t="s">
        <v>2228</v>
      </c>
      <c r="G82" s="45" t="s">
        <v>2229</v>
      </c>
      <c r="H82" s="45" t="s">
        <v>2230</v>
      </c>
      <c r="I82" s="45" t="s">
        <v>2206</v>
      </c>
      <c r="J82" s="113" t="s">
        <v>2231</v>
      </c>
      <c r="K82" s="45" t="s">
        <v>117</v>
      </c>
      <c r="L82" s="69"/>
      <c r="M82" s="69"/>
      <c r="N82" s="69"/>
      <c r="O82" s="65" t="s">
        <v>117</v>
      </c>
      <c r="P82" s="43" t="n">
        <v>0.7</v>
      </c>
      <c r="Q82" s="41"/>
      <c r="R82" s="48" t="n">
        <v>5500000</v>
      </c>
      <c r="S82" s="41" t="n">
        <v>63</v>
      </c>
      <c r="T82" s="41"/>
      <c r="V82" s="41"/>
      <c r="W82" s="41" t="n">
        <v>70</v>
      </c>
      <c r="X82" s="49" t="n">
        <f aca="false">+IF(ISNUMBER($S82),$S82,MIN($V82,$T82,$U82,$W82))</f>
        <v>63</v>
      </c>
      <c r="Y82" s="48" t="n">
        <v>0.00357</v>
      </c>
      <c r="Z82" s="71" t="n">
        <v>11000000</v>
      </c>
      <c r="AA82" s="50" t="n">
        <v>1</v>
      </c>
      <c r="AB82" s="48" t="n">
        <f aca="false">Z82/AA82</f>
        <v>11000000</v>
      </c>
      <c r="AC82" s="114"/>
      <c r="AD82" s="107" t="n">
        <f aca="false">Y82/AB82*1000000000000</f>
        <v>324.545454545455</v>
      </c>
      <c r="AE82" s="49" t="str">
        <f aca="false">IF(ISNUMBER($Q82),$AD82*1000/2^(($Q82-1.76)/6.02), "")</f>
        <v/>
      </c>
      <c r="AF82" s="49" t="n">
        <f aca="false">$AD82*1000/2^(($X82-1.76)/6.02)</f>
        <v>281.170913795924</v>
      </c>
      <c r="AG82" s="49" t="str">
        <f aca="false">IF(ISNUMBER($Q82), $Q82+10*LOG10($AB82/2/$Y82), "")</f>
        <v/>
      </c>
      <c r="AH82" s="49" t="n">
        <f aca="false">$X82+10*LOG10($AB82/2/$Y82)</f>
        <v>154.876944733821</v>
      </c>
      <c r="AI82" s="52" t="n">
        <f aca="false">AF82/AB82</f>
        <v>2.55609921632658E-005</v>
      </c>
      <c r="AJ82" s="53" t="n">
        <f aca="false">AH82+10*LOG10(AB82)</f>
        <v>225.290871585403</v>
      </c>
    </row>
    <row r="83" customFormat="false" ht="12.75" hidden="false" customHeight="false" outlineLevel="0" collapsed="false">
      <c r="A83" s="50" t="n">
        <v>2009</v>
      </c>
      <c r="B83" s="43" t="n">
        <v>23.4</v>
      </c>
      <c r="C83" s="43" t="s">
        <v>111</v>
      </c>
      <c r="D83" s="43" t="s">
        <v>112</v>
      </c>
      <c r="E83" s="43" t="n">
        <v>0.18</v>
      </c>
      <c r="F83" s="45" t="s">
        <v>2232</v>
      </c>
      <c r="G83" s="45" t="s">
        <v>2233</v>
      </c>
      <c r="H83" s="45" t="s">
        <v>2234</v>
      </c>
      <c r="I83" s="45" t="s">
        <v>2206</v>
      </c>
      <c r="J83" s="113" t="s">
        <v>2235</v>
      </c>
      <c r="K83" s="45" t="s">
        <v>117</v>
      </c>
      <c r="L83" s="69" t="n">
        <v>0.6</v>
      </c>
      <c r="M83" s="69"/>
      <c r="N83" s="69"/>
      <c r="O83" s="65" t="s">
        <v>117</v>
      </c>
      <c r="P83" s="43" t="n">
        <v>0.125</v>
      </c>
      <c r="Q83" s="41"/>
      <c r="R83" s="48" t="n">
        <v>50000</v>
      </c>
      <c r="S83" s="41" t="n">
        <v>53.8</v>
      </c>
      <c r="T83" s="41"/>
      <c r="V83" s="41"/>
      <c r="W83" s="41" t="n">
        <v>62</v>
      </c>
      <c r="X83" s="49" t="n">
        <f aca="false">+IF(ISNUMBER($S83),$S83,MIN($V83,$T83,$U83,$W83))</f>
        <v>53.8</v>
      </c>
      <c r="Y83" s="48" t="n">
        <v>1.3E-006</v>
      </c>
      <c r="Z83" s="71" t="n">
        <v>100000</v>
      </c>
      <c r="AA83" s="50" t="n">
        <v>1</v>
      </c>
      <c r="AB83" s="48" t="n">
        <f aca="false">Z83/AA83</f>
        <v>100000</v>
      </c>
      <c r="AC83" s="114"/>
      <c r="AD83" s="107" t="n">
        <f aca="false">Y83/AB83*1000000000000</f>
        <v>13</v>
      </c>
      <c r="AE83" s="49" t="str">
        <f aca="false">IF(ISNUMBER($Q83),$AD83*1000/2^(($Q83-1.76)/6.02), "")</f>
        <v/>
      </c>
      <c r="AF83" s="49" t="n">
        <f aca="false">$AD83*1000/2^(($X83-1.76)/6.02)</f>
        <v>32.4850884983787</v>
      </c>
      <c r="AG83" s="49" t="str">
        <f aca="false">IF(ISNUMBER($Q83), $Q83+10*LOG10($AB83/2/$Y83), "")</f>
        <v/>
      </c>
      <c r="AH83" s="49" t="n">
        <f aca="false">$X83+10*LOG10($AB83/2/$Y83)</f>
        <v>159.650266520292</v>
      </c>
      <c r="AI83" s="52" t="n">
        <f aca="false">AF83/AB83</f>
        <v>0.000324850884983787</v>
      </c>
      <c r="AJ83" s="53" t="n">
        <f aca="false">AH83+10*LOG10(AB83)</f>
        <v>209.650266520292</v>
      </c>
    </row>
    <row r="84" customFormat="false" ht="12.75" hidden="false" customHeight="false" outlineLevel="0" collapsed="false">
      <c r="A84" s="50" t="n">
        <v>2009</v>
      </c>
      <c r="B84" s="43" t="n">
        <v>26.1</v>
      </c>
      <c r="C84" s="43" t="s">
        <v>111</v>
      </c>
      <c r="D84" s="43" t="s">
        <v>118</v>
      </c>
      <c r="E84" s="43" t="n">
        <v>0.09</v>
      </c>
      <c r="F84" s="45" t="s">
        <v>2236</v>
      </c>
      <c r="G84" s="45" t="s">
        <v>2237</v>
      </c>
      <c r="H84" s="45" t="s">
        <v>2238</v>
      </c>
      <c r="I84" s="45" t="s">
        <v>2206</v>
      </c>
      <c r="J84" s="113" t="s">
        <v>2207</v>
      </c>
      <c r="K84" s="45" t="s">
        <v>117</v>
      </c>
      <c r="L84" s="69" t="n">
        <v>1</v>
      </c>
      <c r="M84" s="69"/>
      <c r="N84" s="69"/>
      <c r="O84" s="65" t="s">
        <v>117</v>
      </c>
      <c r="P84" s="43" t="n">
        <v>0.075</v>
      </c>
      <c r="Q84" s="41"/>
      <c r="R84" s="48" t="n">
        <f aca="false">Z84/2</f>
        <v>1350000000</v>
      </c>
      <c r="S84" s="41" t="n">
        <v>33.6</v>
      </c>
      <c r="T84" s="41"/>
      <c r="V84" s="41"/>
      <c r="W84" s="41"/>
      <c r="X84" s="49" t="n">
        <f aca="false">+IF(ISNUMBER($S84),$S84,MIN($V84,$T84,$U84,$W84))</f>
        <v>33.6</v>
      </c>
      <c r="Y84" s="48" t="n">
        <v>0.05</v>
      </c>
      <c r="Z84" s="71" t="n">
        <v>2700000000</v>
      </c>
      <c r="AA84" s="50" t="n">
        <v>1</v>
      </c>
      <c r="AB84" s="48" t="n">
        <f aca="false">Z84/AA84</f>
        <v>2700000000</v>
      </c>
      <c r="AC84" s="114"/>
      <c r="AD84" s="107" t="n">
        <f aca="false">Y84/AB84*1000000000000</f>
        <v>18.5185185185185</v>
      </c>
      <c r="AE84" s="49" t="str">
        <f aca="false">IF(ISNUMBER($Q84),$AD84*1000/2^(($Q84-1.76)/6.02), "")</f>
        <v/>
      </c>
      <c r="AF84" s="49" t="n">
        <f aca="false">$AD84*1000/2^(($X84-1.76)/6.02)</f>
        <v>473.639148867604</v>
      </c>
      <c r="AG84" s="49" t="str">
        <f aca="false">IF(ISNUMBER($Q84), $Q84+10*LOG10($AB84/2/$Y84), "")</f>
        <v/>
      </c>
      <c r="AH84" s="49" t="n">
        <f aca="false">$X84+10*LOG10($AB84/2/$Y84)</f>
        <v>137.91363764159</v>
      </c>
      <c r="AI84" s="52" t="n">
        <f aca="false">AF84/AB84</f>
        <v>1.75421906988001E-007</v>
      </c>
      <c r="AJ84" s="53" t="n">
        <f aca="false">AH84+10*LOG10(AB84)</f>
        <v>232.22727528318</v>
      </c>
    </row>
    <row r="85" customFormat="false" ht="12.75" hidden="false" customHeight="false" outlineLevel="0" collapsed="false">
      <c r="A85" s="50" t="n">
        <v>2009</v>
      </c>
      <c r="B85" s="43" t="n">
        <v>26.2</v>
      </c>
      <c r="C85" s="43" t="s">
        <v>111</v>
      </c>
      <c r="D85" s="43" t="s">
        <v>208</v>
      </c>
      <c r="E85" s="43" t="n">
        <v>0.065</v>
      </c>
      <c r="F85" s="45" t="s">
        <v>2239</v>
      </c>
      <c r="G85" s="45" t="s">
        <v>2240</v>
      </c>
      <c r="H85" s="45" t="s">
        <v>2241</v>
      </c>
      <c r="I85" s="45" t="s">
        <v>2206</v>
      </c>
      <c r="J85" s="113" t="s">
        <v>2242</v>
      </c>
      <c r="K85" s="45" t="s">
        <v>117</v>
      </c>
      <c r="L85" s="69"/>
      <c r="M85" s="69"/>
      <c r="N85" s="69"/>
      <c r="O85" s="65" t="s">
        <v>117</v>
      </c>
      <c r="P85" s="43" t="n">
        <v>0.01</v>
      </c>
      <c r="Q85" s="41"/>
      <c r="R85" s="48" t="n">
        <v>3835000000</v>
      </c>
      <c r="S85" s="41" t="n">
        <v>24.5</v>
      </c>
      <c r="T85" s="41"/>
      <c r="V85" s="41"/>
      <c r="W85" s="41" t="n">
        <v>33.4</v>
      </c>
      <c r="X85" s="49" t="n">
        <f aca="false">+IF(ISNUMBER($S85),$S85,MIN($V85,$T85,$U85,$W85))</f>
        <v>24.5</v>
      </c>
      <c r="Y85" s="48" t="n">
        <v>0.052</v>
      </c>
      <c r="Z85" s="71" t="n">
        <v>7500000000</v>
      </c>
      <c r="AA85" s="50" t="n">
        <v>0.977835723598436</v>
      </c>
      <c r="AB85" s="48" t="n">
        <f aca="false">Z85/AA85</f>
        <v>7670000000</v>
      </c>
      <c r="AC85" s="114"/>
      <c r="AD85" s="107" t="n">
        <f aca="false">Y85/AB85*1000000000000</f>
        <v>6.77966101694915</v>
      </c>
      <c r="AE85" s="49" t="str">
        <f aca="false">IF(ISNUMBER($Q85),$AD85*1000/2^(($Q85-1.76)/6.02), "")</f>
        <v/>
      </c>
      <c r="AF85" s="49" t="n">
        <f aca="false">$AD85*1000/2^(($X85-1.76)/6.02)</f>
        <v>494.41845574073</v>
      </c>
      <c r="AG85" s="49" t="str">
        <f aca="false">IF(ISNUMBER($Q85), $Q85+10*LOG10($AB85/2/$Y85), "")</f>
        <v/>
      </c>
      <c r="AH85" s="49" t="n">
        <f aca="false">$X85+10*LOG10($AB85/2/$Y85)</f>
        <v>133.177620246502</v>
      </c>
      <c r="AI85" s="52" t="n">
        <f aca="false">AF85/AB85</f>
        <v>6.44613371239543E-008</v>
      </c>
      <c r="AJ85" s="53" t="n">
        <f aca="false">AH85+10*LOG10(AB85)</f>
        <v>232.025573885992</v>
      </c>
    </row>
    <row r="86" customFormat="false" ht="12.75" hidden="false" customHeight="false" outlineLevel="0" collapsed="false">
      <c r="A86" s="50" t="n">
        <v>2009</v>
      </c>
      <c r="B86" s="43" t="n">
        <v>26.3</v>
      </c>
      <c r="C86" s="43" t="s">
        <v>111</v>
      </c>
      <c r="D86" s="43" t="s">
        <v>2243</v>
      </c>
      <c r="E86" s="43" t="n">
        <v>0.065</v>
      </c>
      <c r="F86" s="45" t="s">
        <v>2244</v>
      </c>
      <c r="G86" s="45" t="s">
        <v>2245</v>
      </c>
      <c r="H86" s="45" t="s">
        <v>2246</v>
      </c>
      <c r="I86" s="45" t="s">
        <v>2206</v>
      </c>
      <c r="J86" s="113" t="s">
        <v>2247</v>
      </c>
      <c r="K86" s="45" t="s">
        <v>2248</v>
      </c>
      <c r="L86" s="69" t="n">
        <v>1.2</v>
      </c>
      <c r="M86" s="69"/>
      <c r="N86" s="69"/>
      <c r="O86" s="65" t="s">
        <v>117</v>
      </c>
      <c r="P86" s="43" t="n">
        <v>0.7</v>
      </c>
      <c r="Q86" s="41"/>
      <c r="R86" s="48" t="n">
        <f aca="false">AB86/2</f>
        <v>20000000</v>
      </c>
      <c r="S86" s="41" t="n">
        <v>39</v>
      </c>
      <c r="T86" s="41" t="n">
        <v>48.3</v>
      </c>
      <c r="V86" s="41"/>
      <c r="W86" s="41" t="n">
        <v>42.5</v>
      </c>
      <c r="X86" s="49" t="n">
        <f aca="false">+IF(ISNUMBER($S86),$S86,MIN($V86,$T86,$U86,$W86))</f>
        <v>39</v>
      </c>
      <c r="Y86" s="48" t="n">
        <v>0.0086</v>
      </c>
      <c r="Z86" s="71" t="n">
        <v>4000000000</v>
      </c>
      <c r="AA86" s="50" t="n">
        <f aca="false">Z86/AB86</f>
        <v>100</v>
      </c>
      <c r="AB86" s="48" t="n">
        <v>40000000</v>
      </c>
      <c r="AC86" s="114" t="n">
        <v>1500000000</v>
      </c>
      <c r="AD86" s="107" t="n">
        <f aca="false">Y86/AB86*1000000000000</f>
        <v>215</v>
      </c>
      <c r="AE86" s="49" t="str">
        <f aca="false">IF(ISNUMBER($Q86),$AD86*1000/2^(($Q86-1.76)/6.02), "")</f>
        <v/>
      </c>
      <c r="AF86" s="49" t="n">
        <f aca="false">$AD86*1000/2^(($X86-1.76)/6.02)</f>
        <v>2952.92832275498</v>
      </c>
      <c r="AG86" s="49" t="str">
        <f aca="false">IF(ISNUMBER($Q86), $Q86+10*LOG10($AB86/2/$Y86), "")</f>
        <v/>
      </c>
      <c r="AH86" s="49" t="n">
        <f aca="false">$X86+10*LOG10($AB86/2/$Y86)</f>
        <v>132.665315444204</v>
      </c>
      <c r="AI86" s="52" t="n">
        <f aca="false">AF86/AB86</f>
        <v>7.38232080688745E-005</v>
      </c>
      <c r="AJ86" s="53" t="n">
        <f aca="false">AH86+10*LOG10(AB86)</f>
        <v>208.685915357484</v>
      </c>
    </row>
    <row r="87" customFormat="false" ht="12.75" hidden="false" customHeight="false" outlineLevel="0" collapsed="false">
      <c r="A87" s="50" t="n">
        <v>2009</v>
      </c>
      <c r="B87" s="43" t="n">
        <v>26.4</v>
      </c>
      <c r="C87" s="43" t="s">
        <v>111</v>
      </c>
      <c r="D87" s="43" t="s">
        <v>133</v>
      </c>
      <c r="E87" s="43" t="n">
        <v>0.065</v>
      </c>
      <c r="F87" s="45" t="s">
        <v>2249</v>
      </c>
      <c r="G87" s="45" t="s">
        <v>2250</v>
      </c>
      <c r="H87" s="45" t="s">
        <v>2251</v>
      </c>
      <c r="I87" s="45" t="s">
        <v>2206</v>
      </c>
      <c r="J87" s="113" t="s">
        <v>2252</v>
      </c>
      <c r="K87" s="45" t="s">
        <v>117</v>
      </c>
      <c r="L87" s="69"/>
      <c r="M87" s="69"/>
      <c r="N87" s="69"/>
      <c r="O87" s="65" t="s">
        <v>117</v>
      </c>
      <c r="P87" s="43" t="n">
        <v>0.125</v>
      </c>
      <c r="Q87" s="41"/>
      <c r="R87" s="48" t="n">
        <f aca="false">AB87/2</f>
        <v>40000000</v>
      </c>
      <c r="S87" s="41" t="n">
        <v>53.8</v>
      </c>
      <c r="T87" s="41"/>
      <c r="V87" s="41"/>
      <c r="W87" s="41" t="n">
        <v>70</v>
      </c>
      <c r="X87" s="49" t="n">
        <f aca="false">+IF(ISNUMBER($S87),$S87,MIN($V87,$T87,$U87,$W87))</f>
        <v>53.8</v>
      </c>
      <c r="Y87" s="48" t="n">
        <v>0.0112</v>
      </c>
      <c r="Z87" s="71" t="n">
        <v>80000000</v>
      </c>
      <c r="AA87" s="50" t="n">
        <v>1</v>
      </c>
      <c r="AB87" s="48" t="n">
        <f aca="false">Z87</f>
        <v>80000000</v>
      </c>
      <c r="AC87" s="114"/>
      <c r="AD87" s="107" t="n">
        <f aca="false">Y87/AB87*1000000000000</f>
        <v>140</v>
      </c>
      <c r="AE87" s="49" t="str">
        <f aca="false">IF(ISNUMBER($Q87),$AD87*1000/2^(($Q87-1.76)/6.02), "")</f>
        <v/>
      </c>
      <c r="AF87" s="49" t="n">
        <f aca="false">$AD87*1000/2^(($X87-1.76)/6.02)</f>
        <v>349.839414597925</v>
      </c>
      <c r="AG87" s="49" t="str">
        <f aca="false">IF(ISNUMBER($Q87), $Q87+10*LOG10($AB87/2/$Y87), "")</f>
        <v/>
      </c>
      <c r="AH87" s="49" t="n">
        <f aca="false">$X87+10*LOG10($AB87/2/$Y87)</f>
        <v>149.328419686578</v>
      </c>
      <c r="AI87" s="52" t="n">
        <f aca="false">AF87/AB87</f>
        <v>4.37299268247406E-006</v>
      </c>
      <c r="AJ87" s="53" t="n">
        <f aca="false">AH87+10*LOG10(AB87)</f>
        <v>228.359319556497</v>
      </c>
    </row>
    <row r="88" customFormat="false" ht="12.75" hidden="false" customHeight="false" outlineLevel="0" collapsed="false">
      <c r="A88" s="40" t="n">
        <v>2010</v>
      </c>
      <c r="B88" s="43" t="n">
        <v>15.2</v>
      </c>
      <c r="C88" s="43" t="s">
        <v>139</v>
      </c>
      <c r="D88" s="43" t="s">
        <v>173</v>
      </c>
      <c r="E88" s="43" t="n">
        <v>0.09</v>
      </c>
      <c r="F88" s="45" t="s">
        <v>2253</v>
      </c>
      <c r="G88" s="45" t="s">
        <v>2254</v>
      </c>
      <c r="H88" s="45" t="s">
        <v>2255</v>
      </c>
      <c r="I88" s="45" t="s">
        <v>2256</v>
      </c>
      <c r="J88" s="113" t="str">
        <f aca="false">IF(I88&lt;&gt;"?", HYPERLINK(CONCATENATE("https://doi.org/",I88)), "")</f>
        <v>https://doi.org/10.1109/VLSIC.2010.5560317</v>
      </c>
      <c r="K88" s="45" t="s">
        <v>1995</v>
      </c>
      <c r="L88" s="69" t="n">
        <v>1</v>
      </c>
      <c r="M88" s="69"/>
      <c r="N88" s="69"/>
      <c r="O88" s="65" t="s">
        <v>117</v>
      </c>
      <c r="P88" s="43" t="n">
        <v>0.4</v>
      </c>
      <c r="Q88" s="41"/>
      <c r="R88" s="48" t="n">
        <f aca="false">AB88/2</f>
        <v>200000</v>
      </c>
      <c r="S88" s="41" t="n">
        <v>82</v>
      </c>
      <c r="T88" s="41"/>
      <c r="U88" s="43" t="n">
        <v>85</v>
      </c>
      <c r="V88" s="41"/>
      <c r="W88" s="41"/>
      <c r="X88" s="49" t="n">
        <f aca="false">+IF(ISNUMBER($S88),$S88,MIN($V88,$T88,$U88,$W88))</f>
        <v>82</v>
      </c>
      <c r="Y88" s="48" t="n">
        <v>0.0028</v>
      </c>
      <c r="Z88" s="71" t="n">
        <v>51200000</v>
      </c>
      <c r="AA88" s="50" t="n">
        <f aca="false">Z88/AB88</f>
        <v>128</v>
      </c>
      <c r="AB88" s="48" t="n">
        <f aca="false">2*200000</f>
        <v>400000</v>
      </c>
      <c r="AC88" s="114"/>
      <c r="AD88" s="107" t="n">
        <f aca="false">Y88/AB88*1000000000000</f>
        <v>7000</v>
      </c>
      <c r="AE88" s="49" t="str">
        <f aca="false">IF(ISNUMBER($Q88),$AD88*1000/2^(($Q88-1.76)/6.02), "")</f>
        <v/>
      </c>
      <c r="AF88" s="49" t="n">
        <f aca="false">$AD88*1000/2^(($X88-1.76)/6.02)</f>
        <v>680.296490754367</v>
      </c>
      <c r="AG88" s="49" t="str">
        <f aca="false">IF(ISNUMBER($Q88), $Q88+10*LOG10($AB88/2/$Y88), "")</f>
        <v/>
      </c>
      <c r="AH88" s="49" t="n">
        <f aca="false">$X88+10*LOG10($AB88/2/$Y88)</f>
        <v>160.538719643218</v>
      </c>
      <c r="AI88" s="52" t="n">
        <f aca="false">AF88/AB88</f>
        <v>0.00170074122688592</v>
      </c>
      <c r="AJ88" s="53" t="n">
        <f aca="false">AH88+10*LOG10(AB88)</f>
        <v>216.559319556497</v>
      </c>
    </row>
    <row r="89" customFormat="false" ht="12.75" hidden="false" customHeight="false" outlineLevel="0" collapsed="false">
      <c r="A89" s="50" t="n">
        <v>2010</v>
      </c>
      <c r="B89" s="43" t="n">
        <v>15.2</v>
      </c>
      <c r="C89" s="43" t="s">
        <v>139</v>
      </c>
      <c r="D89" s="43" t="s">
        <v>173</v>
      </c>
      <c r="E89" s="43" t="n">
        <v>0.09</v>
      </c>
      <c r="F89" s="45" t="s">
        <v>2253</v>
      </c>
      <c r="G89" s="45" t="s">
        <v>2254</v>
      </c>
      <c r="H89" s="45" t="s">
        <v>2255</v>
      </c>
      <c r="I89" s="45" t="s">
        <v>2256</v>
      </c>
      <c r="J89" s="113" t="str">
        <f aca="false">IF(I89&lt;&gt;"?", HYPERLINK(CONCATENATE("https://doi.org/",I89)), "")</f>
        <v>https://doi.org/10.1109/VLSIC.2010.5560317</v>
      </c>
      <c r="K89" s="45" t="s">
        <v>2257</v>
      </c>
      <c r="L89" s="69" t="n">
        <v>1</v>
      </c>
      <c r="M89" s="69"/>
      <c r="N89" s="69"/>
      <c r="O89" s="65" t="s">
        <v>117</v>
      </c>
      <c r="P89" s="43" t="n">
        <v>0.4</v>
      </c>
      <c r="Q89" s="41"/>
      <c r="R89" s="48" t="n">
        <f aca="false">AB89/2</f>
        <v>500000</v>
      </c>
      <c r="S89" s="41" t="n">
        <v>76</v>
      </c>
      <c r="T89" s="41"/>
      <c r="U89" s="43" t="n">
        <v>78</v>
      </c>
      <c r="V89" s="41"/>
      <c r="W89" s="41"/>
      <c r="X89" s="49" t="n">
        <f aca="false">+IF(ISNUMBER($S89),$S89,MIN($V89,$T89,$U89,$W89))</f>
        <v>76</v>
      </c>
      <c r="Y89" s="48" t="n">
        <v>0.0026</v>
      </c>
      <c r="Z89" s="71" t="n">
        <v>96000000</v>
      </c>
      <c r="AA89" s="50" t="n">
        <f aca="false">Z89/AB89</f>
        <v>96</v>
      </c>
      <c r="AB89" s="48" t="n">
        <f aca="false">2*500000</f>
        <v>1000000</v>
      </c>
      <c r="AC89" s="114"/>
      <c r="AD89" s="107" t="n">
        <f aca="false">Y89/AB89*1000000000000</f>
        <v>2600</v>
      </c>
      <c r="AE89" s="49" t="str">
        <f aca="false">IF(ISNUMBER($Q89),$AD89*1000/2^(($Q89-1.76)/6.02), "")</f>
        <v/>
      </c>
      <c r="AF89" s="49" t="n">
        <f aca="false">$AD89*1000/2^(($X89-1.76)/6.02)</f>
        <v>504.200688829947</v>
      </c>
      <c r="AG89" s="49" t="str">
        <f aca="false">IF(ISNUMBER($Q89), $Q89+10*LOG10($AB89/2/$Y89), "")</f>
        <v/>
      </c>
      <c r="AH89" s="49" t="n">
        <f aca="false">$X89+10*LOG10($AB89/2/$Y89)</f>
        <v>158.839966563652</v>
      </c>
      <c r="AI89" s="52" t="n">
        <f aca="false">AF89/AB89</f>
        <v>0.000504200688829947</v>
      </c>
      <c r="AJ89" s="53" t="n">
        <f aca="false">AH89+10*LOG10(AB89)</f>
        <v>218.839966563652</v>
      </c>
    </row>
    <row r="90" customFormat="false" ht="12.75" hidden="false" customHeight="false" outlineLevel="0" collapsed="false">
      <c r="A90" s="50" t="n">
        <v>2010</v>
      </c>
      <c r="B90" s="43" t="n">
        <v>15.2</v>
      </c>
      <c r="C90" s="43" t="s">
        <v>139</v>
      </c>
      <c r="D90" s="43" t="s">
        <v>173</v>
      </c>
      <c r="E90" s="43" t="n">
        <v>0.09</v>
      </c>
      <c r="F90" s="45" t="s">
        <v>2253</v>
      </c>
      <c r="G90" s="45" t="s">
        <v>2254</v>
      </c>
      <c r="H90" s="45" t="s">
        <v>2255</v>
      </c>
      <c r="I90" s="45" t="s">
        <v>2256</v>
      </c>
      <c r="J90" s="113" t="str">
        <f aca="false">IF(I90&lt;&gt;"?", HYPERLINK(CONCATENATE("https://doi.org/",I90)), "")</f>
        <v>https://doi.org/10.1109/VLSIC.2010.5560317</v>
      </c>
      <c r="K90" s="45" t="s">
        <v>2258</v>
      </c>
      <c r="L90" s="69" t="n">
        <v>1</v>
      </c>
      <c r="M90" s="69"/>
      <c r="N90" s="69"/>
      <c r="O90" s="65" t="s">
        <v>117</v>
      </c>
      <c r="P90" s="43" t="n">
        <v>0.4</v>
      </c>
      <c r="Q90" s="41"/>
      <c r="R90" s="48" t="n">
        <f aca="false">AB90/2</f>
        <v>2000000</v>
      </c>
      <c r="S90" s="41" t="n">
        <v>75</v>
      </c>
      <c r="T90" s="41"/>
      <c r="U90" s="43" t="n">
        <v>75</v>
      </c>
      <c r="V90" s="41"/>
      <c r="W90" s="41"/>
      <c r="X90" s="49" t="n">
        <f aca="false">+IF(ISNUMBER($S90),$S90,MIN($V90,$T90,$U90,$W90))</f>
        <v>75</v>
      </c>
      <c r="Y90" s="48" t="n">
        <v>0.0036</v>
      </c>
      <c r="Z90" s="71" t="n">
        <v>128000000</v>
      </c>
      <c r="AA90" s="50" t="n">
        <f aca="false">Z90/AB90</f>
        <v>32</v>
      </c>
      <c r="AB90" s="48" t="n">
        <f aca="false">2*2000000</f>
        <v>4000000</v>
      </c>
      <c r="AC90" s="114"/>
      <c r="AD90" s="107" t="n">
        <f aca="false">Y90/AB90*1000000000000</f>
        <v>900</v>
      </c>
      <c r="AE90" s="49" t="str">
        <f aca="false">IF(ISNUMBER($Q90),$AD90*1000/2^(($Q90-1.76)/6.02), "")</f>
        <v/>
      </c>
      <c r="AF90" s="49" t="n">
        <f aca="false">$AD90*1000/2^(($X90-1.76)/6.02)</f>
        <v>195.829258195523</v>
      </c>
      <c r="AG90" s="49" t="str">
        <f aca="false">IF(ISNUMBER($Q90), $Q90+10*LOG10($AB90/2/$Y90), "")</f>
        <v/>
      </c>
      <c r="AH90" s="49" t="n">
        <f aca="false">$X90+10*LOG10($AB90/2/$Y90)</f>
        <v>162.447274948967</v>
      </c>
      <c r="AI90" s="52" t="n">
        <f aca="false">AF90/AB90</f>
        <v>4.89573145488808E-005</v>
      </c>
      <c r="AJ90" s="53" t="n">
        <f aca="false">AH90+10*LOG10(AB90)</f>
        <v>228.467874862247</v>
      </c>
    </row>
    <row r="91" customFormat="false" ht="12.75" hidden="false" customHeight="false" outlineLevel="0" collapsed="false">
      <c r="A91" s="50" t="n">
        <v>2010</v>
      </c>
      <c r="B91" s="43" t="n">
        <v>15.2</v>
      </c>
      <c r="C91" s="43" t="s">
        <v>139</v>
      </c>
      <c r="D91" s="43" t="s">
        <v>173</v>
      </c>
      <c r="E91" s="43" t="n">
        <v>0.09</v>
      </c>
      <c r="F91" s="45" t="s">
        <v>2253</v>
      </c>
      <c r="G91" s="45" t="s">
        <v>2254</v>
      </c>
      <c r="H91" s="45" t="s">
        <v>2255</v>
      </c>
      <c r="I91" s="45" t="s">
        <v>2256</v>
      </c>
      <c r="J91" s="113" t="str">
        <f aca="false">IF(I91&lt;&gt;"?", HYPERLINK(CONCATENATE("https://doi.org/",I91)), "")</f>
        <v>https://doi.org/10.1109/VLSIC.2010.5560317</v>
      </c>
      <c r="K91" s="45" t="s">
        <v>2259</v>
      </c>
      <c r="L91" s="69" t="n">
        <v>1</v>
      </c>
      <c r="M91" s="69"/>
      <c r="N91" s="69"/>
      <c r="O91" s="65" t="s">
        <v>117</v>
      </c>
      <c r="P91" s="43" t="n">
        <v>0.4</v>
      </c>
      <c r="Q91" s="41"/>
      <c r="R91" s="48" t="n">
        <f aca="false">AB91/2</f>
        <v>4000000</v>
      </c>
      <c r="S91" s="41" t="n">
        <v>72</v>
      </c>
      <c r="T91" s="41"/>
      <c r="U91" s="43" t="n">
        <v>72</v>
      </c>
      <c r="V91" s="41"/>
      <c r="W91" s="41"/>
      <c r="X91" s="49" t="n">
        <f aca="false">+IF(ISNUMBER($S91),$S91,MIN($V91,$T91,$U91,$W91))</f>
        <v>72</v>
      </c>
      <c r="Y91" s="48" t="n">
        <v>0.0049</v>
      </c>
      <c r="Z91" s="71" t="n">
        <v>192000000</v>
      </c>
      <c r="AA91" s="50" t="n">
        <f aca="false">Z91/AB91</f>
        <v>24</v>
      </c>
      <c r="AB91" s="48" t="n">
        <f aca="false">2*4000000</f>
        <v>8000000</v>
      </c>
      <c r="AC91" s="114"/>
      <c r="AD91" s="107" t="n">
        <f aca="false">Y91/AB91*1000000000000</f>
        <v>612.5</v>
      </c>
      <c r="AE91" s="49" t="str">
        <f aca="false">IF(ISNUMBER($Q91),$AD91*1000/2^(($Q91-1.76)/6.02), "")</f>
        <v/>
      </c>
      <c r="AF91" s="49" t="n">
        <f aca="false">$AD91*1000/2^(($X91-1.76)/6.02)</f>
        <v>188.259157330948</v>
      </c>
      <c r="AG91" s="49" t="str">
        <f aca="false">IF(ISNUMBER($Q91), $Q91+10*LOG10($AB91/2/$Y91), "")</f>
        <v/>
      </c>
      <c r="AH91" s="49" t="n">
        <f aca="false">$X91+10*LOG10($AB91/2/$Y91)</f>
        <v>161.118639112994</v>
      </c>
      <c r="AI91" s="52" t="n">
        <f aca="false">AF91/AB91</f>
        <v>2.35323946663685E-005</v>
      </c>
      <c r="AJ91" s="53" t="n">
        <f aca="false">AH91+10*LOG10(AB91)</f>
        <v>230.149538982914</v>
      </c>
    </row>
    <row r="92" customFormat="false" ht="12.75" hidden="false" customHeight="false" outlineLevel="0" collapsed="false">
      <c r="A92" s="50" t="n">
        <v>2010</v>
      </c>
      <c r="B92" s="43" t="n">
        <v>15.2</v>
      </c>
      <c r="C92" s="43" t="s">
        <v>139</v>
      </c>
      <c r="D92" s="43" t="s">
        <v>173</v>
      </c>
      <c r="E92" s="43" t="n">
        <v>0.09</v>
      </c>
      <c r="F92" s="45" t="s">
        <v>2253</v>
      </c>
      <c r="G92" s="45" t="s">
        <v>2254</v>
      </c>
      <c r="H92" s="45" t="s">
        <v>2255</v>
      </c>
      <c r="I92" s="45" t="s">
        <v>2256</v>
      </c>
      <c r="J92" s="113" t="str">
        <f aca="false">IF(I92&lt;&gt;"?", HYPERLINK(CONCATENATE("https://doi.org/",I92)), "")</f>
        <v>https://doi.org/10.1109/VLSIC.2010.5560317</v>
      </c>
      <c r="K92" s="45" t="s">
        <v>2260</v>
      </c>
      <c r="L92" s="69" t="n">
        <v>1</v>
      </c>
      <c r="M92" s="69"/>
      <c r="N92" s="69"/>
      <c r="O92" s="65" t="s">
        <v>117</v>
      </c>
      <c r="P92" s="43" t="n">
        <v>0.4</v>
      </c>
      <c r="Q92" s="41"/>
      <c r="R92" s="48" t="n">
        <f aca="false">AB92/2</f>
        <v>20000000</v>
      </c>
      <c r="S92" s="41" t="n">
        <v>58</v>
      </c>
      <c r="T92" s="41"/>
      <c r="U92" s="43" t="n">
        <v>58</v>
      </c>
      <c r="V92" s="41"/>
      <c r="W92" s="41"/>
      <c r="X92" s="49" t="n">
        <f aca="false">+IF(ISNUMBER($S92),$S92,MIN($V92,$T92,$U92,$W92))</f>
        <v>58</v>
      </c>
      <c r="Y92" s="48" t="n">
        <v>0.0085</v>
      </c>
      <c r="Z92" s="71" t="n">
        <v>640000000</v>
      </c>
      <c r="AA92" s="50" t="n">
        <f aca="false">Z92/AB92</f>
        <v>16</v>
      </c>
      <c r="AB92" s="48" t="n">
        <f aca="false">2*20000000</f>
        <v>40000000</v>
      </c>
      <c r="AC92" s="114"/>
      <c r="AD92" s="107" t="n">
        <f aca="false">Y92/AB92*1000000000000</f>
        <v>212.5</v>
      </c>
      <c r="AE92" s="49" t="str">
        <f aca="false">IF(ISNUMBER($Q92),$AD92*1000/2^(($Q92-1.76)/6.02), "")</f>
        <v/>
      </c>
      <c r="AF92" s="49" t="n">
        <f aca="false">$AD92*1000/2^(($X92-1.76)/6.02)</f>
        <v>327.400025659803</v>
      </c>
      <c r="AG92" s="49" t="str">
        <f aca="false">IF(ISNUMBER($Q92), $Q92+10*LOG10($AB92/2/$Y92), "")</f>
        <v/>
      </c>
      <c r="AH92" s="49" t="n">
        <f aca="false">$X92+10*LOG10($AB92/2/$Y92)</f>
        <v>151.716110699497</v>
      </c>
      <c r="AI92" s="52" t="n">
        <f aca="false">AF92/AB92</f>
        <v>8.18500064149506E-006</v>
      </c>
      <c r="AJ92" s="53" t="n">
        <f aca="false">AH92+10*LOG10(AB92)</f>
        <v>227.736710612777</v>
      </c>
    </row>
    <row r="93" customFormat="false" ht="12.75" hidden="false" customHeight="false" outlineLevel="0" collapsed="false">
      <c r="A93" s="50" t="n">
        <v>2010</v>
      </c>
      <c r="B93" s="43" t="n">
        <v>15.3</v>
      </c>
      <c r="C93" s="43" t="s">
        <v>139</v>
      </c>
      <c r="D93" s="43" t="s">
        <v>1410</v>
      </c>
      <c r="E93" s="43" t="n">
        <v>0.065</v>
      </c>
      <c r="F93" s="45" t="s">
        <v>2261</v>
      </c>
      <c r="G93" s="45" t="s">
        <v>2262</v>
      </c>
      <c r="H93" s="45" t="s">
        <v>2263</v>
      </c>
      <c r="I93" s="45" t="s">
        <v>2264</v>
      </c>
      <c r="J93" s="113" t="str">
        <f aca="false">IF(I93&lt;&gt;"?", HYPERLINK(CONCATENATE("https://doi.org/",I93)), "")</f>
        <v>https://doi.org/10.1109/VLSIC.2010.5560314</v>
      </c>
      <c r="K93" s="45" t="s">
        <v>2265</v>
      </c>
      <c r="L93" s="69" t="n">
        <v>1</v>
      </c>
      <c r="M93" s="69"/>
      <c r="N93" s="69"/>
      <c r="O93" s="65" t="s">
        <v>117</v>
      </c>
      <c r="P93" s="43" t="n">
        <v>0.02</v>
      </c>
      <c r="Q93" s="41"/>
      <c r="R93" s="48" t="n">
        <f aca="false">AB93/2</f>
        <v>30000000</v>
      </c>
      <c r="S93" s="41" t="n">
        <v>64</v>
      </c>
      <c r="T93" s="41"/>
      <c r="V93" s="41"/>
      <c r="W93" s="41" t="n">
        <v>79</v>
      </c>
      <c r="X93" s="49" t="n">
        <f aca="false">+IF(ISNUMBER($S93),$S93,MIN($V93,$T93,$U93,$W93))</f>
        <v>64</v>
      </c>
      <c r="Y93" s="48" t="n">
        <v>0.0114</v>
      </c>
      <c r="Z93" s="71" t="n">
        <v>300000000</v>
      </c>
      <c r="AA93" s="50" t="n">
        <f aca="false">Z93/AB93</f>
        <v>5</v>
      </c>
      <c r="AB93" s="48" t="n">
        <f aca="false">2*30000000</f>
        <v>60000000</v>
      </c>
      <c r="AC93" s="114"/>
      <c r="AD93" s="107" t="n">
        <f aca="false">Y93/AB93*1000000000000</f>
        <v>190</v>
      </c>
      <c r="AE93" s="49" t="str">
        <f aca="false">IF(ISNUMBER($Q93),$AD93*1000/2^(($Q93-1.76)/6.02), "")</f>
        <v/>
      </c>
      <c r="AF93" s="49" t="n">
        <f aca="false">$AD93*1000/2^(($X93-1.76)/6.02)</f>
        <v>146.704514901632</v>
      </c>
      <c r="AG93" s="49" t="str">
        <f aca="false">IF(ISNUMBER($Q93), $Q93+10*LOG10($AB93/2/$Y93), "")</f>
        <v/>
      </c>
      <c r="AH93" s="49" t="n">
        <f aca="false">$X93+10*LOG10($AB93/2/$Y93)</f>
        <v>158.202164033832</v>
      </c>
      <c r="AI93" s="52" t="n">
        <f aca="false">AF93/AB93</f>
        <v>2.44507524836054E-006</v>
      </c>
      <c r="AJ93" s="53" t="n">
        <f aca="false">AH93+10*LOG10(AB93)</f>
        <v>235.983676537668</v>
      </c>
    </row>
    <row r="94" customFormat="false" ht="12.75" hidden="false" customHeight="false" outlineLevel="0" collapsed="false">
      <c r="A94" s="50" t="n">
        <v>2010</v>
      </c>
      <c r="B94" s="43" t="n">
        <v>15.4</v>
      </c>
      <c r="C94" s="43" t="s">
        <v>111</v>
      </c>
      <c r="D94" s="43" t="s">
        <v>463</v>
      </c>
      <c r="E94" s="43" t="n">
        <v>0.065</v>
      </c>
      <c r="F94" s="45" t="s">
        <v>2266</v>
      </c>
      <c r="G94" s="45" t="s">
        <v>2267</v>
      </c>
      <c r="H94" s="45" t="s">
        <v>2268</v>
      </c>
      <c r="I94" s="45" t="s">
        <v>2269</v>
      </c>
      <c r="J94" s="113" t="str">
        <f aca="false">IF(I94&lt;&gt;"?", HYPERLINK(CONCATENATE("https://doi.org/",I94)), "")</f>
        <v>https://doi.org/10.1109/VLSIC.2010.5560315</v>
      </c>
      <c r="K94" s="45" t="s">
        <v>117</v>
      </c>
      <c r="L94" s="69" t="n">
        <v>1.1</v>
      </c>
      <c r="M94" s="69"/>
      <c r="N94" s="69"/>
      <c r="O94" s="65" t="n">
        <v>1.1</v>
      </c>
      <c r="P94" s="43" t="n">
        <v>0.44</v>
      </c>
      <c r="Q94" s="41" t="n">
        <v>27</v>
      </c>
      <c r="R94" s="48" t="n">
        <v>8000000000</v>
      </c>
      <c r="S94" s="41" t="n">
        <v>25.1</v>
      </c>
      <c r="T94" s="41"/>
      <c r="V94" s="41"/>
      <c r="W94" s="41"/>
      <c r="X94" s="49" t="n">
        <f aca="false">+IF(ISNUMBER($S94),$S94,MIN($V94,$T94,$U94,$W94))</f>
        <v>25.1</v>
      </c>
      <c r="Y94" s="48" t="n">
        <v>0.081</v>
      </c>
      <c r="Z94" s="71" t="n">
        <v>12000000000</v>
      </c>
      <c r="AA94" s="43" t="n">
        <v>1</v>
      </c>
      <c r="AB94" s="48" t="n">
        <f aca="false">Z94*AA94</f>
        <v>12000000000</v>
      </c>
      <c r="AC94" s="114"/>
      <c r="AD94" s="107" t="n">
        <f aca="false">Y94/AB94*1000000000000</f>
        <v>6.75</v>
      </c>
      <c r="AE94" s="49" t="n">
        <f aca="false">IF(ISNUMBER($Q94),$AD94*1000/2^(($Q94-1.76)/6.02), "")</f>
        <v>369.128867515673</v>
      </c>
      <c r="AF94" s="49" t="n">
        <f aca="false">$AD94*1000/2^(($X94-1.76)/6.02)</f>
        <v>459.39628339826</v>
      </c>
      <c r="AG94" s="49" t="n">
        <f aca="false">IF(ISNUMBER($Q94), $Q94+10*LOG10($AB94/2/$Y94), "")</f>
        <v>135.69666231505</v>
      </c>
      <c r="AH94" s="49" t="n">
        <f aca="false">$X94+10*LOG10($AB94/2/$Y94)</f>
        <v>133.79666231505</v>
      </c>
      <c r="AI94" s="52" t="n">
        <f aca="false">AF94/AB94</f>
        <v>3.82830236165216E-008</v>
      </c>
      <c r="AJ94" s="53" t="n">
        <f aca="false">AH94+10*LOG10(AB94)</f>
        <v>234.588474775526</v>
      </c>
    </row>
    <row r="95" customFormat="false" ht="12.75" hidden="false" customHeight="false" outlineLevel="0" collapsed="false">
      <c r="A95" s="50" t="n">
        <v>2010</v>
      </c>
      <c r="B95" s="43" t="n">
        <v>15.5</v>
      </c>
      <c r="C95" s="43" t="s">
        <v>111</v>
      </c>
      <c r="D95" s="43" t="s">
        <v>463</v>
      </c>
      <c r="E95" s="43" t="n">
        <v>0.065</v>
      </c>
      <c r="F95" s="45" t="s">
        <v>2270</v>
      </c>
      <c r="G95" s="45" t="s">
        <v>2271</v>
      </c>
      <c r="H95" s="45" t="s">
        <v>2272</v>
      </c>
      <c r="I95" s="45" t="s">
        <v>2273</v>
      </c>
      <c r="J95" s="113" t="str">
        <f aca="false">IF(I95&lt;&gt;"?", HYPERLINK(CONCATENATE("https://doi.org/",I95)), "")</f>
        <v>https://doi.org/10.1109/VLSIC.2010.5560312</v>
      </c>
      <c r="K95" s="45" t="s">
        <v>117</v>
      </c>
      <c r="L95" s="69"/>
      <c r="M95" s="69"/>
      <c r="N95" s="69"/>
      <c r="O95" s="65" t="s">
        <v>117</v>
      </c>
      <c r="P95" s="43" t="n">
        <v>1.4694</v>
      </c>
      <c r="Q95" s="41" t="n">
        <v>30.8</v>
      </c>
      <c r="R95" s="48" t="n">
        <v>3000000000</v>
      </c>
      <c r="S95" s="41" t="n">
        <v>28</v>
      </c>
      <c r="T95" s="41"/>
      <c r="V95" s="41"/>
      <c r="W95" s="41"/>
      <c r="X95" s="49" t="n">
        <f aca="false">+IF(ISNUMBER($S95),$S95,MIN($V95,$T95,$U95,$W95))</f>
        <v>28</v>
      </c>
      <c r="Y95" s="48" t="n">
        <v>0.435</v>
      </c>
      <c r="Z95" s="71" t="n">
        <v>16000000000</v>
      </c>
      <c r="AA95" s="43" t="n">
        <v>1</v>
      </c>
      <c r="AB95" s="48" t="n">
        <f aca="false">Z95*AA95</f>
        <v>16000000000</v>
      </c>
      <c r="AC95" s="114"/>
      <c r="AD95" s="107" t="n">
        <f aca="false">Y95/AB95*1000000000000</f>
        <v>27.1875</v>
      </c>
      <c r="AE95" s="49" t="n">
        <f aca="false">IF(ISNUMBER($Q95),$AD95*1000/2^(($Q95-1.76)/6.02), "")</f>
        <v>959.896874560756</v>
      </c>
      <c r="AF95" s="49" t="n">
        <f aca="false">$AD95*1000/2^(($X95-1.76)/6.02)</f>
        <v>1325.0691077185</v>
      </c>
      <c r="AG95" s="49" t="n">
        <f aca="false">IF(ISNUMBER($Q95), $Q95+10*LOG10($AB95/2/$Y95), "")</f>
        <v>133.446007300373</v>
      </c>
      <c r="AH95" s="49" t="n">
        <f aca="false">$X95+10*LOG10($AB95/2/$Y95)</f>
        <v>130.646007300373</v>
      </c>
      <c r="AI95" s="52" t="n">
        <f aca="false">AF95/AB95</f>
        <v>8.28168192324064E-008</v>
      </c>
      <c r="AJ95" s="53" t="n">
        <f aca="false">AH95+10*LOG10(AB95)</f>
        <v>232.687207126932</v>
      </c>
    </row>
    <row r="96" customFormat="false" ht="12.75" hidden="false" customHeight="false" outlineLevel="0" collapsed="false">
      <c r="A96" s="50" t="n">
        <v>2010</v>
      </c>
      <c r="B96" s="43" t="n">
        <v>23.1</v>
      </c>
      <c r="C96" s="43" t="s">
        <v>111</v>
      </c>
      <c r="D96" s="43" t="s">
        <v>798</v>
      </c>
      <c r="E96" s="43" t="n">
        <v>0.09</v>
      </c>
      <c r="F96" s="45" t="s">
        <v>2274</v>
      </c>
      <c r="G96" s="45" t="s">
        <v>2275</v>
      </c>
      <c r="H96" s="45" t="s">
        <v>2276</v>
      </c>
      <c r="I96" s="45" t="s">
        <v>2277</v>
      </c>
      <c r="J96" s="113" t="str">
        <f aca="false">IF(I96&lt;&gt;"?", HYPERLINK(CONCATENATE("https://doi.org/",I96)), "")</f>
        <v>https://doi.org/10.1109/VLSIC.2010.5560285</v>
      </c>
      <c r="K96" s="45" t="s">
        <v>117</v>
      </c>
      <c r="L96" s="69" t="n">
        <v>1.2</v>
      </c>
      <c r="M96" s="69"/>
      <c r="N96" s="69"/>
      <c r="O96" s="65" t="s">
        <v>117</v>
      </c>
      <c r="P96" s="43" t="n">
        <v>0.32</v>
      </c>
      <c r="Q96" s="41"/>
      <c r="R96" s="48" t="n">
        <f aca="false">AB96/2</f>
        <v>50000000</v>
      </c>
      <c r="S96" s="41" t="n">
        <f aca="false">6.02*10.2+1.76</f>
        <v>63.164</v>
      </c>
      <c r="T96" s="41"/>
      <c r="V96" s="41"/>
      <c r="W96" s="41" t="n">
        <v>74</v>
      </c>
      <c r="X96" s="49" t="n">
        <f aca="false">+IF(ISNUMBER($S96),$S96,MIN($V96,$T96,$U96,$W96))</f>
        <v>63.164</v>
      </c>
      <c r="Y96" s="48" t="n">
        <v>0.0062</v>
      </c>
      <c r="Z96" s="71" t="n">
        <v>100000000</v>
      </c>
      <c r="AA96" s="43" t="n">
        <v>1</v>
      </c>
      <c r="AB96" s="48" t="n">
        <f aca="false">Z96*AA96</f>
        <v>100000000</v>
      </c>
      <c r="AC96" s="114"/>
      <c r="AD96" s="107" t="n">
        <f aca="false">Y96/AB96*1000000000000</f>
        <v>62</v>
      </c>
      <c r="AE96" s="49" t="str">
        <f aca="false">IF(ISNUMBER($Q96),$AD96*1000/2^(($Q96-1.76)/6.02), "")</f>
        <v/>
      </c>
      <c r="AF96" s="49" t="n">
        <f aca="false">$AD96*1000/2^(($X96-1.76)/6.02)</f>
        <v>52.70911613707</v>
      </c>
      <c r="AG96" s="49" t="str">
        <f aca="false">IF(ISNUMBER($Q96), $Q96+10*LOG10($AB96/2/$Y96), "")</f>
        <v/>
      </c>
      <c r="AH96" s="49" t="n">
        <f aca="false">$X96+10*LOG10($AB96/2/$Y96)</f>
        <v>162.229783148378</v>
      </c>
      <c r="AI96" s="52" t="n">
        <f aca="false">AF96/AB96</f>
        <v>5.270911613707E-007</v>
      </c>
      <c r="AJ96" s="53" t="n">
        <f aca="false">AH96+10*LOG10(AB96)</f>
        <v>242.229783148378</v>
      </c>
    </row>
    <row r="97" customFormat="false" ht="12.75" hidden="false" customHeight="false" outlineLevel="0" collapsed="false">
      <c r="A97" s="50" t="n">
        <v>2010</v>
      </c>
      <c r="B97" s="43" t="n">
        <v>23.2</v>
      </c>
      <c r="C97" s="43" t="s">
        <v>111</v>
      </c>
      <c r="D97" s="43" t="s">
        <v>994</v>
      </c>
      <c r="E97" s="43" t="n">
        <v>0.065</v>
      </c>
      <c r="F97" s="45" t="s">
        <v>2278</v>
      </c>
      <c r="G97" s="45" t="s">
        <v>2279</v>
      </c>
      <c r="H97" s="45" t="s">
        <v>2280</v>
      </c>
      <c r="I97" s="45" t="s">
        <v>2281</v>
      </c>
      <c r="J97" s="113" t="str">
        <f aca="false">IF(I97&lt;&gt;"?", HYPERLINK(CONCATENATE("https://doi.org/",I97)), "")</f>
        <v>https://doi.org/10.1109/VLSIC.2010.5560243</v>
      </c>
      <c r="K97" s="45" t="s">
        <v>117</v>
      </c>
      <c r="L97" s="69"/>
      <c r="M97" s="69"/>
      <c r="N97" s="69"/>
      <c r="O97" s="65" t="s">
        <v>117</v>
      </c>
      <c r="P97" s="43" t="n">
        <v>0.16</v>
      </c>
      <c r="Q97" s="41"/>
      <c r="R97" s="48" t="n">
        <f aca="false">AB97/2</f>
        <v>25000000</v>
      </c>
      <c r="S97" s="41" t="n">
        <f aca="false">10.4*6.02+1.76</f>
        <v>64.368</v>
      </c>
      <c r="T97" s="41"/>
      <c r="V97" s="41"/>
      <c r="W97" s="41" t="n">
        <v>75</v>
      </c>
      <c r="X97" s="49" t="n">
        <f aca="false">+IF(ISNUMBER($S97),$S97,MIN($V97,$T97,$U97,$W97))</f>
        <v>64.368</v>
      </c>
      <c r="Y97" s="48" t="n">
        <v>0.0035</v>
      </c>
      <c r="Z97" s="71" t="n">
        <v>50000000</v>
      </c>
      <c r="AA97" s="43" t="n">
        <v>1</v>
      </c>
      <c r="AB97" s="48" t="n">
        <f aca="false">Z97*AA97</f>
        <v>50000000</v>
      </c>
      <c r="AC97" s="114"/>
      <c r="AD97" s="107" t="n">
        <f aca="false">Y97/AB97*1000000000000</f>
        <v>70</v>
      </c>
      <c r="AE97" s="49" t="str">
        <f aca="false">IF(ISNUMBER($Q97),$AD97*1000/2^(($Q97-1.76)/6.02), "")</f>
        <v/>
      </c>
      <c r="AF97" s="49" t="n">
        <f aca="false">$AD97*1000/2^(($X97-1.76)/6.02)</f>
        <v>51.8067185818984</v>
      </c>
      <c r="AG97" s="49" t="str">
        <f aca="false">IF(ISNUMBER($Q97), $Q97+10*LOG10($AB97/2/$Y97), "")</f>
        <v/>
      </c>
      <c r="AH97" s="49" t="n">
        <f aca="false">$X97+10*LOG10($AB97/2/$Y97)</f>
        <v>162.906719643218</v>
      </c>
      <c r="AI97" s="52" t="n">
        <f aca="false">AF97/AB97</f>
        <v>1.03613437163797E-006</v>
      </c>
      <c r="AJ97" s="53" t="n">
        <f aca="false">AH97+10*LOG10(AB97)</f>
        <v>239.896419686578</v>
      </c>
    </row>
    <row r="98" customFormat="false" ht="12.75" hidden="false" customHeight="false" outlineLevel="0" collapsed="false">
      <c r="A98" s="50" t="n">
        <v>2010</v>
      </c>
      <c r="B98" s="43" t="n">
        <v>23.3</v>
      </c>
      <c r="C98" s="43" t="s">
        <v>111</v>
      </c>
      <c r="D98" s="43" t="s">
        <v>112</v>
      </c>
      <c r="E98" s="43" t="n">
        <v>0.18</v>
      </c>
      <c r="F98" s="45" t="s">
        <v>2282</v>
      </c>
      <c r="G98" s="45" t="s">
        <v>2283</v>
      </c>
      <c r="H98" s="45" t="s">
        <v>2284</v>
      </c>
      <c r="I98" s="45" t="s">
        <v>2285</v>
      </c>
      <c r="J98" s="113" t="str">
        <f aca="false">IF(I98&lt;&gt;"?", HYPERLINK(CONCATENATE("https://doi.org/",I98)), "")</f>
        <v>https://doi.org/10.1109/VLSIC.2010.5560283</v>
      </c>
      <c r="K98" s="45" t="s">
        <v>117</v>
      </c>
      <c r="L98" s="69" t="n">
        <v>1</v>
      </c>
      <c r="M98" s="69"/>
      <c r="N98" s="69"/>
      <c r="O98" s="65" t="s">
        <v>117</v>
      </c>
      <c r="P98" s="43" t="n">
        <v>0.086</v>
      </c>
      <c r="Q98" s="41"/>
      <c r="R98" s="48" t="n">
        <f aca="false">AB98/2</f>
        <v>5000000</v>
      </c>
      <c r="S98" s="41" t="n">
        <v>60.29</v>
      </c>
      <c r="T98" s="41"/>
      <c r="V98" s="41"/>
      <c r="W98" s="41" t="n">
        <v>69</v>
      </c>
      <c r="X98" s="49" t="n">
        <f aca="false">+IF(ISNUMBER($S98),$S98,MIN($V98,$T98,$U98,$W98))</f>
        <v>60.29</v>
      </c>
      <c r="Y98" s="48" t="n">
        <v>9.8E-005</v>
      </c>
      <c r="Z98" s="71" t="n">
        <v>10000000</v>
      </c>
      <c r="AA98" s="43" t="n">
        <v>1</v>
      </c>
      <c r="AB98" s="48" t="n">
        <f aca="false">Z98*AA98</f>
        <v>10000000</v>
      </c>
      <c r="AC98" s="114"/>
      <c r="AD98" s="107" t="n">
        <f aca="false">Y98/AB98*1000000000000</f>
        <v>9.8</v>
      </c>
      <c r="AE98" s="49" t="str">
        <f aca="false">IF(ISNUMBER($Q98),$AD98*1000/2^(($Q98-1.76)/6.02), "")</f>
        <v/>
      </c>
      <c r="AF98" s="49" t="n">
        <f aca="false">$AD98*1000/2^(($X98-1.76)/6.02)</f>
        <v>11.5993710204169</v>
      </c>
      <c r="AG98" s="49" t="str">
        <f aca="false">IF(ISNUMBER($Q98), $Q98+10*LOG10($AB98/2/$Y98), "")</f>
        <v/>
      </c>
      <c r="AH98" s="49" t="n">
        <f aca="false">$X98+10*LOG10($AB98/2/$Y98)</f>
        <v>167.367439286435</v>
      </c>
      <c r="AI98" s="52" t="n">
        <f aca="false">AF98/AB98</f>
        <v>1.15993710204169E-006</v>
      </c>
      <c r="AJ98" s="53" t="n">
        <f aca="false">AH98+10*LOG10(AB98)</f>
        <v>237.367439286435</v>
      </c>
    </row>
    <row r="99" customFormat="false" ht="12.75" hidden="false" customHeight="false" outlineLevel="0" collapsed="false">
      <c r="A99" s="50" t="n">
        <v>2010</v>
      </c>
      <c r="B99" s="43" t="n">
        <v>23.4</v>
      </c>
      <c r="C99" s="43" t="s">
        <v>111</v>
      </c>
      <c r="D99" s="43" t="s">
        <v>112</v>
      </c>
      <c r="E99" s="43" t="n">
        <v>0.09</v>
      </c>
      <c r="F99" s="45" t="s">
        <v>2286</v>
      </c>
      <c r="G99" s="45" t="s">
        <v>2287</v>
      </c>
      <c r="H99" s="45" t="s">
        <v>2288</v>
      </c>
      <c r="I99" s="45" t="s">
        <v>2289</v>
      </c>
      <c r="J99" s="113" t="str">
        <f aca="false">IF(I99&lt;&gt;"?", HYPERLINK(CONCATENATE("https://doi.org/",I99)), "")</f>
        <v>https://doi.org/10.1109/VLSIC.2010.5560246</v>
      </c>
      <c r="K99" s="45" t="s">
        <v>117</v>
      </c>
      <c r="L99" s="69" t="n">
        <v>1.2</v>
      </c>
      <c r="M99" s="69"/>
      <c r="N99" s="69"/>
      <c r="O99" s="65" t="s">
        <v>117</v>
      </c>
      <c r="P99" s="43" t="n">
        <v>0.028</v>
      </c>
      <c r="Q99" s="41"/>
      <c r="R99" s="48" t="n">
        <f aca="false">AB99/2</f>
        <v>75000000</v>
      </c>
      <c r="S99" s="41" t="n">
        <f aca="false">6.02*8.69+1.76</f>
        <v>54.0738</v>
      </c>
      <c r="T99" s="41"/>
      <c r="V99" s="41"/>
      <c r="W99" s="41" t="n">
        <v>71</v>
      </c>
      <c r="X99" s="49" t="n">
        <f aca="false">+IF(ISNUMBER($S99),$S99,MIN($V99,$T99,$U99,$W99))</f>
        <v>54.0738</v>
      </c>
      <c r="Y99" s="48" t="n">
        <v>0.00153</v>
      </c>
      <c r="Z99" s="71" t="n">
        <f aca="false">150000000</f>
        <v>150000000</v>
      </c>
      <c r="AA99" s="43" t="n">
        <v>1</v>
      </c>
      <c r="AB99" s="48" t="n">
        <f aca="false">Z99*AA99</f>
        <v>150000000</v>
      </c>
      <c r="AC99" s="114"/>
      <c r="AD99" s="107" t="n">
        <f aca="false">Y99/AB99*1000000000000</f>
        <v>10.2</v>
      </c>
      <c r="AE99" s="49" t="str">
        <f aca="false">IF(ISNUMBER($Q99),$AD99*1000/2^(($Q99-1.76)/6.02), "")</f>
        <v/>
      </c>
      <c r="AF99" s="49" t="n">
        <f aca="false">$AD99*1000/2^(($X99-1.76)/6.02)</f>
        <v>24.697301834722</v>
      </c>
      <c r="AG99" s="49" t="str">
        <f aca="false">IF(ISNUMBER($Q99), $Q99+10*LOG10($AB99/2/$Y99), "")</f>
        <v/>
      </c>
      <c r="AH99" s="49" t="n">
        <f aca="false">$X99+10*LOG10($AB99/2/$Y99)</f>
        <v>160.977498325741</v>
      </c>
      <c r="AI99" s="52" t="n">
        <f aca="false">AF99/AB99</f>
        <v>1.64648678898147E-007</v>
      </c>
      <c r="AJ99" s="53" t="n">
        <f aca="false">AH99+10*LOG10(AB99)</f>
        <v>242.738410916298</v>
      </c>
    </row>
    <row r="100" customFormat="false" ht="12.75" hidden="false" customHeight="false" outlineLevel="0" collapsed="false">
      <c r="A100" s="40" t="n">
        <v>2011</v>
      </c>
      <c r="B100" s="43" t="n">
        <v>4.1</v>
      </c>
      <c r="C100" s="43" t="s">
        <v>139</v>
      </c>
      <c r="D100" s="43" t="s">
        <v>140</v>
      </c>
      <c r="E100" s="43" t="n">
        <v>0.18</v>
      </c>
      <c r="F100" s="45" t="s">
        <v>2290</v>
      </c>
      <c r="G100" s="45" t="s">
        <v>2291</v>
      </c>
      <c r="H100" s="45" t="s">
        <v>2292</v>
      </c>
      <c r="I100" s="45" t="s">
        <v>2206</v>
      </c>
      <c r="J100" s="113" t="s">
        <v>2293</v>
      </c>
      <c r="K100" s="45" t="s">
        <v>2294</v>
      </c>
      <c r="L100" s="69"/>
      <c r="M100" s="69"/>
      <c r="N100" s="69"/>
      <c r="O100" s="65" t="s">
        <v>117</v>
      </c>
      <c r="P100" s="43" t="n">
        <v>1.3</v>
      </c>
      <c r="Q100" s="41"/>
      <c r="R100" s="48" t="n">
        <f aca="false">AB100/2</f>
        <v>5333333.33333333</v>
      </c>
      <c r="S100" s="41" t="n">
        <v>73.7</v>
      </c>
      <c r="T100" s="41"/>
      <c r="V100" s="41"/>
      <c r="W100" s="41" t="n">
        <v>94.5</v>
      </c>
      <c r="X100" s="49" t="n">
        <f aca="false">+IF(ISNUMBER($S100),$S100,MIN($V100,$T100,$U100,$W100))</f>
        <v>73.7</v>
      </c>
      <c r="Y100" s="48" t="n">
        <f aca="false">0.0082+0.0057</f>
        <v>0.0139</v>
      </c>
      <c r="Z100" s="71" t="n">
        <v>64000000</v>
      </c>
      <c r="AA100" s="43" t="n">
        <v>6</v>
      </c>
      <c r="AB100" s="48" t="n">
        <f aca="false">Z100/AA100</f>
        <v>10666666.6666667</v>
      </c>
      <c r="AC100" s="114"/>
      <c r="AD100" s="107" t="n">
        <f aca="false">Y100/AB100*1000000000000</f>
        <v>1303.125</v>
      </c>
      <c r="AE100" s="49" t="str">
        <f aca="false">IF(ISNUMBER($Q100),$AD100*1000/2^(($Q100-1.76)/6.02), "")</f>
        <v/>
      </c>
      <c r="AF100" s="49" t="n">
        <f aca="false">$AD100*1000/2^(($X100-1.76)/6.02)</f>
        <v>329.327216507767</v>
      </c>
      <c r="AG100" s="49" t="str">
        <f aca="false">IF(ISNUMBER($Q100), $Q100+10*LOG10($AB100/2/$Y100), "")</f>
        <v/>
      </c>
      <c r="AH100" s="49" t="n">
        <f aca="false">$X100+10*LOG10($AB100/2/$Y100)</f>
        <v>159.539839276822</v>
      </c>
      <c r="AI100" s="52" t="n">
        <f aca="false">AF100/AB100</f>
        <v>3.08744265476032E-005</v>
      </c>
      <c r="AJ100" s="53" t="n">
        <f aca="false">AH100+10*LOG10(AB100)</f>
        <v>229.820126512824</v>
      </c>
    </row>
    <row r="101" customFormat="false" ht="12.75" hidden="false" customHeight="false" outlineLevel="0" collapsed="false">
      <c r="A101" s="50" t="n">
        <v>2011</v>
      </c>
      <c r="B101" s="43" t="n">
        <v>4.2</v>
      </c>
      <c r="C101" s="43" t="s">
        <v>139</v>
      </c>
      <c r="D101" s="43" t="s">
        <v>145</v>
      </c>
      <c r="E101" s="43" t="n">
        <v>0.032</v>
      </c>
      <c r="F101" s="45" t="s">
        <v>2295</v>
      </c>
      <c r="G101" s="45" t="s">
        <v>2296</v>
      </c>
      <c r="H101" s="45" t="s">
        <v>2297</v>
      </c>
      <c r="I101" s="45" t="s">
        <v>2206</v>
      </c>
      <c r="J101" s="113" t="s">
        <v>2298</v>
      </c>
      <c r="K101" s="45" t="s">
        <v>2299</v>
      </c>
      <c r="L101" s="69"/>
      <c r="M101" s="69"/>
      <c r="N101" s="69"/>
      <c r="O101" s="65" t="s">
        <v>117</v>
      </c>
      <c r="P101" s="43" t="n">
        <v>0.13</v>
      </c>
      <c r="Q101" s="41"/>
      <c r="R101" s="48" t="n">
        <f aca="false">AB101/2</f>
        <v>20000000</v>
      </c>
      <c r="S101" s="41" t="n">
        <v>63</v>
      </c>
      <c r="T101" s="41"/>
      <c r="U101" s="43" t="n">
        <v>66</v>
      </c>
      <c r="V101" s="41"/>
      <c r="W101" s="41" t="n">
        <v>67</v>
      </c>
      <c r="X101" s="49" t="n">
        <f aca="false">+IF(ISNUMBER($S101),$S101,MIN($V101,$T101,$U101,$W101))</f>
        <v>63</v>
      </c>
      <c r="Y101" s="48" t="n">
        <v>0.028</v>
      </c>
      <c r="Z101" s="71" t="n">
        <v>400</v>
      </c>
      <c r="AA101" s="50" t="n">
        <v>10</v>
      </c>
      <c r="AB101" s="48" t="n">
        <v>40000000</v>
      </c>
      <c r="AC101" s="114"/>
      <c r="AD101" s="107" t="n">
        <f aca="false">Y101/AB101*1000000000000</f>
        <v>700</v>
      </c>
      <c r="AE101" s="49" t="str">
        <f aca="false">IF(ISNUMBER($Q101),$AD101*1000/2^(($Q101-1.76)/6.02), "")</f>
        <v/>
      </c>
      <c r="AF101" s="49" t="n">
        <f aca="false">$AD101*1000/2^(($X101-1.76)/6.02)</f>
        <v>606.4470689716</v>
      </c>
      <c r="AG101" s="49" t="str">
        <f aca="false">IF(ISNUMBER($Q101), $Q101+10*LOG10($AB101/2/$Y101), "")</f>
        <v/>
      </c>
      <c r="AH101" s="49" t="n">
        <f aca="false">$X101+10*LOG10($AB101/2/$Y101)</f>
        <v>151.538719643218</v>
      </c>
      <c r="AI101" s="52" t="n">
        <f aca="false">AF101/AB101</f>
        <v>1.516117672429E-005</v>
      </c>
      <c r="AJ101" s="53" t="n">
        <f aca="false">AH101+10*LOG10(AB101)</f>
        <v>227.559319556497</v>
      </c>
    </row>
    <row r="102" customFormat="false" ht="12.75" hidden="false" customHeight="false" outlineLevel="0" collapsed="false">
      <c r="A102" s="50" t="n">
        <v>2011</v>
      </c>
      <c r="B102" s="43" t="n">
        <v>4.3</v>
      </c>
      <c r="C102" s="43" t="s">
        <v>139</v>
      </c>
      <c r="D102" s="43" t="s">
        <v>173</v>
      </c>
      <c r="E102" s="43" t="n">
        <v>0.065</v>
      </c>
      <c r="F102" s="45" t="s">
        <v>2300</v>
      </c>
      <c r="G102" s="45" t="s">
        <v>2301</v>
      </c>
      <c r="H102" s="45" t="s">
        <v>2302</v>
      </c>
      <c r="I102" s="45" t="s">
        <v>2206</v>
      </c>
      <c r="J102" s="113" t="s">
        <v>2303</v>
      </c>
      <c r="K102" s="45" t="s">
        <v>117</v>
      </c>
      <c r="L102" s="69" t="n">
        <v>2.5</v>
      </c>
      <c r="M102" s="69"/>
      <c r="N102" s="69"/>
      <c r="O102" s="65" t="s">
        <v>117</v>
      </c>
      <c r="P102" s="43" t="n">
        <v>0.71</v>
      </c>
      <c r="Q102" s="41"/>
      <c r="R102" s="48" t="n">
        <f aca="false">AB102/2</f>
        <v>1950000</v>
      </c>
      <c r="S102" s="41" t="n">
        <v>73.3</v>
      </c>
      <c r="T102" s="41"/>
      <c r="U102" s="43" t="n">
        <v>79</v>
      </c>
      <c r="V102" s="41"/>
      <c r="W102" s="41" t="n">
        <v>83</v>
      </c>
      <c r="X102" s="49" t="n">
        <f aca="false">+IF(ISNUMBER($S102),$S102,MIN($V102,$T102,$U102,$W102))</f>
        <v>73.3</v>
      </c>
      <c r="Y102" s="48" t="n">
        <v>0.00855</v>
      </c>
      <c r="Z102" s="71" t="n">
        <v>124800000</v>
      </c>
      <c r="AA102" s="50" t="n">
        <f aca="false">Z102/AB102</f>
        <v>32</v>
      </c>
      <c r="AB102" s="48" t="n">
        <f aca="false">2*1950000</f>
        <v>3900000</v>
      </c>
      <c r="AC102" s="114"/>
      <c r="AD102" s="107" t="n">
        <f aca="false">Y102/AB102*1000000000000</f>
        <v>2192.30769230769</v>
      </c>
      <c r="AE102" s="49" t="str">
        <f aca="false">IF(ISNUMBER($Q102),$AD102*1000/2^(($Q102-1.76)/6.02), "")</f>
        <v/>
      </c>
      <c r="AF102" s="49" t="n">
        <f aca="false">$AD102*1000/2^(($X102-1.76)/6.02)</f>
        <v>580.15634666215</v>
      </c>
      <c r="AG102" s="49" t="str">
        <f aca="false">IF(ISNUMBER($Q102), $Q102+10*LOG10($AB102/2/$Y102), "")</f>
        <v/>
      </c>
      <c r="AH102" s="49" t="n">
        <f aca="false">$X102+10*LOG10($AB102/2/$Y102)</f>
        <v>156.880684966343</v>
      </c>
      <c r="AI102" s="52" t="n">
        <f aca="false">AF102/AB102</f>
        <v>0.00014875803760568</v>
      </c>
      <c r="AJ102" s="53" t="n">
        <f aca="false">AH102+10*LOG10(AB102)</f>
        <v>222.791331036608</v>
      </c>
    </row>
    <row r="103" customFormat="false" ht="12.75" hidden="false" customHeight="false" outlineLevel="0" collapsed="false">
      <c r="A103" s="50" t="n">
        <v>2011</v>
      </c>
      <c r="B103" s="43" t="n">
        <v>4.4</v>
      </c>
      <c r="C103" s="43" t="s">
        <v>139</v>
      </c>
      <c r="D103" s="43" t="s">
        <v>156</v>
      </c>
      <c r="E103" s="43" t="n">
        <v>0.04</v>
      </c>
      <c r="F103" s="45" t="s">
        <v>2304</v>
      </c>
      <c r="G103" s="45" t="s">
        <v>2305</v>
      </c>
      <c r="H103" s="45" t="s">
        <v>2306</v>
      </c>
      <c r="I103" s="45" t="s">
        <v>2206</v>
      </c>
      <c r="J103" s="113" t="s">
        <v>2307</v>
      </c>
      <c r="K103" s="45" t="s">
        <v>2308</v>
      </c>
      <c r="L103" s="69"/>
      <c r="M103" s="69"/>
      <c r="N103" s="69"/>
      <c r="O103" s="65" t="s">
        <v>117</v>
      </c>
      <c r="P103" s="43" t="n">
        <v>0.4</v>
      </c>
      <c r="Q103" s="41"/>
      <c r="R103" s="48" t="n">
        <f aca="false">AB103/2</f>
        <v>80000000</v>
      </c>
      <c r="S103" s="41" t="n">
        <v>41</v>
      </c>
      <c r="T103" s="41"/>
      <c r="U103" s="43" t="n">
        <v>48</v>
      </c>
      <c r="V103" s="41"/>
      <c r="W103" s="41" t="n">
        <v>51</v>
      </c>
      <c r="X103" s="49" t="n">
        <f aca="false">+IF(ISNUMBER($S103),$S103,MIN($V103,$T103,$U103,$W103))</f>
        <v>41</v>
      </c>
      <c r="Y103" s="48" t="n">
        <f aca="false">0.109*1.5</f>
        <v>0.1635</v>
      </c>
      <c r="Z103" s="71" t="n">
        <v>8880000000</v>
      </c>
      <c r="AA103" s="50" t="n">
        <f aca="false">Z103/AB103</f>
        <v>55.5</v>
      </c>
      <c r="AB103" s="48" t="n">
        <v>160000000</v>
      </c>
      <c r="AC103" s="114" t="n">
        <v>2200000000</v>
      </c>
      <c r="AD103" s="107" t="n">
        <f aca="false">Y103/AB103*1000000000000</f>
        <v>1021.875</v>
      </c>
      <c r="AE103" s="49" t="str">
        <f aca="false">IF(ISNUMBER($Q103),$AD103*1000/2^(($Q103-1.76)/6.02), "")</f>
        <v/>
      </c>
      <c r="AF103" s="49" t="n">
        <f aca="false">$AD103*1000/2^(($X103-1.76)/6.02)</f>
        <v>11148.1359036752</v>
      </c>
      <c r="AG103" s="49" t="str">
        <f aca="false">IF(ISNUMBER($Q103), $Q103+10*LOG10($AB103/2/$Y103), "")</f>
        <v/>
      </c>
      <c r="AH103" s="49" t="n">
        <f aca="false">$X103+10*LOG10($AB103/2/$Y103)</f>
        <v>127.895722299956</v>
      </c>
      <c r="AI103" s="52" t="n">
        <f aca="false">AF103/AB103</f>
        <v>6.96758493979702E-005</v>
      </c>
      <c r="AJ103" s="53" t="n">
        <f aca="false">AH103+10*LOG10(AB103)</f>
        <v>209.936922126516</v>
      </c>
    </row>
    <row r="104" customFormat="false" ht="12.75" hidden="false" customHeight="false" outlineLevel="0" collapsed="false">
      <c r="A104" s="50" t="n">
        <v>2011</v>
      </c>
      <c r="B104" s="43" t="n">
        <v>4.5</v>
      </c>
      <c r="C104" s="43" t="s">
        <v>139</v>
      </c>
      <c r="D104" s="43" t="s">
        <v>173</v>
      </c>
      <c r="E104" s="43" t="n">
        <v>0.04</v>
      </c>
      <c r="F104" s="45" t="s">
        <v>2309</v>
      </c>
      <c r="G104" s="45" t="s">
        <v>2310</v>
      </c>
      <c r="H104" s="45" t="s">
        <v>2311</v>
      </c>
      <c r="I104" s="45" t="s">
        <v>2206</v>
      </c>
      <c r="J104" s="113" t="s">
        <v>2312</v>
      </c>
      <c r="K104" s="45" t="s">
        <v>117</v>
      </c>
      <c r="L104" s="69"/>
      <c r="M104" s="69"/>
      <c r="N104" s="69"/>
      <c r="O104" s="65" t="s">
        <v>117</v>
      </c>
      <c r="P104" s="43" t="n">
        <v>0.085</v>
      </c>
      <c r="Q104" s="41"/>
      <c r="R104" s="48" t="n">
        <f aca="false">AB104/2</f>
        <v>1920000</v>
      </c>
      <c r="S104" s="41" t="n">
        <v>78</v>
      </c>
      <c r="T104" s="41"/>
      <c r="U104" s="43" t="n">
        <v>83</v>
      </c>
      <c r="V104" s="41"/>
      <c r="W104" s="41"/>
      <c r="X104" s="49" t="n">
        <f aca="false">+IF(ISNUMBER($S104),$S104,MIN($V104,$T104,$U104,$W104))</f>
        <v>78</v>
      </c>
      <c r="Y104" s="48" t="n">
        <v>0.0028</v>
      </c>
      <c r="Z104" s="71" t="n">
        <v>245760000</v>
      </c>
      <c r="AA104" s="50" t="n">
        <f aca="false">Z104/AB104</f>
        <v>64</v>
      </c>
      <c r="AB104" s="48" t="n">
        <f aca="false">2*1920000</f>
        <v>3840000</v>
      </c>
      <c r="AC104" s="114"/>
      <c r="AD104" s="107" t="n">
        <f aca="false">Y104/AB104*1000000000000</f>
        <v>729.166666666667</v>
      </c>
      <c r="AE104" s="49" t="str">
        <f aca="false">IF(ISNUMBER($Q104),$AD104*1000/2^(($Q104-1.76)/6.02), "")</f>
        <v/>
      </c>
      <c r="AF104" s="49" t="n">
        <f aca="false">$AD104*1000/2^(($X104-1.76)/6.02)</f>
        <v>112.31737071818</v>
      </c>
      <c r="AG104" s="49" t="str">
        <f aca="false">IF(ISNUMBER($Q104), $Q104+10*LOG10($AB104/2/$Y104), "")</f>
        <v/>
      </c>
      <c r="AH104" s="49" t="n">
        <f aca="false">$X104+10*LOG10($AB104/2/$Y104)</f>
        <v>166.361431973613</v>
      </c>
      <c r="AI104" s="52" t="n">
        <f aca="false">AF104/AB104</f>
        <v>2.92493152911926E-005</v>
      </c>
      <c r="AJ104" s="53" t="n">
        <f aca="false">AH104+10*LOG10(AB104)</f>
        <v>232.204744217289</v>
      </c>
    </row>
    <row r="105" customFormat="false" ht="12.75" hidden="false" customHeight="false" outlineLevel="0" collapsed="false">
      <c r="A105" s="50" t="n">
        <v>2011</v>
      </c>
      <c r="B105" s="43" t="n">
        <v>12.1</v>
      </c>
      <c r="C105" s="43" t="s">
        <v>111</v>
      </c>
      <c r="D105" s="43" t="s">
        <v>191</v>
      </c>
      <c r="E105" s="43" t="n">
        <v>0.04</v>
      </c>
      <c r="F105" s="45" t="s">
        <v>2313</v>
      </c>
      <c r="G105" s="45" t="s">
        <v>2314</v>
      </c>
      <c r="H105" s="45" t="s">
        <v>2315</v>
      </c>
      <c r="I105" s="45" t="s">
        <v>2206</v>
      </c>
      <c r="J105" s="113" t="s">
        <v>2316</v>
      </c>
      <c r="K105" s="45" t="s">
        <v>117</v>
      </c>
      <c r="L105" s="69"/>
      <c r="M105" s="69"/>
      <c r="N105" s="69"/>
      <c r="O105" s="65" t="s">
        <v>117</v>
      </c>
      <c r="P105" s="43" t="n">
        <v>0.4</v>
      </c>
      <c r="Q105" s="41"/>
      <c r="R105" s="48" t="n">
        <f aca="false">AB105/2</f>
        <v>1500000000</v>
      </c>
      <c r="S105" s="41" t="n">
        <v>51</v>
      </c>
      <c r="T105" s="41" t="n">
        <v>60</v>
      </c>
      <c r="V105" s="41"/>
      <c r="W105" s="41"/>
      <c r="X105" s="49" t="n">
        <f aca="false">+IF(ISNUMBER($S105),$S105,MIN($V105,$T105,$U105,$W105))</f>
        <v>51</v>
      </c>
      <c r="Y105" s="48" t="n">
        <v>0.5</v>
      </c>
      <c r="Z105" s="71" t="n">
        <v>3000000000</v>
      </c>
      <c r="AA105" s="50" t="n">
        <v>1</v>
      </c>
      <c r="AB105" s="48" t="n">
        <f aca="false">Z105/AA105</f>
        <v>3000000000</v>
      </c>
      <c r="AC105" s="114"/>
      <c r="AD105" s="107" t="n">
        <f aca="false">Y105/AB105*1000000000000</f>
        <v>166.666666666667</v>
      </c>
      <c r="AE105" s="49" t="str">
        <f aca="false">IF(ISNUMBER($Q105),$AD105*1000/2^(($Q105-1.76)/6.02), "")</f>
        <v/>
      </c>
      <c r="AF105" s="49" t="n">
        <f aca="false">$AD105*1000/2^(($X105-1.76)/6.02)</f>
        <v>574.914686437092</v>
      </c>
      <c r="AG105" s="49" t="str">
        <f aca="false">IF(ISNUMBER($Q105), $Q105+10*LOG10($AB105/2/$Y105), "")</f>
        <v/>
      </c>
      <c r="AH105" s="49" t="n">
        <f aca="false">$X105+10*LOG10($AB105/2/$Y105)</f>
        <v>145.771212547197</v>
      </c>
      <c r="AI105" s="52" t="n">
        <f aca="false">AF105/AB105</f>
        <v>1.91638228812364E-007</v>
      </c>
      <c r="AJ105" s="53" t="n">
        <f aca="false">AH105+10*LOG10(AB105)</f>
        <v>240.542425094393</v>
      </c>
    </row>
    <row r="106" customFormat="false" ht="12.75" hidden="false" customHeight="false" outlineLevel="0" collapsed="false">
      <c r="A106" s="50" t="n">
        <v>2011</v>
      </c>
      <c r="B106" s="43" t="n">
        <v>12.2</v>
      </c>
      <c r="C106" s="43" t="s">
        <v>111</v>
      </c>
      <c r="D106" s="43" t="s">
        <v>133</v>
      </c>
      <c r="E106" s="43" t="n">
        <v>0.04</v>
      </c>
      <c r="F106" s="45" t="s">
        <v>2317</v>
      </c>
      <c r="G106" s="45" t="s">
        <v>2318</v>
      </c>
      <c r="H106" s="45" t="s">
        <v>2319</v>
      </c>
      <c r="I106" s="45" t="s">
        <v>2206</v>
      </c>
      <c r="J106" s="113" t="s">
        <v>2320</v>
      </c>
      <c r="K106" s="45" t="s">
        <v>117</v>
      </c>
      <c r="L106" s="69" t="n">
        <v>1.8</v>
      </c>
      <c r="M106" s="69"/>
      <c r="N106" s="69"/>
      <c r="O106" s="65" t="s">
        <v>117</v>
      </c>
      <c r="P106" s="43" t="n">
        <v>0.42</v>
      </c>
      <c r="Q106" s="41"/>
      <c r="R106" s="48" t="n">
        <f aca="false">AB106/2</f>
        <v>150000000</v>
      </c>
      <c r="S106" s="41" t="n">
        <v>56</v>
      </c>
      <c r="T106" s="41" t="n">
        <v>57</v>
      </c>
      <c r="V106" s="41"/>
      <c r="W106" s="41"/>
      <c r="X106" s="49" t="n">
        <f aca="false">+IF(ISNUMBER($S106),$S106,MIN($V106,$T106,$U106,$W106))</f>
        <v>56</v>
      </c>
      <c r="Y106" s="48" t="n">
        <v>0.04</v>
      </c>
      <c r="Z106" s="71" t="n">
        <v>300000000</v>
      </c>
      <c r="AA106" s="50" t="n">
        <v>1</v>
      </c>
      <c r="AB106" s="48" t="n">
        <f aca="false">Z106/AA106</f>
        <v>300000000</v>
      </c>
      <c r="AC106" s="114"/>
      <c r="AD106" s="107" t="n">
        <f aca="false">Y106/AB106*1000000000000</f>
        <v>133.333333333333</v>
      </c>
      <c r="AE106" s="49" t="str">
        <f aca="false">IF(ISNUMBER($Q106),$AD106*1000/2^(($Q106-1.76)/6.02), "")</f>
        <v/>
      </c>
      <c r="AF106" s="49" t="n">
        <f aca="false">$AD106*1000/2^(($X106-1.76)/6.02)</f>
        <v>258.623792911163</v>
      </c>
      <c r="AG106" s="49" t="str">
        <f aca="false">IF(ISNUMBER($Q106), $Q106+10*LOG10($AB106/2/$Y106), "")</f>
        <v/>
      </c>
      <c r="AH106" s="49" t="n">
        <f aca="false">$X106+10*LOG10($AB106/2/$Y106)</f>
        <v>151.740312677277</v>
      </c>
      <c r="AI106" s="52" t="n">
        <f aca="false">AF106/AB106</f>
        <v>8.62079309703877E-007</v>
      </c>
      <c r="AJ106" s="53" t="n">
        <f aca="false">AH106+10*LOG10(AB106)</f>
        <v>236.511525224474</v>
      </c>
    </row>
    <row r="107" customFormat="false" ht="12.75" hidden="false" customHeight="false" outlineLevel="0" collapsed="false">
      <c r="A107" s="50" t="n">
        <v>2011</v>
      </c>
      <c r="B107" s="43" t="n">
        <v>12.3</v>
      </c>
      <c r="C107" s="43" t="s">
        <v>111</v>
      </c>
      <c r="D107" s="43" t="s">
        <v>1940</v>
      </c>
      <c r="E107" s="43" t="n">
        <v>0.045</v>
      </c>
      <c r="F107" s="45" t="s">
        <v>2321</v>
      </c>
      <c r="G107" s="45" t="s">
        <v>2322</v>
      </c>
      <c r="H107" s="45" t="s">
        <v>2323</v>
      </c>
      <c r="I107" s="45" t="s">
        <v>2206</v>
      </c>
      <c r="J107" s="113" t="s">
        <v>2324</v>
      </c>
      <c r="K107" s="45" t="s">
        <v>117</v>
      </c>
      <c r="L107" s="69" t="n">
        <v>1.2</v>
      </c>
      <c r="M107" s="69"/>
      <c r="N107" s="69"/>
      <c r="O107" s="65" t="s">
        <v>117</v>
      </c>
      <c r="P107" s="43" t="n">
        <v>0.023</v>
      </c>
      <c r="Q107" s="41"/>
      <c r="R107" s="48" t="n">
        <f aca="false">AB107/2</f>
        <v>650000000</v>
      </c>
      <c r="S107" s="41" t="n">
        <f aca="false">5.2*6.02+1.76</f>
        <v>33.064</v>
      </c>
      <c r="T107" s="41"/>
      <c r="V107" s="41"/>
      <c r="W107" s="41"/>
      <c r="X107" s="49" t="n">
        <f aca="false">+IF(ISNUMBER($S107),$S107,MIN($V107,$T107,$U107,$W107))</f>
        <v>33.064</v>
      </c>
      <c r="Y107" s="48" t="n">
        <v>0.022</v>
      </c>
      <c r="Z107" s="71" t="n">
        <v>1300000000</v>
      </c>
      <c r="AA107" s="50" t="n">
        <v>1</v>
      </c>
      <c r="AB107" s="48" t="n">
        <f aca="false">Z107/AA107</f>
        <v>1300000000</v>
      </c>
      <c r="AC107" s="114"/>
      <c r="AD107" s="107" t="n">
        <f aca="false">Y107/AB107*1000000000000</f>
        <v>16.9230769230769</v>
      </c>
      <c r="AE107" s="49" t="str">
        <f aca="false">IF(ISNUMBER($Q107),$AD107*1000/2^(($Q107-1.76)/6.02), "")</f>
        <v/>
      </c>
      <c r="AF107" s="49" t="n">
        <f aca="false">$AD107*1000/2^(($X107-1.76)/6.02)</f>
        <v>460.387317127758</v>
      </c>
      <c r="AG107" s="49" t="str">
        <f aca="false">IF(ISNUMBER($Q107), $Q107+10*LOG10($AB107/2/$Y107), "")</f>
        <v/>
      </c>
      <c r="AH107" s="49" t="n">
        <f aca="false">$X107+10*LOG10($AB107/2/$Y107)</f>
        <v>137.768906758207</v>
      </c>
      <c r="AI107" s="52" t="n">
        <f aca="false">AF107/AB107</f>
        <v>3.54144090098275E-007</v>
      </c>
      <c r="AJ107" s="53" t="n">
        <f aca="false">AH107+10*LOG10(AB107)</f>
        <v>228.908340281275</v>
      </c>
    </row>
    <row r="108" customFormat="false" ht="12.75" hidden="false" customHeight="false" outlineLevel="0" collapsed="false">
      <c r="A108" s="50" t="n">
        <v>2011</v>
      </c>
      <c r="B108" s="43" t="n">
        <v>12.4</v>
      </c>
      <c r="C108" s="43" t="s">
        <v>111</v>
      </c>
      <c r="D108" s="43" t="s">
        <v>133</v>
      </c>
      <c r="E108" s="43" t="n">
        <v>0.09</v>
      </c>
      <c r="F108" s="45" t="s">
        <v>2325</v>
      </c>
      <c r="G108" s="45" t="s">
        <v>2326</v>
      </c>
      <c r="H108" s="45" t="s">
        <v>2327</v>
      </c>
      <c r="I108" s="45" t="s">
        <v>2206</v>
      </c>
      <c r="J108" s="113" t="s">
        <v>2328</v>
      </c>
      <c r="K108" s="45" t="s">
        <v>2329</v>
      </c>
      <c r="L108" s="69"/>
      <c r="M108" s="69"/>
      <c r="N108" s="69"/>
      <c r="O108" s="65" t="s">
        <v>117</v>
      </c>
      <c r="P108" s="43" t="n">
        <v>0.46</v>
      </c>
      <c r="Q108" s="41"/>
      <c r="R108" s="48" t="n">
        <v>100000000</v>
      </c>
      <c r="S108" s="41" t="n">
        <v>50</v>
      </c>
      <c r="T108" s="41"/>
      <c r="V108" s="41"/>
      <c r="W108" s="41" t="n">
        <v>61</v>
      </c>
      <c r="X108" s="49" t="n">
        <f aca="false">+IF(ISNUMBER($S108),$S108,MIN($V108,$T108,$U108,$W108))</f>
        <v>50</v>
      </c>
      <c r="Y108" s="48" t="n">
        <v>0.04</v>
      </c>
      <c r="Z108" s="71" t="n">
        <v>320000000</v>
      </c>
      <c r="AA108" s="50" t="n">
        <v>1</v>
      </c>
      <c r="AB108" s="48" t="n">
        <f aca="false">Z108/AA108</f>
        <v>320000000</v>
      </c>
      <c r="AC108" s="114"/>
      <c r="AD108" s="107" t="n">
        <f aca="false">Y108/AB108*1000000000000</f>
        <v>125</v>
      </c>
      <c r="AE108" s="49" t="str">
        <f aca="false">IF(ISNUMBER($Q108),$AD108*1000/2^(($Q108-1.76)/6.02), "")</f>
        <v/>
      </c>
      <c r="AF108" s="49" t="n">
        <f aca="false">$AD108*1000/2^(($X108-1.76)/6.02)</f>
        <v>483.804216536407</v>
      </c>
      <c r="AG108" s="49" t="str">
        <f aca="false">IF(ISNUMBER($Q108), $Q108+10*LOG10($AB108/2/$Y108), "")</f>
        <v/>
      </c>
      <c r="AH108" s="49" t="n">
        <f aca="false">$X108+10*LOG10($AB108/2/$Y108)</f>
        <v>146.02059991328</v>
      </c>
      <c r="AI108" s="52" t="n">
        <f aca="false">AF108/AB108</f>
        <v>1.51188817667627E-006</v>
      </c>
      <c r="AJ108" s="53" t="n">
        <f aca="false">AH108+10*LOG10(AB108)</f>
        <v>231.072099696479</v>
      </c>
    </row>
    <row r="109" customFormat="false" ht="12.75" hidden="false" customHeight="false" outlineLevel="0" collapsed="false">
      <c r="A109" s="50" t="n">
        <v>2011</v>
      </c>
      <c r="B109" s="43" t="n">
        <v>12.5</v>
      </c>
      <c r="C109" s="43" t="s">
        <v>111</v>
      </c>
      <c r="D109" s="43" t="s">
        <v>1884</v>
      </c>
      <c r="E109" s="43" t="n">
        <v>0.055</v>
      </c>
      <c r="F109" s="45" t="s">
        <v>2330</v>
      </c>
      <c r="G109" s="45" t="s">
        <v>2331</v>
      </c>
      <c r="H109" s="45" t="s">
        <v>2332</v>
      </c>
      <c r="I109" s="45" t="s">
        <v>2206</v>
      </c>
      <c r="J109" s="113" t="s">
        <v>2333</v>
      </c>
      <c r="K109" s="45" t="s">
        <v>117</v>
      </c>
      <c r="L109" s="69"/>
      <c r="M109" s="69"/>
      <c r="N109" s="69"/>
      <c r="O109" s="65" t="s">
        <v>117</v>
      </c>
      <c r="P109" s="43" t="n">
        <v>0.2</v>
      </c>
      <c r="Q109" s="41"/>
      <c r="R109" s="48" t="n">
        <f aca="false">AB109/2</f>
        <v>500000000</v>
      </c>
      <c r="S109" s="41" t="n">
        <v>40</v>
      </c>
      <c r="T109" s="41"/>
      <c r="V109" s="41"/>
      <c r="W109" s="41" t="n">
        <v>50</v>
      </c>
      <c r="X109" s="49" t="n">
        <f aca="false">+IF(ISNUMBER($S109),$S109,MIN($V109,$T109,$U109,$W109))</f>
        <v>40</v>
      </c>
      <c r="Y109" s="48" t="n">
        <v>0.016</v>
      </c>
      <c r="Z109" s="71" t="n">
        <v>1000000000</v>
      </c>
      <c r="AA109" s="50" t="n">
        <v>1</v>
      </c>
      <c r="AB109" s="48" t="n">
        <f aca="false">Z109/AA109</f>
        <v>1000000000</v>
      </c>
      <c r="AC109" s="114"/>
      <c r="AD109" s="107" t="n">
        <f aca="false">Y109/AB109*1000000000000</f>
        <v>16</v>
      </c>
      <c r="AE109" s="49" t="str">
        <f aca="false">IF(ISNUMBER($Q109),$AD109*1000/2^(($Q109-1.76)/6.02), "")</f>
        <v/>
      </c>
      <c r="AF109" s="49" t="n">
        <f aca="false">$AD109*1000/2^(($X109-1.76)/6.02)</f>
        <v>195.852646949192</v>
      </c>
      <c r="AG109" s="49" t="str">
        <f aca="false">IF(ISNUMBER($Q109), $Q109+10*LOG10($AB109/2/$Y109), "")</f>
        <v/>
      </c>
      <c r="AH109" s="49" t="n">
        <f aca="false">$X109+10*LOG10($AB109/2/$Y109)</f>
        <v>144.948500216801</v>
      </c>
      <c r="AI109" s="52" t="n">
        <f aca="false">AF109/AB109</f>
        <v>1.95852646949192E-007</v>
      </c>
      <c r="AJ109" s="53" t="n">
        <f aca="false">AH109+10*LOG10(AB109)</f>
        <v>234.948500216801</v>
      </c>
    </row>
    <row r="110" customFormat="false" ht="12.75" hidden="false" customHeight="false" outlineLevel="0" collapsed="false">
      <c r="A110" s="50" t="n">
        <v>2011</v>
      </c>
      <c r="B110" s="43" t="n">
        <v>14.2</v>
      </c>
      <c r="C110" s="43" t="s">
        <v>111</v>
      </c>
      <c r="D110" s="43" t="s">
        <v>112</v>
      </c>
      <c r="E110" s="43" t="n">
        <v>0.13</v>
      </c>
      <c r="F110" s="45" t="s">
        <v>2334</v>
      </c>
      <c r="G110" s="45" t="s">
        <v>2335</v>
      </c>
      <c r="H110" s="45" t="s">
        <v>2336</v>
      </c>
      <c r="I110" s="45" t="s">
        <v>2206</v>
      </c>
      <c r="J110" s="113" t="s">
        <v>2337</v>
      </c>
      <c r="K110" s="45" t="s">
        <v>117</v>
      </c>
      <c r="L110" s="69"/>
      <c r="M110" s="69"/>
      <c r="N110" s="69"/>
      <c r="O110" s="65" t="s">
        <v>117</v>
      </c>
      <c r="P110" s="43" t="n">
        <v>0.11</v>
      </c>
      <c r="Q110" s="41"/>
      <c r="R110" s="48" t="n">
        <f aca="false">AB110/2</f>
        <v>15625</v>
      </c>
      <c r="S110" s="41" t="n">
        <v>60.3</v>
      </c>
      <c r="T110" s="41"/>
      <c r="V110" s="41"/>
      <c r="W110" s="41"/>
      <c r="X110" s="49" t="n">
        <f aca="false">+IF(ISNUMBER($S110),$S110,MIN($V110,$T110,$U110,$W110))</f>
        <v>60.3</v>
      </c>
      <c r="Y110" s="43" t="n">
        <f aca="false">0.0000000000000415*Z110*2^((S110-1.76)/6.02)</f>
        <v>1.09695750505352E-006</v>
      </c>
      <c r="Z110" s="71" t="n">
        <v>31250</v>
      </c>
      <c r="AA110" s="50" t="n">
        <v>1</v>
      </c>
      <c r="AB110" s="48" t="n">
        <f aca="false">Z110/AA110</f>
        <v>31250</v>
      </c>
      <c r="AC110" s="114"/>
      <c r="AD110" s="107" t="n">
        <f aca="false">Y110/AB110*1000000000000</f>
        <v>35.1026401617127</v>
      </c>
      <c r="AE110" s="49" t="str">
        <f aca="false">IF(ISNUMBER($Q110),$AD110*1000/2^(($Q110-1.76)/6.02), "")</f>
        <v/>
      </c>
      <c r="AF110" s="49" t="n">
        <f aca="false">$AD110*1000/2^(($X110-1.76)/6.02)</f>
        <v>41.5</v>
      </c>
      <c r="AG110" s="49" t="str">
        <f aca="false">IF(ISNUMBER($Q110), $Q110+10*LOG10($AB110/2/$Y110), "")</f>
        <v/>
      </c>
      <c r="AH110" s="49" t="n">
        <f aca="false">$X110+10*LOG10($AB110/2/$Y110)</f>
        <v>161.836302222137</v>
      </c>
      <c r="AI110" s="52" t="n">
        <f aca="false">AF110/AB110</f>
        <v>0.001328</v>
      </c>
      <c r="AJ110" s="53" t="n">
        <f aca="false">AH110+10*LOG10(AB110)</f>
        <v>206.784802438938</v>
      </c>
    </row>
    <row r="111" customFormat="false" ht="12.75" hidden="false" customHeight="false" outlineLevel="0" collapsed="false">
      <c r="A111" s="50" t="n">
        <v>2011</v>
      </c>
      <c r="B111" s="43" t="n">
        <v>14.3</v>
      </c>
      <c r="C111" s="43" t="s">
        <v>111</v>
      </c>
      <c r="D111" s="43" t="s">
        <v>112</v>
      </c>
      <c r="E111" s="43" t="n">
        <v>0.25</v>
      </c>
      <c r="F111" s="45" t="s">
        <v>2338</v>
      </c>
      <c r="G111" s="45" t="s">
        <v>2339</v>
      </c>
      <c r="H111" s="45" t="s">
        <v>2340</v>
      </c>
      <c r="I111" s="45" t="s">
        <v>2206</v>
      </c>
      <c r="J111" s="113" t="s">
        <v>2341</v>
      </c>
      <c r="K111" s="45" t="s">
        <v>117</v>
      </c>
      <c r="L111" s="69"/>
      <c r="M111" s="69"/>
      <c r="N111" s="69"/>
      <c r="O111" s="65" t="s">
        <v>117</v>
      </c>
      <c r="P111" s="43" t="n">
        <f aca="false">0.18*0.22</f>
        <v>0.0396</v>
      </c>
      <c r="Q111" s="41"/>
      <c r="R111" s="48" t="n">
        <f aca="false">AB111/2</f>
        <v>15625</v>
      </c>
      <c r="S111" s="41" t="n">
        <f aca="false">7.2*6.02+1.76</f>
        <v>45.104</v>
      </c>
      <c r="T111" s="41"/>
      <c r="V111" s="41"/>
      <c r="W111" s="41"/>
      <c r="X111" s="49" t="n">
        <f aca="false">+IF(ISNUMBER($S111),$S111,MIN($V111,$T111,$U111,$W111))</f>
        <v>45.104</v>
      </c>
      <c r="Y111" s="48" t="n">
        <v>8.7E-008</v>
      </c>
      <c r="Z111" s="71" t="n">
        <v>31250</v>
      </c>
      <c r="AA111" s="50" t="n">
        <v>1</v>
      </c>
      <c r="AB111" s="48" t="n">
        <f aca="false">Z111/AA111</f>
        <v>31250</v>
      </c>
      <c r="AC111" s="114"/>
      <c r="AD111" s="107" t="n">
        <f aca="false">Y111/AB111*1000000000000</f>
        <v>2.784</v>
      </c>
      <c r="AE111" s="49" t="str">
        <f aca="false">IF(ISNUMBER($Q111),$AD111*1000/2^(($Q111-1.76)/6.02), "")</f>
        <v/>
      </c>
      <c r="AF111" s="49" t="n">
        <f aca="false">$AD111*1000/2^(($X111-1.76)/6.02)</f>
        <v>18.9344747516907</v>
      </c>
      <c r="AG111" s="49" t="str">
        <f aca="false">IF(ISNUMBER($Q111), $Q111+10*LOG10($AB111/2/$Y111), "")</f>
        <v/>
      </c>
      <c r="AH111" s="49" t="n">
        <f aca="false">$X111+10*LOG10($AB111/2/$Y111)</f>
        <v>157.647007733975</v>
      </c>
      <c r="AI111" s="52" t="n">
        <f aca="false">AF111/AB111</f>
        <v>0.000605903192054102</v>
      </c>
      <c r="AJ111" s="53" t="n">
        <f aca="false">AH111+10*LOG10(AB111)</f>
        <v>202.595507950776</v>
      </c>
    </row>
    <row r="112" customFormat="false" ht="12.75" hidden="false" customHeight="false" outlineLevel="0" collapsed="false">
      <c r="A112" s="50" t="n">
        <v>2011</v>
      </c>
      <c r="B112" s="43" t="n">
        <v>25.1</v>
      </c>
      <c r="C112" s="43" t="s">
        <v>111</v>
      </c>
      <c r="D112" s="43" t="s">
        <v>112</v>
      </c>
      <c r="E112" s="43" t="n">
        <v>0.04</v>
      </c>
      <c r="F112" s="45" t="s">
        <v>2342</v>
      </c>
      <c r="G112" s="45" t="s">
        <v>2343</v>
      </c>
      <c r="H112" s="45" t="s">
        <v>2344</v>
      </c>
      <c r="I112" s="45" t="s">
        <v>2206</v>
      </c>
      <c r="J112" s="113" t="s">
        <v>2345</v>
      </c>
      <c r="K112" s="45" t="s">
        <v>117</v>
      </c>
      <c r="L112" s="69" t="n">
        <v>0.5</v>
      </c>
      <c r="M112" s="69"/>
      <c r="N112" s="69"/>
      <c r="O112" s="65" t="s">
        <v>117</v>
      </c>
      <c r="P112" s="43" t="n">
        <f aca="false">0.07*0.16</f>
        <v>0.0112</v>
      </c>
      <c r="Q112" s="41"/>
      <c r="R112" s="48" t="n">
        <f aca="false">AB112/2</f>
        <v>550000</v>
      </c>
      <c r="S112" s="41" t="n">
        <f aca="false">7.5*6.02+1.76</f>
        <v>46.91</v>
      </c>
      <c r="T112" s="41"/>
      <c r="V112" s="41"/>
      <c r="W112" s="41"/>
      <c r="X112" s="49" t="n">
        <f aca="false">+IF(ISNUMBER($S112),$S112,MIN($V112,$T112,$U112,$W112))</f>
        <v>46.91</v>
      </c>
      <c r="Y112" s="48" t="n">
        <v>1.2E-006</v>
      </c>
      <c r="Z112" s="71" t="n">
        <v>1100000</v>
      </c>
      <c r="AA112" s="50" t="n">
        <v>1</v>
      </c>
      <c r="AB112" s="48" t="n">
        <f aca="false">Z112/AA112</f>
        <v>1100000</v>
      </c>
      <c r="AC112" s="114"/>
      <c r="AD112" s="107" t="n">
        <f aca="false">Y112/AB112*1000000000000</f>
        <v>1.09090909090909</v>
      </c>
      <c r="AE112" s="49" t="str">
        <f aca="false">IF(ISNUMBER($Q112),$AD112*1000/2^(($Q112-1.76)/6.02), "")</f>
        <v/>
      </c>
      <c r="AF112" s="49" t="n">
        <f aca="false">$AD112*1000/2^(($X112-1.76)/6.02)</f>
        <v>6.02647824874898</v>
      </c>
      <c r="AG112" s="49" t="str">
        <f aca="false">IF(ISNUMBER($Q112), $Q112+10*LOG10($AB112/2/$Y112), "")</f>
        <v/>
      </c>
      <c r="AH112" s="49" t="n">
        <f aca="false">$X112+10*LOG10($AB112/2/$Y112)</f>
        <v>163.521814434466</v>
      </c>
      <c r="AI112" s="52" t="n">
        <f aca="false">AF112/AB112</f>
        <v>5.4786165897718E-006</v>
      </c>
      <c r="AJ112" s="53" t="n">
        <f aca="false">AH112+10*LOG10(AB112)</f>
        <v>223.935741286048</v>
      </c>
    </row>
    <row r="113" customFormat="false" ht="12.75" hidden="false" customHeight="false" outlineLevel="0" collapsed="false">
      <c r="A113" s="50" t="n">
        <v>2011</v>
      </c>
      <c r="B113" s="43" t="n">
        <v>25.2</v>
      </c>
      <c r="C113" s="43" t="s">
        <v>111</v>
      </c>
      <c r="D113" s="43" t="s">
        <v>112</v>
      </c>
      <c r="E113" s="43" t="n">
        <v>0.09</v>
      </c>
      <c r="F113" s="45" t="s">
        <v>2346</v>
      </c>
      <c r="G113" s="45" t="s">
        <v>2347</v>
      </c>
      <c r="H113" s="45" t="s">
        <v>2348</v>
      </c>
      <c r="I113" s="45" t="s">
        <v>2206</v>
      </c>
      <c r="J113" s="113" t="s">
        <v>2349</v>
      </c>
      <c r="K113" s="45" t="s">
        <v>117</v>
      </c>
      <c r="L113" s="69"/>
      <c r="M113" s="69"/>
      <c r="N113" s="69"/>
      <c r="O113" s="65" t="s">
        <v>117</v>
      </c>
      <c r="P113" s="43" t="n">
        <f aca="false">0.275*0.2</f>
        <v>0.055</v>
      </c>
      <c r="Q113" s="41"/>
      <c r="R113" s="48" t="n">
        <f aca="false">AB113/2</f>
        <v>20000000</v>
      </c>
      <c r="S113" s="41" t="n">
        <f aca="false">7.1*6.02+1.76</f>
        <v>44.502</v>
      </c>
      <c r="T113" s="41"/>
      <c r="V113" s="41"/>
      <c r="W113" s="41"/>
      <c r="X113" s="49" t="n">
        <f aca="false">+IF(ISNUMBER($S113),$S113,MIN($V113,$T113,$U113,$W113))</f>
        <v>44.502</v>
      </c>
      <c r="Y113" s="48" t="n">
        <v>0.000113</v>
      </c>
      <c r="Z113" s="71" t="n">
        <v>40000000</v>
      </c>
      <c r="AA113" s="50" t="n">
        <v>1</v>
      </c>
      <c r="AB113" s="48" t="n">
        <f aca="false">Z113/AA113</f>
        <v>40000000</v>
      </c>
      <c r="AC113" s="114"/>
      <c r="AD113" s="107" t="n">
        <f aca="false">Y113/AB113*1000000000000</f>
        <v>2.825</v>
      </c>
      <c r="AE113" s="49" t="str">
        <f aca="false">IF(ISNUMBER($Q113),$AD113*1000/2^(($Q113-1.76)/6.02), "")</f>
        <v/>
      </c>
      <c r="AF113" s="49" t="n">
        <f aca="false">$AD113*1000/2^(($X113-1.76)/6.02)</f>
        <v>20.5923296960272</v>
      </c>
      <c r="AG113" s="49" t="str">
        <f aca="false">IF(ISNUMBER($Q113), $Q113+10*LOG10($AB113/2/$Y113), "")</f>
        <v/>
      </c>
      <c r="AH113" s="49" t="n">
        <f aca="false">$X113+10*LOG10($AB113/2/$Y113)</f>
        <v>156.981515521806</v>
      </c>
      <c r="AI113" s="52" t="n">
        <f aca="false">AF113/AB113</f>
        <v>5.1480824240068E-007</v>
      </c>
      <c r="AJ113" s="53" t="n">
        <f aca="false">AH113+10*LOG10(AB113)</f>
        <v>233.002115435085</v>
      </c>
    </row>
    <row r="114" customFormat="false" ht="12.75" hidden="false" customHeight="false" outlineLevel="0" collapsed="false">
      <c r="A114" s="50" t="n">
        <v>2011</v>
      </c>
      <c r="B114" s="43" t="n">
        <v>25.3</v>
      </c>
      <c r="C114" s="43" t="s">
        <v>111</v>
      </c>
      <c r="D114" s="43" t="s">
        <v>208</v>
      </c>
      <c r="E114" s="43" t="n">
        <v>0.09</v>
      </c>
      <c r="F114" s="45" t="s">
        <v>2350</v>
      </c>
      <c r="G114" s="45" t="s">
        <v>2351</v>
      </c>
      <c r="H114" s="45" t="s">
        <v>2352</v>
      </c>
      <c r="I114" s="45" t="s">
        <v>2206</v>
      </c>
      <c r="J114" s="113" t="s">
        <v>2353</v>
      </c>
      <c r="K114" s="45" t="s">
        <v>117</v>
      </c>
      <c r="L114" s="69"/>
      <c r="M114" s="69"/>
      <c r="N114" s="69"/>
      <c r="O114" s="65" t="s">
        <v>117</v>
      </c>
      <c r="P114" s="43" t="n">
        <v>0.18</v>
      </c>
      <c r="Q114" s="41"/>
      <c r="R114" s="48" t="n">
        <f aca="false">AB114/2</f>
        <v>105000000</v>
      </c>
      <c r="S114" s="41" t="n">
        <v>30</v>
      </c>
      <c r="T114" s="41"/>
      <c r="V114" s="41"/>
      <c r="W114" s="41" t="n">
        <v>35</v>
      </c>
      <c r="X114" s="49" t="n">
        <f aca="false">+IF(ISNUMBER($S114),$S114,MIN($V114,$T114,$U114,$W114))</f>
        <v>30</v>
      </c>
      <c r="Y114" s="48" t="n">
        <v>0.0348</v>
      </c>
      <c r="Z114" s="71" t="n">
        <v>210000000</v>
      </c>
      <c r="AA114" s="50" t="n">
        <v>1</v>
      </c>
      <c r="AB114" s="48" t="n">
        <f aca="false">Z114/AA114</f>
        <v>210000000</v>
      </c>
      <c r="AC114" s="114"/>
      <c r="AD114" s="107" t="n">
        <f aca="false">Y114/AB114*1000000000000</f>
        <v>165.714285714286</v>
      </c>
      <c r="AE114" s="49" t="str">
        <f aca="false">IF(ISNUMBER($Q114),$AD114*1000/2^(($Q114-1.76)/6.02), "")</f>
        <v/>
      </c>
      <c r="AF114" s="49" t="n">
        <f aca="false">$AD114*1000/2^(($X114-1.76)/6.02)</f>
        <v>6415.33350937851</v>
      </c>
      <c r="AG114" s="49" t="str">
        <f aca="false">IF(ISNUMBER($Q114), $Q114+10*LOG10($AB114/2/$Y114), "")</f>
        <v/>
      </c>
      <c r="AH114" s="49" t="n">
        <f aca="false">$X114+10*LOG10($AB114/2/$Y114)</f>
        <v>124.796100551234</v>
      </c>
      <c r="AI114" s="52" t="n">
        <f aca="false">AF114/AB114</f>
        <v>3.05492071875167E-005</v>
      </c>
      <c r="AJ114" s="53" t="n">
        <f aca="false">AH114+10*LOG10(AB114)</f>
        <v>208.018293498573</v>
      </c>
    </row>
    <row r="115" customFormat="false" ht="12.75" hidden="false" customHeight="false" outlineLevel="0" collapsed="false">
      <c r="A115" s="50" t="n">
        <v>2011</v>
      </c>
      <c r="B115" s="43" t="n">
        <v>25.4</v>
      </c>
      <c r="C115" s="43" t="s">
        <v>111</v>
      </c>
      <c r="D115" s="43" t="s">
        <v>2354</v>
      </c>
      <c r="E115" s="43" t="n">
        <v>0.13</v>
      </c>
      <c r="F115" s="45" t="s">
        <v>2355</v>
      </c>
      <c r="G115" s="45" t="s">
        <v>2356</v>
      </c>
      <c r="H115" s="45" t="s">
        <v>2357</v>
      </c>
      <c r="I115" s="45" t="s">
        <v>2206</v>
      </c>
      <c r="J115" s="113" t="s">
        <v>2358</v>
      </c>
      <c r="K115" s="45" t="s">
        <v>117</v>
      </c>
      <c r="L115" s="69"/>
      <c r="M115" s="69"/>
      <c r="N115" s="69"/>
      <c r="O115" s="65" t="s">
        <v>117</v>
      </c>
      <c r="P115" s="43" t="n">
        <v>0.55</v>
      </c>
      <c r="Q115" s="41"/>
      <c r="R115" s="48" t="n">
        <f aca="false">AB115/2</f>
        <v>500000000</v>
      </c>
      <c r="S115" s="41" t="n">
        <v>38.9</v>
      </c>
      <c r="T115" s="41"/>
      <c r="V115" s="41"/>
      <c r="W115" s="41"/>
      <c r="X115" s="49" t="n">
        <f aca="false">+IF(ISNUMBER($S115),$S115,MIN($V115,$T115,$U115,$W115))</f>
        <v>38.9</v>
      </c>
      <c r="Y115" s="48" t="n">
        <v>0.0265</v>
      </c>
      <c r="Z115" s="71" t="n">
        <v>1000000000</v>
      </c>
      <c r="AA115" s="50" t="n">
        <v>1</v>
      </c>
      <c r="AB115" s="48" t="n">
        <f aca="false">Z115/AA115</f>
        <v>1000000000</v>
      </c>
      <c r="AC115" s="114"/>
      <c r="AD115" s="107" t="n">
        <f aca="false">Y115/AB115*1000000000000</f>
        <v>26.5</v>
      </c>
      <c r="AE115" s="49" t="str">
        <f aca="false">IF(ISNUMBER($Q115),$AD115*1000/2^(($Q115-1.76)/6.02), "")</f>
        <v/>
      </c>
      <c r="AF115" s="49" t="n">
        <f aca="false">$AD115*1000/2^(($X115-1.76)/6.02)</f>
        <v>368.180529213147</v>
      </c>
      <c r="AG115" s="49" t="str">
        <f aca="false">IF(ISNUMBER($Q115), $Q115+10*LOG10($AB115/2/$Y115), "")</f>
        <v/>
      </c>
      <c r="AH115" s="49" t="n">
        <f aca="false">$X115+10*LOG10($AB115/2/$Y115)</f>
        <v>141.657241303992</v>
      </c>
      <c r="AI115" s="52" t="n">
        <f aca="false">AF115/AB115</f>
        <v>3.68180529213147E-007</v>
      </c>
      <c r="AJ115" s="53" t="n">
        <f aca="false">AH115+10*LOG10(AB115)</f>
        <v>231.657241303992</v>
      </c>
    </row>
    <row r="116" customFormat="false" ht="12.75" hidden="false" customHeight="false" outlineLevel="0" collapsed="false">
      <c r="A116" s="50" t="n">
        <v>2011</v>
      </c>
      <c r="B116" s="43" t="n">
        <v>25.5</v>
      </c>
      <c r="C116" s="43" t="s">
        <v>139</v>
      </c>
      <c r="D116" s="43" t="s">
        <v>1410</v>
      </c>
      <c r="E116" s="43" t="n">
        <v>0.09</v>
      </c>
      <c r="F116" s="45" t="s">
        <v>2359</v>
      </c>
      <c r="G116" s="45" t="s">
        <v>2360</v>
      </c>
      <c r="H116" s="45" t="s">
        <v>2361</v>
      </c>
      <c r="I116" s="45" t="s">
        <v>2206</v>
      </c>
      <c r="J116" s="113" t="s">
        <v>2362</v>
      </c>
      <c r="K116" s="45" t="s">
        <v>117</v>
      </c>
      <c r="L116" s="69"/>
      <c r="M116" s="69"/>
      <c r="N116" s="69"/>
      <c r="O116" s="65" t="s">
        <v>117</v>
      </c>
      <c r="P116" s="43" t="n">
        <v>0.1</v>
      </c>
      <c r="Q116" s="41"/>
      <c r="R116" s="48" t="n">
        <f aca="false">AB116/2</f>
        <v>8000000</v>
      </c>
      <c r="S116" s="41" t="n">
        <v>59.1</v>
      </c>
      <c r="T116" s="41" t="n">
        <v>61.1</v>
      </c>
      <c r="V116" s="41"/>
      <c r="W116" s="41" t="n">
        <v>71</v>
      </c>
      <c r="X116" s="49" t="n">
        <f aca="false">+IF(ISNUMBER($S116),$S116,MIN($V116,$T116,$U116,$W116))</f>
        <v>59.1</v>
      </c>
      <c r="Y116" s="48" t="n">
        <v>0.0043</v>
      </c>
      <c r="Z116" s="71" t="n">
        <v>640000000</v>
      </c>
      <c r="AA116" s="50" t="n">
        <v>40</v>
      </c>
      <c r="AB116" s="48" t="n">
        <f aca="false">Z116/AA116</f>
        <v>16000000</v>
      </c>
      <c r="AC116" s="114"/>
      <c r="AD116" s="107" t="n">
        <f aca="false">Y116/AB116*1000000000000</f>
        <v>268.75</v>
      </c>
      <c r="AE116" s="49" t="str">
        <f aca="false">IF(ISNUMBER($Q116),$AD116*1000/2^(($Q116-1.76)/6.02), "")</f>
        <v/>
      </c>
      <c r="AF116" s="49" t="n">
        <f aca="false">$AD116*1000/2^(($X116-1.76)/6.02)</f>
        <v>364.80666705605</v>
      </c>
      <c r="AG116" s="49" t="str">
        <f aca="false">IF(ISNUMBER($Q116), $Q116+10*LOG10($AB116/2/$Y116), "")</f>
        <v/>
      </c>
      <c r="AH116" s="49" t="n">
        <f aca="false">$X116+10*LOG10($AB116/2/$Y116)</f>
        <v>151.796215314124</v>
      </c>
      <c r="AI116" s="52" t="n">
        <f aca="false">AF116/AB116</f>
        <v>2.28004166910031E-005</v>
      </c>
      <c r="AJ116" s="53" t="n">
        <f aca="false">AH116+10*LOG10(AB116)</f>
        <v>223.837415140683</v>
      </c>
    </row>
    <row r="117" customFormat="false" ht="12.75" hidden="false" customHeight="false" outlineLevel="0" collapsed="false">
      <c r="A117" s="40" t="n">
        <v>2012</v>
      </c>
      <c r="B117" s="45" t="n">
        <v>4.1</v>
      </c>
      <c r="C117" s="43" t="s">
        <v>111</v>
      </c>
      <c r="D117" s="43" t="s">
        <v>208</v>
      </c>
      <c r="E117" s="43" t="n">
        <v>0.04</v>
      </c>
      <c r="F117" s="45" t="s">
        <v>2363</v>
      </c>
      <c r="G117" s="45" t="s">
        <v>2364</v>
      </c>
      <c r="H117" s="45" t="s">
        <v>2365</v>
      </c>
      <c r="I117" s="45" t="s">
        <v>2366</v>
      </c>
      <c r="J117" s="113" t="str">
        <f aca="false">IF(I117&lt;&gt;"?", HYPERLINK(CONCATENATE("https://doi.org/",I117)), "")</f>
        <v>https://doi.org/10.1109/VLSIC.2012.6243772</v>
      </c>
      <c r="K117" s="45" t="s">
        <v>117</v>
      </c>
      <c r="L117" s="69" t="n">
        <v>1.1</v>
      </c>
      <c r="M117" s="69"/>
      <c r="N117" s="69"/>
      <c r="O117" s="65" t="s">
        <v>117</v>
      </c>
      <c r="P117" s="43" t="n">
        <v>0.021</v>
      </c>
      <c r="Q117" s="41"/>
      <c r="R117" s="48" t="n">
        <f aca="false">AB117/2</f>
        <v>1500000000</v>
      </c>
      <c r="S117" s="41" t="n">
        <v>33.1</v>
      </c>
      <c r="T117" s="41"/>
      <c r="V117" s="41"/>
      <c r="W117" s="41" t="n">
        <v>38</v>
      </c>
      <c r="X117" s="49" t="n">
        <f aca="false">+IF(ISNUMBER($S117),$S117,MIN($V117,$T117,$U117,$W117))</f>
        <v>33.1</v>
      </c>
      <c r="Y117" s="48" t="n">
        <v>0.011</v>
      </c>
      <c r="Z117" s="71" t="n">
        <v>3000000000</v>
      </c>
      <c r="AA117" s="50" t="n">
        <v>1</v>
      </c>
      <c r="AB117" s="48" t="n">
        <f aca="false">Z117/AA117</f>
        <v>3000000000</v>
      </c>
      <c r="AC117" s="114"/>
      <c r="AD117" s="107" t="n">
        <f aca="false">Y117/AB117*1000000000000</f>
        <v>3.66666666666667</v>
      </c>
      <c r="AE117" s="49" t="str">
        <f aca="false">IF(ISNUMBER($Q117),$AD117*1000/2^(($Q117-1.76)/6.02), "")</f>
        <v/>
      </c>
      <c r="AF117" s="49" t="n">
        <f aca="false">$AD117*1000/2^(($X117-1.76)/6.02)</f>
        <v>99.3379683514244</v>
      </c>
      <c r="AG117" s="49" t="str">
        <f aca="false">IF(ISNUMBER($Q117), $Q117+10*LOG10($AB117/2/$Y117), "")</f>
        <v/>
      </c>
      <c r="AH117" s="49" t="n">
        <f aca="false">$X117+10*LOG10($AB117/2/$Y117)</f>
        <v>144.446985738975</v>
      </c>
      <c r="AI117" s="52" t="n">
        <f aca="false">AF117/AB117</f>
        <v>3.31126561171415E-008</v>
      </c>
      <c r="AJ117" s="53" t="n">
        <f aca="false">AH117+10*LOG10(AB117)</f>
        <v>239.218198286171</v>
      </c>
    </row>
    <row r="118" customFormat="false" ht="12.75" hidden="false" customHeight="false" outlineLevel="0" collapsed="false">
      <c r="A118" s="50" t="n">
        <v>2012</v>
      </c>
      <c r="B118" s="45" t="n">
        <v>4.2</v>
      </c>
      <c r="C118" s="43" t="s">
        <v>111</v>
      </c>
      <c r="D118" s="43" t="s">
        <v>2367</v>
      </c>
      <c r="E118" s="43" t="n">
        <v>0.13</v>
      </c>
      <c r="F118" s="45" t="s">
        <v>2368</v>
      </c>
      <c r="G118" s="45" t="s">
        <v>2369</v>
      </c>
      <c r="H118" s="45" t="s">
        <v>2370</v>
      </c>
      <c r="I118" s="45" t="s">
        <v>2371</v>
      </c>
      <c r="J118" s="113" t="str">
        <f aca="false">IF(I118&lt;&gt;"?", HYPERLINK(CONCATENATE("https://doi.org/",I118)), "")</f>
        <v>https://doi.org/10.1109/VLSIC.2012.6243773</v>
      </c>
      <c r="K118" s="45" t="s">
        <v>117</v>
      </c>
      <c r="L118" s="69" t="n">
        <v>0.8</v>
      </c>
      <c r="M118" s="69"/>
      <c r="N118" s="69"/>
      <c r="O118" s="65" t="s">
        <v>117</v>
      </c>
      <c r="P118" s="43" t="n">
        <v>0.36</v>
      </c>
      <c r="Q118" s="41"/>
      <c r="R118" s="48" t="n">
        <f aca="false">AB118/2</f>
        <v>10000</v>
      </c>
      <c r="S118" s="41" t="n">
        <v>50</v>
      </c>
      <c r="T118" s="41" t="n">
        <v>56</v>
      </c>
      <c r="V118" s="41"/>
      <c r="W118" s="41"/>
      <c r="X118" s="49" t="n">
        <f aca="false">+IF(ISNUMBER($S118),$S118,MIN($V118,$T118,$U118,$W118))</f>
        <v>50</v>
      </c>
      <c r="Y118" s="48" t="n">
        <v>7.4E-006</v>
      </c>
      <c r="Z118" s="71" t="n">
        <v>20000</v>
      </c>
      <c r="AA118" s="50" t="n">
        <v>1</v>
      </c>
      <c r="AB118" s="48" t="n">
        <f aca="false">Z118/AA118</f>
        <v>20000</v>
      </c>
      <c r="AC118" s="114"/>
      <c r="AD118" s="107" t="n">
        <f aca="false">Y118/AB118*1000000000000</f>
        <v>370</v>
      </c>
      <c r="AE118" s="49" t="str">
        <f aca="false">IF(ISNUMBER($Q118),$AD118*1000/2^(($Q118-1.76)/6.02), "")</f>
        <v/>
      </c>
      <c r="AF118" s="49" t="n">
        <f aca="false">$AD118*1000/2^(($X118-1.76)/6.02)</f>
        <v>1432.06048094776</v>
      </c>
      <c r="AG118" s="49" t="str">
        <f aca="false">IF(ISNUMBER($Q118), $Q118+10*LOG10($AB118/2/$Y118), "")</f>
        <v/>
      </c>
      <c r="AH118" s="49" t="n">
        <f aca="false">$X118+10*LOG10($AB118/2/$Y118)</f>
        <v>141.30768280269</v>
      </c>
      <c r="AI118" s="52" t="n">
        <f aca="false">AF118/AB118</f>
        <v>0.0716030240473882</v>
      </c>
      <c r="AJ118" s="53" t="n">
        <f aca="false">AH118+10*LOG10(AB118)</f>
        <v>184.31798275933</v>
      </c>
    </row>
    <row r="119" customFormat="false" ht="12.75" hidden="false" customHeight="false" outlineLevel="0" collapsed="false">
      <c r="A119" s="50" t="n">
        <v>2012</v>
      </c>
      <c r="B119" s="45" t="n">
        <v>4.3</v>
      </c>
      <c r="C119" s="43" t="s">
        <v>111</v>
      </c>
      <c r="D119" s="43" t="s">
        <v>133</v>
      </c>
      <c r="E119" s="43" t="n">
        <v>0.065</v>
      </c>
      <c r="F119" s="45" t="s">
        <v>2372</v>
      </c>
      <c r="G119" s="45" t="s">
        <v>2373</v>
      </c>
      <c r="H119" s="45" t="s">
        <v>2374</v>
      </c>
      <c r="I119" s="45" t="s">
        <v>2375</v>
      </c>
      <c r="J119" s="113" t="str">
        <f aca="false">IF(I119&lt;&gt;"?", HYPERLINK(CONCATENATE("https://doi.org/",I119)), "")</f>
        <v>https://doi.org/10.1109/VLSIC.2012.6243774</v>
      </c>
      <c r="K119" s="45" t="s">
        <v>117</v>
      </c>
      <c r="L119" s="69"/>
      <c r="M119" s="69"/>
      <c r="N119" s="69"/>
      <c r="O119" s="65" t="s">
        <v>117</v>
      </c>
      <c r="P119" s="43" t="n">
        <v>0.225</v>
      </c>
      <c r="Q119" s="41"/>
      <c r="R119" s="48" t="n">
        <f aca="false">AB119/2</f>
        <v>500000000</v>
      </c>
      <c r="S119" s="41" t="n">
        <v>52.4</v>
      </c>
      <c r="T119" s="41"/>
      <c r="V119" s="41"/>
      <c r="W119" s="41"/>
      <c r="X119" s="49" t="n">
        <f aca="false">+IF(ISNUMBER($S119),$S119,MIN($V119,$T119,$U119,$W119))</f>
        <v>52.4</v>
      </c>
      <c r="Y119" s="48" t="n">
        <f aca="false">0.015+0.0143+0.0036</f>
        <v>0.0329</v>
      </c>
      <c r="Z119" s="71" t="n">
        <v>1000000000</v>
      </c>
      <c r="AA119" s="50" t="n">
        <v>1</v>
      </c>
      <c r="AB119" s="48" t="n">
        <f aca="false">Z119/AA119</f>
        <v>1000000000</v>
      </c>
      <c r="AC119" s="114"/>
      <c r="AD119" s="107" t="n">
        <f aca="false">Y119/AB119*1000000000000</f>
        <v>32.9</v>
      </c>
      <c r="AE119" s="49" t="str">
        <f aca="false">IF(ISNUMBER($Q119),$AD119*1000/2^(($Q119-1.76)/6.02), "")</f>
        <v/>
      </c>
      <c r="AF119" s="49" t="n">
        <f aca="false">$AD119*1000/2^(($X119-1.76)/6.02)</f>
        <v>96.5925375942956</v>
      </c>
      <c r="AG119" s="49" t="str">
        <f aca="false">IF(ISNUMBER($Q119), $Q119+10*LOG10($AB119/2/$Y119), "")</f>
        <v/>
      </c>
      <c r="AH119" s="49" t="n">
        <f aca="false">$X119+10*LOG10($AB119/2/$Y119)</f>
        <v>154.21774106386</v>
      </c>
      <c r="AI119" s="52" t="n">
        <f aca="false">AF119/AB119</f>
        <v>9.65925375942956E-008</v>
      </c>
      <c r="AJ119" s="53" t="n">
        <f aca="false">AH119+10*LOG10(AB119)</f>
        <v>244.21774106386</v>
      </c>
    </row>
    <row r="120" customFormat="false" ht="12.75" hidden="false" customHeight="false" outlineLevel="0" collapsed="false">
      <c r="A120" s="50" t="n">
        <v>2012</v>
      </c>
      <c r="B120" s="45" t="n">
        <v>4.4</v>
      </c>
      <c r="C120" s="43" t="s">
        <v>111</v>
      </c>
      <c r="D120" s="43" t="s">
        <v>133</v>
      </c>
      <c r="E120" s="43" t="n">
        <v>0.18</v>
      </c>
      <c r="F120" s="45" t="s">
        <v>2376</v>
      </c>
      <c r="G120" s="45" t="s">
        <v>2377</v>
      </c>
      <c r="H120" s="45" t="s">
        <v>2378</v>
      </c>
      <c r="I120" s="45" t="s">
        <v>2379</v>
      </c>
      <c r="J120" s="113" t="str">
        <f aca="false">IF(I120&lt;&gt;"?", HYPERLINK(CONCATENATE("https://doi.org/",I120)), "")</f>
        <v>https://doi.org/10.1109/VLSIC.2012.6243775</v>
      </c>
      <c r="K120" s="45" t="s">
        <v>117</v>
      </c>
      <c r="L120" s="69"/>
      <c r="M120" s="69"/>
      <c r="N120" s="69"/>
      <c r="O120" s="65" t="s">
        <v>117</v>
      </c>
      <c r="P120" s="43" t="n">
        <v>0.5</v>
      </c>
      <c r="Q120" s="41"/>
      <c r="R120" s="48" t="n">
        <f aca="false">AB120/2</f>
        <v>15000000</v>
      </c>
      <c r="S120" s="41" t="n">
        <v>61.5</v>
      </c>
      <c r="T120" s="41" t="n">
        <v>61.9</v>
      </c>
      <c r="V120" s="41"/>
      <c r="W120" s="41" t="n">
        <v>72.4</v>
      </c>
      <c r="X120" s="49" t="n">
        <f aca="false">+IF(ISNUMBER($S120),$S120,MIN($V120,$T120,$U120,$W120))</f>
        <v>61.5</v>
      </c>
      <c r="Y120" s="48" t="n">
        <v>0.0026</v>
      </c>
      <c r="Z120" s="71" t="n">
        <v>30000000</v>
      </c>
      <c r="AA120" s="50" t="n">
        <v>1</v>
      </c>
      <c r="AB120" s="48" t="n">
        <f aca="false">Z120/AA120</f>
        <v>30000000</v>
      </c>
      <c r="AC120" s="114"/>
      <c r="AD120" s="107" t="n">
        <f aca="false">Y120/AB120*1000000000000</f>
        <v>86.6666666666667</v>
      </c>
      <c r="AE120" s="49" t="str">
        <f aca="false">IF(ISNUMBER($Q120),$AD120*1000/2^(($Q120-1.76)/6.02), "")</f>
        <v/>
      </c>
      <c r="AF120" s="49" t="n">
        <f aca="false">$AD120*1000/2^(($X120-1.76)/6.02)</f>
        <v>89.2389452691191</v>
      </c>
      <c r="AG120" s="49" t="str">
        <f aca="false">IF(ISNUMBER($Q120), $Q120+10*LOG10($AB120/2/$Y120), "")</f>
        <v/>
      </c>
      <c r="AH120" s="49" t="n">
        <f aca="false">$X120+10*LOG10($AB120/2/$Y120)</f>
        <v>159.111179110849</v>
      </c>
      <c r="AI120" s="52" t="n">
        <f aca="false">AF120/AB120</f>
        <v>2.97463150897064E-006</v>
      </c>
      <c r="AJ120" s="53" t="n">
        <f aca="false">AH120+10*LOG10(AB120)</f>
        <v>233.882391658045</v>
      </c>
    </row>
    <row r="121" customFormat="false" ht="12.75" hidden="false" customHeight="false" outlineLevel="0" collapsed="false">
      <c r="A121" s="50" t="n">
        <v>2012</v>
      </c>
      <c r="B121" s="45" t="n">
        <v>11.1</v>
      </c>
      <c r="C121" s="43" t="s">
        <v>111</v>
      </c>
      <c r="D121" s="43" t="s">
        <v>548</v>
      </c>
      <c r="E121" s="43" t="n">
        <v>0.065</v>
      </c>
      <c r="F121" s="45" t="s">
        <v>2380</v>
      </c>
      <c r="G121" s="45" t="s">
        <v>2381</v>
      </c>
      <c r="H121" s="45" t="s">
        <v>2382</v>
      </c>
      <c r="I121" s="45" t="s">
        <v>2383</v>
      </c>
      <c r="J121" s="113" t="str">
        <f aca="false">IF(I121&lt;&gt;"?", HYPERLINK(CONCATENATE("https://doi.org/",I121)), "")</f>
        <v>https://doi.org/10.1109/VLSIC.2012.6243801</v>
      </c>
      <c r="K121" s="45" t="s">
        <v>117</v>
      </c>
      <c r="L121" s="69" t="n">
        <v>1.2</v>
      </c>
      <c r="M121" s="69"/>
      <c r="N121" s="69"/>
      <c r="O121" s="65" t="s">
        <v>117</v>
      </c>
      <c r="P121" s="43" t="n">
        <f aca="false">0.4*0.45</f>
        <v>0.18</v>
      </c>
      <c r="Q121" s="41"/>
      <c r="R121" s="48" t="n">
        <f aca="false">AB121/2</f>
        <v>1400000000</v>
      </c>
      <c r="S121" s="41" t="n">
        <v>48.2</v>
      </c>
      <c r="T121" s="41"/>
      <c r="V121" s="41"/>
      <c r="W121" s="41" t="n">
        <v>55</v>
      </c>
      <c r="X121" s="49" t="n">
        <f aca="false">+IF(ISNUMBER($S121),$S121,MIN($V121,$T121,$U121,$W121))</f>
        <v>48.2</v>
      </c>
      <c r="Y121" s="48" t="n">
        <v>0.0446</v>
      </c>
      <c r="Z121" s="71" t="n">
        <v>2800000000</v>
      </c>
      <c r="AA121" s="50" t="n">
        <v>1</v>
      </c>
      <c r="AB121" s="48" t="n">
        <f aca="false">Z121/AA121</f>
        <v>2800000000</v>
      </c>
      <c r="AC121" s="114"/>
      <c r="AD121" s="107" t="n">
        <f aca="false">Y121/AB121*1000000000000</f>
        <v>15.9285714285714</v>
      </c>
      <c r="AE121" s="49" t="str">
        <f aca="false">IF(ISNUMBER($Q121),$AD121*1000/2^(($Q121-1.76)/6.02), "")</f>
        <v/>
      </c>
      <c r="AF121" s="49" t="n">
        <f aca="false">$AD121*1000/2^(($X121-1.76)/6.02)</f>
        <v>75.8482268101557</v>
      </c>
      <c r="AG121" s="49" t="str">
        <f aca="false">IF(ISNUMBER($Q121), $Q121+10*LOG10($AB121/2/$Y121), "")</f>
        <v/>
      </c>
      <c r="AH121" s="49" t="n">
        <f aca="false">$X121+10*LOG10($AB121/2/$Y121)</f>
        <v>153.167931769661</v>
      </c>
      <c r="AI121" s="52" t="n">
        <f aca="false">AF121/AB121</f>
        <v>2.70886524321984E-008</v>
      </c>
      <c r="AJ121" s="53" t="n">
        <f aca="false">AH121+10*LOG10(AB121)</f>
        <v>247.639512083083</v>
      </c>
    </row>
    <row r="122" customFormat="false" ht="12.75" hidden="false" customHeight="false" outlineLevel="0" collapsed="false">
      <c r="A122" s="50" t="n">
        <v>2012</v>
      </c>
      <c r="B122" s="45" t="n">
        <v>11.2</v>
      </c>
      <c r="C122" s="43" t="s">
        <v>111</v>
      </c>
      <c r="D122" s="43" t="s">
        <v>2384</v>
      </c>
      <c r="E122" s="43" t="n">
        <v>0.065</v>
      </c>
      <c r="F122" s="45" t="s">
        <v>2385</v>
      </c>
      <c r="G122" s="45" t="s">
        <v>2386</v>
      </c>
      <c r="H122" s="45" t="s">
        <v>2387</v>
      </c>
      <c r="I122" s="45" t="s">
        <v>2388</v>
      </c>
      <c r="J122" s="113" t="str">
        <f aca="false">IF(I122&lt;&gt;"?", HYPERLINK(CONCATENATE("https://doi.org/",I122)), "")</f>
        <v>https://doi.org/10.1109/VLSIC.2012.6243802</v>
      </c>
      <c r="K122" s="45" t="s">
        <v>117</v>
      </c>
      <c r="L122" s="69" t="n">
        <v>1</v>
      </c>
      <c r="M122" s="69"/>
      <c r="N122" s="69"/>
      <c r="O122" s="65" t="s">
        <v>117</v>
      </c>
      <c r="P122" s="43" t="n">
        <v>0.013</v>
      </c>
      <c r="Q122" s="41"/>
      <c r="R122" s="48" t="n">
        <f aca="false">AB122/2</f>
        <v>500000000</v>
      </c>
      <c r="S122" s="41" t="n">
        <v>42.75</v>
      </c>
      <c r="T122" s="41"/>
      <c r="V122" s="41"/>
      <c r="W122" s="41" t="n">
        <v>58</v>
      </c>
      <c r="X122" s="49" t="n">
        <f aca="false">+IF(ISNUMBER($S122),$S122,MIN($V122,$T122,$U122,$W122))</f>
        <v>42.75</v>
      </c>
      <c r="Y122" s="48" t="n">
        <v>0.0038</v>
      </c>
      <c r="Z122" s="71" t="n">
        <v>1000000000</v>
      </c>
      <c r="AA122" s="50" t="n">
        <v>1</v>
      </c>
      <c r="AB122" s="48" t="n">
        <f aca="false">Z122/AA122</f>
        <v>1000000000</v>
      </c>
      <c r="AC122" s="114"/>
      <c r="AD122" s="107" t="n">
        <f aca="false">Y122/AB122*1000000000000</f>
        <v>3.8</v>
      </c>
      <c r="AE122" s="49" t="str">
        <f aca="false">IF(ISNUMBER($Q122),$AD122*1000/2^(($Q122-1.76)/6.02), "")</f>
        <v/>
      </c>
      <c r="AF122" s="49" t="n">
        <f aca="false">$AD122*1000/2^(($X122-1.76)/6.02)</f>
        <v>33.8906077546103</v>
      </c>
      <c r="AG122" s="49" t="str">
        <f aca="false">IF(ISNUMBER($Q122), $Q122+10*LOG10($AB122/2/$Y122), "")</f>
        <v/>
      </c>
      <c r="AH122" s="49" t="n">
        <f aca="false">$X122+10*LOG10($AB122/2/$Y122)</f>
        <v>153.941864077192</v>
      </c>
      <c r="AI122" s="52" t="n">
        <f aca="false">AF122/AB122</f>
        <v>3.38906077546103E-008</v>
      </c>
      <c r="AJ122" s="53" t="n">
        <f aca="false">AH122+10*LOG10(AB122)</f>
        <v>243.941864077192</v>
      </c>
    </row>
    <row r="123" customFormat="false" ht="12.75" hidden="false" customHeight="false" outlineLevel="0" collapsed="false">
      <c r="A123" s="50" t="n">
        <v>2012</v>
      </c>
      <c r="B123" s="45" t="n">
        <v>11.3</v>
      </c>
      <c r="C123" s="43" t="s">
        <v>111</v>
      </c>
      <c r="D123" s="43" t="s">
        <v>112</v>
      </c>
      <c r="E123" s="43" t="n">
        <v>0.028</v>
      </c>
      <c r="F123" s="45" t="s">
        <v>2389</v>
      </c>
      <c r="G123" s="45" t="s">
        <v>2390</v>
      </c>
      <c r="H123" s="45" t="s">
        <v>2391</v>
      </c>
      <c r="I123" s="45" t="s">
        <v>2392</v>
      </c>
      <c r="J123" s="113" t="str">
        <f aca="false">IF(I123&lt;&gt;"?", HYPERLINK(CONCATENATE("https://doi.org/",I123)), "")</f>
        <v>https://doi.org/10.1109/VLSIC.2012.6243803</v>
      </c>
      <c r="K123" s="45" t="s">
        <v>117</v>
      </c>
      <c r="L123" s="69" t="n">
        <v>1</v>
      </c>
      <c r="M123" s="69"/>
      <c r="N123" s="69"/>
      <c r="O123" s="65" t="s">
        <v>117</v>
      </c>
      <c r="P123" s="43" t="n">
        <v>0.004</v>
      </c>
      <c r="Q123" s="41"/>
      <c r="R123" s="48" t="n">
        <f aca="false">AB123/2</f>
        <v>375000000</v>
      </c>
      <c r="S123" s="41" t="n">
        <f aca="false">6.9*6.02+1.76</f>
        <v>43.298</v>
      </c>
      <c r="T123" s="41"/>
      <c r="V123" s="41"/>
      <c r="W123" s="41" t="n">
        <v>57</v>
      </c>
      <c r="X123" s="49" t="n">
        <f aca="false">+IF(ISNUMBER($S123),$S123,MIN($V123,$T123,$U123,$W123))</f>
        <v>43.298</v>
      </c>
      <c r="Y123" s="48" t="n">
        <v>0.0045</v>
      </c>
      <c r="Z123" s="71" t="n">
        <v>750000000</v>
      </c>
      <c r="AA123" s="50" t="n">
        <v>1</v>
      </c>
      <c r="AB123" s="48" t="n">
        <f aca="false">Z123/AA123</f>
        <v>750000000</v>
      </c>
      <c r="AC123" s="114"/>
      <c r="AD123" s="107" t="n">
        <f aca="false">Y123/AB123*1000000000000</f>
        <v>6</v>
      </c>
      <c r="AE123" s="49" t="str">
        <f aca="false">IF(ISNUMBER($Q123),$AD123*1000/2^(($Q123-1.76)/6.02), "")</f>
        <v/>
      </c>
      <c r="AF123" s="49" t="n">
        <f aca="false">$AD123*1000/2^(($X123-1.76)/6.02)</f>
        <v>50.2393810563887</v>
      </c>
      <c r="AG123" s="49" t="str">
        <f aca="false">IF(ISNUMBER($Q123), $Q123+10*LOG10($AB123/2/$Y123), "")</f>
        <v/>
      </c>
      <c r="AH123" s="49" t="n">
        <f aca="false">$X123+10*LOG10($AB123/2/$Y123)</f>
        <v>152.506187539524</v>
      </c>
      <c r="AI123" s="52" t="n">
        <f aca="false">AF123/AB123</f>
        <v>6.69858414085183E-008</v>
      </c>
      <c r="AJ123" s="53" t="n">
        <f aca="false">AH123+10*LOG10(AB123)</f>
        <v>241.256800173441</v>
      </c>
    </row>
    <row r="124" customFormat="false" ht="12.75" hidden="false" customHeight="false" outlineLevel="0" collapsed="false">
      <c r="A124" s="50" t="n">
        <v>2012</v>
      </c>
      <c r="B124" s="45" t="n">
        <v>11.4</v>
      </c>
      <c r="C124" s="43" t="s">
        <v>111</v>
      </c>
      <c r="D124" s="43" t="s">
        <v>191</v>
      </c>
      <c r="E124" s="43" t="n">
        <v>0.065</v>
      </c>
      <c r="F124" s="45" t="s">
        <v>2393</v>
      </c>
      <c r="G124" s="45" t="s">
        <v>2394</v>
      </c>
      <c r="H124" s="45" t="s">
        <v>2395</v>
      </c>
      <c r="I124" s="45" t="s">
        <v>2396</v>
      </c>
      <c r="J124" s="113" t="str">
        <f aca="false">IF(I124&lt;&gt;"?", HYPERLINK(CONCATENATE("https://doi.org/",I124)), "")</f>
        <v>https://doi.org/10.1109/VLSIC.2012.6243804</v>
      </c>
      <c r="K124" s="45" t="s">
        <v>117</v>
      </c>
      <c r="L124" s="69"/>
      <c r="M124" s="69"/>
      <c r="N124" s="69"/>
      <c r="O124" s="65" t="s">
        <v>117</v>
      </c>
      <c r="P124" s="43" t="n">
        <v>0.046</v>
      </c>
      <c r="Q124" s="41"/>
      <c r="R124" s="48" t="n">
        <f aca="false">AB124/2</f>
        <v>250000000</v>
      </c>
      <c r="S124" s="41" t="n">
        <v>52.94</v>
      </c>
      <c r="T124" s="41"/>
      <c r="V124" s="41"/>
      <c r="W124" s="41" t="n">
        <v>66.03</v>
      </c>
      <c r="X124" s="49" t="n">
        <f aca="false">+IF(ISNUMBER($S124),$S124,MIN($V124,$T124,$U124,$W124))</f>
        <v>52.94</v>
      </c>
      <c r="Y124" s="48" t="n">
        <v>0.0082</v>
      </c>
      <c r="Z124" s="71" t="n">
        <v>500000000</v>
      </c>
      <c r="AA124" s="50" t="n">
        <v>1</v>
      </c>
      <c r="AB124" s="48" t="n">
        <f aca="false">Z124/AA124</f>
        <v>500000000</v>
      </c>
      <c r="AC124" s="114"/>
      <c r="AD124" s="107" t="n">
        <f aca="false">Y124/AB124*1000000000000</f>
        <v>16.4</v>
      </c>
      <c r="AE124" s="49" t="str">
        <f aca="false">IF(ISNUMBER($Q124),$AD124*1000/2^(($Q124-1.76)/6.02), "")</f>
        <v/>
      </c>
      <c r="AF124" s="49" t="n">
        <f aca="false">$AD124*1000/2^(($X124-1.76)/6.02)</f>
        <v>45.2469005549186</v>
      </c>
      <c r="AG124" s="49" t="str">
        <f aca="false">IF(ISNUMBER($Q124), $Q124+10*LOG10($AB124/2/$Y124), "")</f>
        <v/>
      </c>
      <c r="AH124" s="49" t="n">
        <f aca="false">$X124+10*LOG10($AB124/2/$Y124)</f>
        <v>157.781261562883</v>
      </c>
      <c r="AI124" s="52" t="n">
        <f aca="false">AF124/AB124</f>
        <v>9.04938011098371E-008</v>
      </c>
      <c r="AJ124" s="53" t="n">
        <f aca="false">AH124+10*LOG10(AB124)</f>
        <v>244.770961606243</v>
      </c>
    </row>
    <row r="125" customFormat="false" ht="12.75" hidden="false" customHeight="false" outlineLevel="0" collapsed="false">
      <c r="A125" s="50" t="n">
        <v>2012</v>
      </c>
      <c r="B125" s="45" t="n">
        <v>11.5</v>
      </c>
      <c r="C125" s="43" t="s">
        <v>111</v>
      </c>
      <c r="D125" s="43" t="s">
        <v>112</v>
      </c>
      <c r="E125" s="43" t="n">
        <v>0.09</v>
      </c>
      <c r="F125" s="45" t="s">
        <v>2397</v>
      </c>
      <c r="G125" s="45" t="s">
        <v>2398</v>
      </c>
      <c r="H125" s="45" t="s">
        <v>2399</v>
      </c>
      <c r="I125" s="45" t="s">
        <v>2400</v>
      </c>
      <c r="J125" s="113" t="str">
        <f aca="false">IF(I125&lt;&gt;"?", HYPERLINK(CONCATENATE("https://doi.org/",I125)), "")</f>
        <v>https://doi.org/10.1109/VLSIC.2012.6243805</v>
      </c>
      <c r="K125" s="45" t="s">
        <v>117</v>
      </c>
      <c r="L125" s="69" t="n">
        <v>0.35</v>
      </c>
      <c r="M125" s="69"/>
      <c r="N125" s="69"/>
      <c r="O125" s="65" t="s">
        <v>117</v>
      </c>
      <c r="P125" s="43" t="n">
        <v>0.03</v>
      </c>
      <c r="Q125" s="41"/>
      <c r="R125" s="48" t="n">
        <f aca="false">AB125/2</f>
        <v>50000</v>
      </c>
      <c r="S125" s="41" t="n">
        <v>56.3</v>
      </c>
      <c r="T125" s="41" t="n">
        <v>57</v>
      </c>
      <c r="V125" s="41" t="n">
        <v>64.5</v>
      </c>
      <c r="W125" s="41" t="n">
        <v>71</v>
      </c>
      <c r="X125" s="49" t="n">
        <f aca="false">+IF(ISNUMBER($S125),$S125,MIN($V125,$T125,$U125,$W125))</f>
        <v>56.3</v>
      </c>
      <c r="Y125" s="48" t="n">
        <v>1.7E-007</v>
      </c>
      <c r="Z125" s="71" t="n">
        <v>100000</v>
      </c>
      <c r="AA125" s="50" t="n">
        <v>1</v>
      </c>
      <c r="AB125" s="48" t="n">
        <f aca="false">Z125/AA125</f>
        <v>100000</v>
      </c>
      <c r="AC125" s="114"/>
      <c r="AD125" s="107" t="n">
        <f aca="false">Y125/AB125*1000000000000</f>
        <v>1.7</v>
      </c>
      <c r="AE125" s="49" t="str">
        <f aca="false">IF(ISNUMBER($Q125),$AD125*1000/2^(($Q125-1.76)/6.02), "")</f>
        <v/>
      </c>
      <c r="AF125" s="49" t="n">
        <f aca="false">$AD125*1000/2^(($X125-1.76)/6.02)</f>
        <v>3.18549675228883</v>
      </c>
      <c r="AG125" s="49" t="str">
        <f aca="false">IF(ISNUMBER($Q125), $Q125+10*LOG10($AB125/2/$Y125), "")</f>
        <v/>
      </c>
      <c r="AH125" s="49" t="n">
        <f aca="false">$X125+10*LOG10($AB125/2/$Y125)</f>
        <v>170.985210829577</v>
      </c>
      <c r="AI125" s="52" t="n">
        <f aca="false">AF125/AB125</f>
        <v>3.18549675228883E-005</v>
      </c>
      <c r="AJ125" s="53" t="n">
        <f aca="false">AH125+10*LOG10(AB125)</f>
        <v>220.985210829577</v>
      </c>
    </row>
    <row r="126" customFormat="false" ht="12.75" hidden="false" customHeight="false" outlineLevel="0" collapsed="false">
      <c r="A126" s="50" t="n">
        <v>2012</v>
      </c>
      <c r="B126" s="45" t="n">
        <v>19.1</v>
      </c>
      <c r="C126" s="43" t="s">
        <v>139</v>
      </c>
      <c r="D126" s="43" t="s">
        <v>173</v>
      </c>
      <c r="E126" s="43" t="n">
        <v>0.04</v>
      </c>
      <c r="F126" s="45" t="s">
        <v>2401</v>
      </c>
      <c r="G126" s="45" t="s">
        <v>2402</v>
      </c>
      <c r="H126" s="45" t="s">
        <v>2403</v>
      </c>
      <c r="I126" s="45" t="s">
        <v>2404</v>
      </c>
      <c r="J126" s="113" t="str">
        <f aca="false">IF(I126&lt;&gt;"?", HYPERLINK(CONCATENATE("https://doi.org/",I126)), "")</f>
        <v>https://doi.org/10.1109/VLSIC.2012.6243839</v>
      </c>
      <c r="K126" s="45" t="s">
        <v>2405</v>
      </c>
      <c r="L126" s="69"/>
      <c r="M126" s="69"/>
      <c r="N126" s="69"/>
      <c r="O126" s="65" t="s">
        <v>117</v>
      </c>
      <c r="P126" s="43" t="n">
        <v>0.051</v>
      </c>
      <c r="Q126" s="41"/>
      <c r="R126" s="48" t="n">
        <f aca="false">AB126/2</f>
        <v>10000000</v>
      </c>
      <c r="S126" s="41" t="n">
        <v>70</v>
      </c>
      <c r="T126" s="41"/>
      <c r="U126" s="43" t="n">
        <v>70.6</v>
      </c>
      <c r="V126" s="41"/>
      <c r="W126" s="41"/>
      <c r="X126" s="49" t="n">
        <f aca="false">+IF(ISNUMBER($S126),$S126,MIN($V126,$T126,$U126,$W126))</f>
        <v>70</v>
      </c>
      <c r="Y126" s="48" t="n">
        <v>0.00257</v>
      </c>
      <c r="Z126" s="71" t="n">
        <v>300000000</v>
      </c>
      <c r="AA126" s="50" t="n">
        <v>15</v>
      </c>
      <c r="AB126" s="48" t="n">
        <f aca="false">Z126/AA126</f>
        <v>20000000</v>
      </c>
      <c r="AC126" s="114"/>
      <c r="AD126" s="107" t="n">
        <f aca="false">Y126/AB126*1000000000000</f>
        <v>128.5</v>
      </c>
      <c r="AE126" s="49" t="str">
        <f aca="false">IF(ISNUMBER($Q126),$AD126*1000/2^(($Q126-1.76)/6.02), "")</f>
        <v/>
      </c>
      <c r="AF126" s="49" t="n">
        <f aca="false">$AD126*1000/2^(($X126-1.76)/6.02)</f>
        <v>49.7236625412463</v>
      </c>
      <c r="AG126" s="49" t="str">
        <f aca="false">IF(ISNUMBER($Q126), $Q126+10*LOG10($AB126/2/$Y126), "")</f>
        <v/>
      </c>
      <c r="AH126" s="49" t="n">
        <f aca="false">$X126+10*LOG10($AB126/2/$Y126)</f>
        <v>165.900668766687</v>
      </c>
      <c r="AI126" s="52" t="n">
        <f aca="false">AF126/AB126</f>
        <v>2.48618312706232E-006</v>
      </c>
      <c r="AJ126" s="53" t="n">
        <f aca="false">AH126+10*LOG10(AB126)</f>
        <v>238.910968723327</v>
      </c>
    </row>
    <row r="127" customFormat="false" ht="12.75" hidden="false" customHeight="false" outlineLevel="0" collapsed="false">
      <c r="A127" s="50" t="n">
        <v>2012</v>
      </c>
      <c r="B127" s="45" t="n">
        <v>19.2</v>
      </c>
      <c r="C127" s="43" t="s">
        <v>139</v>
      </c>
      <c r="D127" s="43" t="s">
        <v>145</v>
      </c>
      <c r="E127" s="43" t="n">
        <v>0.13</v>
      </c>
      <c r="F127" s="45" t="s">
        <v>2406</v>
      </c>
      <c r="G127" s="45" t="s">
        <v>2407</v>
      </c>
      <c r="H127" s="45" t="s">
        <v>2408</v>
      </c>
      <c r="I127" s="45" t="s">
        <v>2409</v>
      </c>
      <c r="J127" s="113" t="str">
        <f aca="false">IF(I127&lt;&gt;"?", HYPERLINK(CONCATENATE("https://doi.org/",I127)), "")</f>
        <v>https://doi.org/10.1109/VLSIC.2012.6243840</v>
      </c>
      <c r="K127" s="45" t="s">
        <v>117</v>
      </c>
      <c r="L127" s="69"/>
      <c r="M127" s="69"/>
      <c r="N127" s="69"/>
      <c r="O127" s="65" t="s">
        <v>117</v>
      </c>
      <c r="P127" s="43" t="n">
        <v>0.37</v>
      </c>
      <c r="Q127" s="41"/>
      <c r="R127" s="48" t="n">
        <f aca="false">AB127/2</f>
        <v>5000000</v>
      </c>
      <c r="S127" s="41" t="n">
        <v>70.7</v>
      </c>
      <c r="T127" s="41" t="n">
        <v>71</v>
      </c>
      <c r="U127" s="43" t="n">
        <v>71.6</v>
      </c>
      <c r="V127" s="41"/>
      <c r="W127" s="41"/>
      <c r="X127" s="49" t="n">
        <f aca="false">+IF(ISNUMBER($S127),$S127,MIN($V127,$T127,$U127,$W127))</f>
        <v>70.7</v>
      </c>
      <c r="Y127" s="48" t="n">
        <v>0.0081</v>
      </c>
      <c r="Z127" s="71" t="n">
        <v>80000000</v>
      </c>
      <c r="AA127" s="50" t="n">
        <v>8</v>
      </c>
      <c r="AB127" s="48" t="n">
        <f aca="false">Z127/AA127</f>
        <v>10000000</v>
      </c>
      <c r="AC127" s="114"/>
      <c r="AD127" s="107" t="n">
        <f aca="false">Y127/AB127*1000000000000</f>
        <v>810</v>
      </c>
      <c r="AE127" s="49" t="str">
        <f aca="false">IF(ISNUMBER($Q127),$AD127*1000/2^(($Q127-1.76)/6.02), "")</f>
        <v/>
      </c>
      <c r="AF127" s="49" t="n">
        <f aca="false">$AD127*1000/2^(($X127-1.76)/6.02)</f>
        <v>289.162195629365</v>
      </c>
      <c r="AG127" s="49" t="str">
        <f aca="false">IF(ISNUMBER($Q127), $Q127+10*LOG10($AB127/2/$Y127), "")</f>
        <v/>
      </c>
      <c r="AH127" s="49" t="n">
        <f aca="false">$X127+10*LOG10($AB127/2/$Y127)</f>
        <v>158.604849854574</v>
      </c>
      <c r="AI127" s="52" t="n">
        <f aca="false">AF127/AB127</f>
        <v>2.89162195629365E-005</v>
      </c>
      <c r="AJ127" s="53" t="n">
        <f aca="false">AH127+10*LOG10(AB127)</f>
        <v>228.604849854574</v>
      </c>
    </row>
    <row r="128" customFormat="false" ht="12.75" hidden="false" customHeight="false" outlineLevel="0" collapsed="false">
      <c r="A128" s="50" t="n">
        <v>2012</v>
      </c>
      <c r="B128" s="45" t="n">
        <v>19.3</v>
      </c>
      <c r="C128" s="43" t="s">
        <v>139</v>
      </c>
      <c r="D128" s="43" t="s">
        <v>145</v>
      </c>
      <c r="E128" s="43" t="n">
        <v>0.065</v>
      </c>
      <c r="F128" s="45" t="s">
        <v>2410</v>
      </c>
      <c r="G128" s="45" t="s">
        <v>2411</v>
      </c>
      <c r="H128" s="45" t="s">
        <v>2412</v>
      </c>
      <c r="I128" s="45" t="s">
        <v>2413</v>
      </c>
      <c r="J128" s="113" t="str">
        <f aca="false">IF(I128&lt;&gt;"?", HYPERLINK(CONCATENATE("https://doi.org/",I128)), "")</f>
        <v>https://doi.org/10.1109/VLSIC.2012.6243841</v>
      </c>
      <c r="K128" s="45" t="s">
        <v>2414</v>
      </c>
      <c r="L128" s="69" t="n">
        <v>1.25</v>
      </c>
      <c r="M128" s="69"/>
      <c r="N128" s="69"/>
      <c r="O128" s="65" t="s">
        <v>117</v>
      </c>
      <c r="P128" s="43" t="n">
        <v>0.28</v>
      </c>
      <c r="Q128" s="41"/>
      <c r="R128" s="48" t="n">
        <f aca="false">AB128/2</f>
        <v>15000000</v>
      </c>
      <c r="S128" s="41" t="n">
        <v>67</v>
      </c>
      <c r="T128" s="41"/>
      <c r="V128" s="41"/>
      <c r="W128" s="41" t="n">
        <v>85</v>
      </c>
      <c r="X128" s="49" t="n">
        <f aca="false">+IF(ISNUMBER($S128),$S128,MIN($V128,$T128,$U128,$W128))</f>
        <v>67</v>
      </c>
      <c r="Y128" s="48" t="n">
        <v>0.037</v>
      </c>
      <c r="Z128" s="71" t="n">
        <v>240000000</v>
      </c>
      <c r="AA128" s="50" t="n">
        <v>8</v>
      </c>
      <c r="AB128" s="48" t="n">
        <f aca="false">Z128/AA128</f>
        <v>30000000</v>
      </c>
      <c r="AC128" s="114"/>
      <c r="AD128" s="107" t="n">
        <f aca="false">Y128/AB128*1000000000000</f>
        <v>1233.33333333333</v>
      </c>
      <c r="AE128" s="49" t="str">
        <f aca="false">IF(ISNUMBER($Q128),$AD128*1000/2^(($Q128-1.76)/6.02), "")</f>
        <v/>
      </c>
      <c r="AF128" s="49" t="n">
        <f aca="false">$AD128*1000/2^(($X128-1.76)/6.02)</f>
        <v>674.148232260528</v>
      </c>
      <c r="AG128" s="49" t="str">
        <f aca="false">IF(ISNUMBER($Q128), $Q128+10*LOG10($AB128/2/$Y128), "")</f>
        <v/>
      </c>
      <c r="AH128" s="49" t="n">
        <f aca="false">$X128+10*LOG10($AB128/2/$Y128)</f>
        <v>153.078895349887</v>
      </c>
      <c r="AI128" s="52" t="n">
        <f aca="false">AF128/AB128</f>
        <v>2.24716077420176E-005</v>
      </c>
      <c r="AJ128" s="53" t="n">
        <f aca="false">AH128+10*LOG10(AB128)</f>
        <v>227.850107897083</v>
      </c>
    </row>
    <row r="129" customFormat="false" ht="15" hidden="false" customHeight="false" outlineLevel="0" collapsed="false">
      <c r="A129" s="50" t="n">
        <v>2012</v>
      </c>
      <c r="B129" s="45" t="n">
        <v>19.4</v>
      </c>
      <c r="C129" s="43" t="s">
        <v>139</v>
      </c>
      <c r="D129" s="43" t="s">
        <v>1410</v>
      </c>
      <c r="E129" s="43" t="n">
        <v>0.065</v>
      </c>
      <c r="F129" s="45" t="s">
        <v>2415</v>
      </c>
      <c r="G129" s="45" t="s">
        <v>2416</v>
      </c>
      <c r="H129" s="45" t="s">
        <v>984</v>
      </c>
      <c r="I129" s="45" t="s">
        <v>2417</v>
      </c>
      <c r="J129" s="113" t="str">
        <f aca="false">IF(I129&lt;&gt;"?", HYPERLINK(CONCATENATE("https://doi.org/",I129)), "")</f>
        <v>https://doi.org/10.1109/VLSIC.2012.6243842</v>
      </c>
      <c r="K129" s="45" t="s">
        <v>2418</v>
      </c>
      <c r="L129" s="69" t="n">
        <v>1.2</v>
      </c>
      <c r="M129" s="69"/>
      <c r="N129" s="69"/>
      <c r="O129" s="65" t="s">
        <v>117</v>
      </c>
      <c r="P129" s="43" t="n">
        <v>0.075</v>
      </c>
      <c r="Q129" s="41"/>
      <c r="R129" s="48" t="n">
        <f aca="false">AB129/2</f>
        <v>37500000</v>
      </c>
      <c r="S129" s="41" t="n">
        <v>70</v>
      </c>
      <c r="T129" s="41" t="n">
        <v>71</v>
      </c>
      <c r="V129" s="41"/>
      <c r="W129" s="41" t="n">
        <v>77</v>
      </c>
      <c r="X129" s="49" t="n">
        <f aca="false">+IF(ISNUMBER($S129),$S129,MIN($V129,$T129,$U129,$W129))</f>
        <v>70</v>
      </c>
      <c r="Y129" s="48" t="n">
        <v>0.039</v>
      </c>
      <c r="Z129" s="71" t="n">
        <v>2400000000</v>
      </c>
      <c r="AA129" s="50" t="n">
        <v>32</v>
      </c>
      <c r="AB129" s="48" t="n">
        <f aca="false">Z129/AA129</f>
        <v>75000000</v>
      </c>
      <c r="AC129" s="114"/>
      <c r="AD129" s="107" t="n">
        <f aca="false">Y129/AB129*1000000000000</f>
        <v>520</v>
      </c>
      <c r="AE129" s="49" t="str">
        <f aca="false">IF(ISNUMBER($Q129),$AD129*1000/2^(($Q129-1.76)/6.02), "")</f>
        <v/>
      </c>
      <c r="AF129" s="49" t="n">
        <f aca="false">$AD129*1000/2^(($X129-1.76)/6.02)</f>
        <v>201.216377598818</v>
      </c>
      <c r="AG129" s="49" t="str">
        <f aca="false">IF(ISNUMBER($Q129), $Q129+10*LOG10($AB129/2/$Y129), "")</f>
        <v/>
      </c>
      <c r="AH129" s="49" t="n">
        <f aca="false">$X129+10*LOG10($AB129/2/$Y129)</f>
        <v>159.829666607012</v>
      </c>
      <c r="AI129" s="52" t="n">
        <f aca="false">AF129/AB129</f>
        <v>2.6828850346509E-006</v>
      </c>
      <c r="AJ129" s="53" t="n">
        <f aca="false">AH129+10*LOG10(AB129)</f>
        <v>238.580279240929</v>
      </c>
    </row>
    <row r="130" customFormat="false" ht="12.75" hidden="false" customHeight="true" outlineLevel="0" collapsed="false">
      <c r="A130" s="40" t="n">
        <v>2013</v>
      </c>
      <c r="B130" s="45" t="n">
        <v>5.1</v>
      </c>
      <c r="C130" s="43" t="s">
        <v>139</v>
      </c>
      <c r="D130" s="43" t="s">
        <v>173</v>
      </c>
      <c r="E130" s="43" t="n">
        <v>0.055</v>
      </c>
      <c r="F130" s="45" t="s">
        <v>2419</v>
      </c>
      <c r="G130" s="45" t="s">
        <v>2420</v>
      </c>
      <c r="H130" s="45" t="s">
        <v>2421</v>
      </c>
      <c r="I130" s="45" t="s">
        <v>2206</v>
      </c>
      <c r="J130" s="113" t="s">
        <v>2422</v>
      </c>
      <c r="K130" s="45" t="s">
        <v>117</v>
      </c>
      <c r="L130" s="69"/>
      <c r="M130" s="69"/>
      <c r="N130" s="69"/>
      <c r="O130" s="65" t="s">
        <v>117</v>
      </c>
      <c r="P130" s="43" t="n">
        <v>0.071</v>
      </c>
      <c r="Q130" s="41"/>
      <c r="R130" s="48" t="n">
        <f aca="false">AB130/2</f>
        <v>30000000</v>
      </c>
      <c r="S130" s="43" t="n">
        <v>75.1</v>
      </c>
      <c r="T130" s="41" t="n">
        <v>75.9</v>
      </c>
      <c r="U130" s="43" t="n">
        <v>77.1</v>
      </c>
      <c r="V130" s="116"/>
      <c r="W130" s="41"/>
      <c r="X130" s="49" t="n">
        <f aca="false">+IF(ISNUMBER($S130),$S130,MIN($V130,$T130,$U130,$W130))</f>
        <v>75.1</v>
      </c>
      <c r="Y130" s="48" t="n">
        <v>0.013</v>
      </c>
      <c r="Z130" s="71" t="n">
        <v>840000000</v>
      </c>
      <c r="AA130" s="50" t="n">
        <f aca="false">Z130/AB130</f>
        <v>14</v>
      </c>
      <c r="AB130" s="48" t="n">
        <v>60000000</v>
      </c>
      <c r="AC130" s="114"/>
      <c r="AD130" s="107" t="n">
        <f aca="false">Y130/AB130*1000000000000</f>
        <v>216.666666666667</v>
      </c>
      <c r="AE130" s="49" t="str">
        <f aca="false">IF(ISNUMBER($Q130),$AD130*1000/2^(($Q130-1.76)/6.02), "")</f>
        <v/>
      </c>
      <c r="AF130" s="49" t="n">
        <f aca="false">$AD130*1000/2^(($X130-1.76)/6.02)</f>
        <v>46.6043733783958</v>
      </c>
      <c r="AG130" s="49" t="str">
        <f aca="false">IF(ISNUMBER($Q130), $Q130+10*LOG10($AB130/2/$Y130), "")</f>
        <v/>
      </c>
      <c r="AH130" s="49" t="n">
        <f aca="false">$X130+10*LOG10($AB130/2/$Y130)</f>
        <v>168.731779024128</v>
      </c>
      <c r="AI130" s="52" t="n">
        <f aca="false">AF130/AB130</f>
        <v>7.76739556306596E-007</v>
      </c>
      <c r="AJ130" s="53" t="n">
        <f aca="false">AH130+10*LOG10(AB130)</f>
        <v>246.513291527965</v>
      </c>
    </row>
    <row r="131" customFormat="false" ht="14.25" hidden="false" customHeight="true" outlineLevel="0" collapsed="false">
      <c r="A131" s="50" t="n">
        <v>2013</v>
      </c>
      <c r="B131" s="45" t="n">
        <v>5.2</v>
      </c>
      <c r="C131" s="43" t="s">
        <v>139</v>
      </c>
      <c r="D131" s="43" t="s">
        <v>156</v>
      </c>
      <c r="E131" s="43" t="n">
        <v>0.065</v>
      </c>
      <c r="F131" s="45" t="s">
        <v>2423</v>
      </c>
      <c r="G131" s="45" t="s">
        <v>2424</v>
      </c>
      <c r="H131" s="45" t="s">
        <v>2425</v>
      </c>
      <c r="I131" s="45" t="s">
        <v>2206</v>
      </c>
      <c r="J131" s="113" t="s">
        <v>2426</v>
      </c>
      <c r="K131" s="45" t="s">
        <v>117</v>
      </c>
      <c r="L131" s="69"/>
      <c r="M131" s="69"/>
      <c r="N131" s="69"/>
      <c r="O131" s="65" t="s">
        <v>117</v>
      </c>
      <c r="P131" s="43" t="n">
        <v>0.25</v>
      </c>
      <c r="Q131" s="41"/>
      <c r="R131" s="48" t="n">
        <f aca="false">AB131/2</f>
        <v>25000000</v>
      </c>
      <c r="S131" s="41" t="n">
        <v>69</v>
      </c>
      <c r="T131" s="41"/>
      <c r="U131" s="41" t="n">
        <v>70</v>
      </c>
      <c r="V131" s="116"/>
      <c r="W131" s="41"/>
      <c r="X131" s="49" t="n">
        <f aca="false">+IF(ISNUMBER($S131),$S131,MIN($V131,$T131,$U131,$W131))</f>
        <v>69</v>
      </c>
      <c r="Y131" s="48" t="n">
        <v>0.035</v>
      </c>
      <c r="Z131" s="71" t="n">
        <v>800000000</v>
      </c>
      <c r="AA131" s="50" t="n">
        <f aca="false">Z131/AB131</f>
        <v>16</v>
      </c>
      <c r="AB131" s="48" t="n">
        <v>50000000</v>
      </c>
      <c r="AC131" s="114" t="n">
        <v>200000000</v>
      </c>
      <c r="AD131" s="107" t="n">
        <f aca="false">Y131/AB131*1000000000000</f>
        <v>700</v>
      </c>
      <c r="AE131" s="49" t="str">
        <f aca="false">IF(ISNUMBER($Q131),$AD131*1000/2^(($Q131-1.76)/6.02), "")</f>
        <v/>
      </c>
      <c r="AF131" s="49" t="n">
        <f aca="false">$AD131*1000/2^(($X131-1.76)/6.02)</f>
        <v>303.922606661795</v>
      </c>
      <c r="AG131" s="49" t="str">
        <f aca="false">IF(ISNUMBER($Q131), $Q131+10*LOG10($AB131/2/$Y131), "")</f>
        <v/>
      </c>
      <c r="AH131" s="49" t="n">
        <f aca="false">$X131+10*LOG10($AB131/2/$Y131)</f>
        <v>157.538719643218</v>
      </c>
      <c r="AI131" s="52" t="n">
        <f aca="false">AF131/AB131</f>
        <v>6.07845213323591E-006</v>
      </c>
      <c r="AJ131" s="53" t="n">
        <f aca="false">AH131+10*LOG10(AB131)</f>
        <v>234.528419686578</v>
      </c>
    </row>
    <row r="132" customFormat="false" ht="12.75" hidden="false" customHeight="false" outlineLevel="0" collapsed="false">
      <c r="A132" s="50" t="n">
        <v>2013</v>
      </c>
      <c r="B132" s="45" t="n">
        <v>5.3</v>
      </c>
      <c r="C132" s="43" t="s">
        <v>139</v>
      </c>
      <c r="D132" s="43" t="s">
        <v>1799</v>
      </c>
      <c r="E132" s="43" t="n">
        <v>0.022</v>
      </c>
      <c r="F132" s="45" t="s">
        <v>2427</v>
      </c>
      <c r="G132" s="45" t="s">
        <v>2428</v>
      </c>
      <c r="H132" s="117" t="s">
        <v>2429</v>
      </c>
      <c r="I132" s="117" t="s">
        <v>2206</v>
      </c>
      <c r="J132" s="113" t="s">
        <v>2430</v>
      </c>
      <c r="K132" s="45" t="s">
        <v>117</v>
      </c>
      <c r="L132" s="69"/>
      <c r="M132" s="69"/>
      <c r="N132" s="69"/>
      <c r="O132" s="65" t="s">
        <v>117</v>
      </c>
      <c r="P132" s="43" t="n">
        <v>0.04</v>
      </c>
      <c r="Q132" s="41"/>
      <c r="R132" s="48" t="n">
        <f aca="false">AB132/2</f>
        <v>15000000</v>
      </c>
      <c r="S132" s="41" t="n">
        <v>66</v>
      </c>
      <c r="T132" s="41"/>
      <c r="U132" s="41"/>
      <c r="V132" s="116"/>
      <c r="W132" s="41" t="n">
        <v>83</v>
      </c>
      <c r="X132" s="49" t="n">
        <f aca="false">+IF(ISNUMBER($S132),$S132,MIN($V132,$T132,$U132,$W132))</f>
        <v>66</v>
      </c>
      <c r="Y132" s="48" t="n">
        <v>0.0127</v>
      </c>
      <c r="Z132" s="71" t="n">
        <v>240000000</v>
      </c>
      <c r="AA132" s="50" t="n">
        <f aca="false">Z132/AB132</f>
        <v>8</v>
      </c>
      <c r="AB132" s="48" t="n">
        <v>30000000</v>
      </c>
      <c r="AC132" s="114"/>
      <c r="AD132" s="107" t="n">
        <f aca="false">Y132/AB132*1000000000000</f>
        <v>423.333333333333</v>
      </c>
      <c r="AE132" s="49" t="str">
        <f aca="false">IF(ISNUMBER($Q132),$AD132*1000/2^(($Q132-1.76)/6.02), "")</f>
        <v/>
      </c>
      <c r="AF132" s="49" t="n">
        <f aca="false">$AD132*1000/2^(($X132-1.76)/6.02)</f>
        <v>259.634487440245</v>
      </c>
      <c r="AG132" s="49" t="str">
        <f aca="false">IF(ISNUMBER($Q132), $Q132+10*LOG10($AB132/2/$Y132), "")</f>
        <v/>
      </c>
      <c r="AH132" s="49" t="n">
        <f aca="false">$X132+10*LOG10($AB132/2/$Y132)</f>
        <v>156.722875380997</v>
      </c>
      <c r="AI132" s="52" t="n">
        <f aca="false">AF132/AB132</f>
        <v>8.65448291467484E-006</v>
      </c>
      <c r="AJ132" s="53" t="n">
        <f aca="false">AH132+10*LOG10(AB132)</f>
        <v>231.494087928194</v>
      </c>
    </row>
    <row r="133" customFormat="false" ht="12.75" hidden="false" customHeight="false" outlineLevel="0" collapsed="false">
      <c r="A133" s="50" t="n">
        <v>2013</v>
      </c>
      <c r="B133" s="45" t="n">
        <v>5.4</v>
      </c>
      <c r="C133" s="43" t="s">
        <v>139</v>
      </c>
      <c r="D133" s="43" t="s">
        <v>981</v>
      </c>
      <c r="E133" s="43" t="n">
        <v>0.18</v>
      </c>
      <c r="F133" s="45" t="s">
        <v>2431</v>
      </c>
      <c r="G133" s="45" t="s">
        <v>2432</v>
      </c>
      <c r="H133" s="45" t="s">
        <v>2433</v>
      </c>
      <c r="I133" s="45" t="s">
        <v>2206</v>
      </c>
      <c r="J133" s="113" t="s">
        <v>2434</v>
      </c>
      <c r="K133" s="45" t="s">
        <v>117</v>
      </c>
      <c r="L133" s="69"/>
      <c r="M133" s="69"/>
      <c r="N133" s="69"/>
      <c r="O133" s="65" t="s">
        <v>117</v>
      </c>
      <c r="P133" s="43" t="n">
        <v>0.06</v>
      </c>
      <c r="Q133" s="41"/>
      <c r="R133" s="48" t="n">
        <f aca="false">AB133/2</f>
        <v>2000</v>
      </c>
      <c r="S133" s="41" t="n">
        <v>58.5</v>
      </c>
      <c r="T133" s="41" t="n">
        <v>59.8</v>
      </c>
      <c r="U133" s="41"/>
      <c r="V133" s="116"/>
      <c r="W133" s="41" t="n">
        <v>65.3</v>
      </c>
      <c r="X133" s="49" t="n">
        <f aca="false">+IF(ISNUMBER($S133),$S133,MIN($V133,$T133,$U133,$W133))</f>
        <v>58.5</v>
      </c>
      <c r="Y133" s="48" t="n">
        <v>3.79E-007</v>
      </c>
      <c r="Z133" s="71" t="n">
        <v>25000</v>
      </c>
      <c r="AA133" s="50" t="n">
        <f aca="false">Z133/AB133</f>
        <v>6.25</v>
      </c>
      <c r="AB133" s="48" t="n">
        <v>4000</v>
      </c>
      <c r="AC133" s="114"/>
      <c r="AD133" s="107" t="n">
        <f aca="false">Y133/AB133*1000000000000</f>
        <v>94.75</v>
      </c>
      <c r="AE133" s="49" t="str">
        <f aca="false">IF(ISNUMBER($Q133),$AD133*1000/2^(($Q133-1.76)/6.02), "")</f>
        <v/>
      </c>
      <c r="AF133" s="49" t="n">
        <f aca="false">$AD133*1000/2^(($X133-1.76)/6.02)</f>
        <v>137.815003997943</v>
      </c>
      <c r="AG133" s="49" t="str">
        <f aca="false">IF(ISNUMBER($Q133), $Q133+10*LOG10($AB133/2/$Y133), "")</f>
        <v/>
      </c>
      <c r="AH133" s="49" t="n">
        <f aca="false">$X133+10*LOG10($AB133/2/$Y133)</f>
        <v>155.723907856959</v>
      </c>
      <c r="AI133" s="52" t="n">
        <f aca="false">AF133/AB133</f>
        <v>0.0344537509994857</v>
      </c>
      <c r="AJ133" s="53" t="n">
        <f aca="false">AH133+10*LOG10(AB133)</f>
        <v>191.744507770239</v>
      </c>
    </row>
    <row r="134" customFormat="false" ht="12.75" hidden="false" customHeight="false" outlineLevel="0" collapsed="false">
      <c r="A134" s="50" t="n">
        <v>2013</v>
      </c>
      <c r="B134" s="45" t="n">
        <v>5.5</v>
      </c>
      <c r="C134" s="43" t="s">
        <v>139</v>
      </c>
      <c r="D134" s="43" t="s">
        <v>1410</v>
      </c>
      <c r="E134" s="43" t="n">
        <v>0.09</v>
      </c>
      <c r="F134" s="45" t="s">
        <v>2435</v>
      </c>
      <c r="G134" s="45" t="s">
        <v>2436</v>
      </c>
      <c r="H134" s="117" t="s">
        <v>2437</v>
      </c>
      <c r="I134" s="117" t="s">
        <v>2206</v>
      </c>
      <c r="J134" s="113" t="s">
        <v>2438</v>
      </c>
      <c r="K134" s="45" t="s">
        <v>117</v>
      </c>
      <c r="L134" s="69"/>
      <c r="M134" s="69"/>
      <c r="N134" s="69"/>
      <c r="O134" s="65" t="s">
        <v>117</v>
      </c>
      <c r="P134" s="43" t="n">
        <v>0.16</v>
      </c>
      <c r="Q134" s="41"/>
      <c r="R134" s="48" t="n">
        <f aca="false">AB134/2</f>
        <v>5000000</v>
      </c>
      <c r="S134" s="41" t="n">
        <v>73.9</v>
      </c>
      <c r="T134" s="41" t="n">
        <v>75.4</v>
      </c>
      <c r="U134" s="41"/>
      <c r="V134" s="116"/>
      <c r="W134" s="41" t="n">
        <v>83</v>
      </c>
      <c r="X134" s="49" t="n">
        <f aca="false">+IF(ISNUMBER($S134),$S134,MIN($V134,$T134,$U134,$W134))</f>
        <v>73.9</v>
      </c>
      <c r="Y134" s="48" t="n">
        <v>0.0041</v>
      </c>
      <c r="Z134" s="71" t="n">
        <v>640000000</v>
      </c>
      <c r="AA134" s="50" t="n">
        <f aca="false">Z134/AB134</f>
        <v>64</v>
      </c>
      <c r="AB134" s="48" t="n">
        <v>10000000</v>
      </c>
      <c r="AC134" s="114"/>
      <c r="AD134" s="107" t="n">
        <f aca="false">Y134/AB134*1000000000000</f>
        <v>410</v>
      </c>
      <c r="AE134" s="49" t="str">
        <f aca="false">IF(ISNUMBER($Q134),$AD134*1000/2^(($Q134-1.76)/6.02), "")</f>
        <v/>
      </c>
      <c r="AF134" s="49" t="n">
        <f aca="false">$AD134*1000/2^(($X134-1.76)/6.02)</f>
        <v>101.256848654169</v>
      </c>
      <c r="AG134" s="49" t="str">
        <f aca="false">IF(ISNUMBER($Q134), $Q134+10*LOG10($AB134/2/$Y134), "")</f>
        <v/>
      </c>
      <c r="AH134" s="49" t="n">
        <f aca="false">$X134+10*LOG10($AB134/2/$Y134)</f>
        <v>164.761861476163</v>
      </c>
      <c r="AI134" s="52" t="n">
        <f aca="false">AF134/AB134</f>
        <v>1.01256848654169E-005</v>
      </c>
      <c r="AJ134" s="53" t="n">
        <f aca="false">AH134+10*LOG10(AB134)</f>
        <v>234.761861476163</v>
      </c>
    </row>
    <row r="135" customFormat="false" ht="12.75" hidden="false" customHeight="false" outlineLevel="0" collapsed="false">
      <c r="A135" s="50" t="n">
        <v>2013</v>
      </c>
      <c r="B135" s="45" t="n">
        <v>8.1</v>
      </c>
      <c r="C135" s="43" t="s">
        <v>111</v>
      </c>
      <c r="D135" s="43" t="s">
        <v>191</v>
      </c>
      <c r="E135" s="43" t="n">
        <v>0.028</v>
      </c>
      <c r="F135" s="45" t="s">
        <v>2439</v>
      </c>
      <c r="G135" s="45" t="s">
        <v>2440</v>
      </c>
      <c r="H135" s="117" t="s">
        <v>2441</v>
      </c>
      <c r="I135" s="117" t="s">
        <v>2206</v>
      </c>
      <c r="J135" s="113" t="s">
        <v>2442</v>
      </c>
      <c r="K135" s="17" t="s">
        <v>2443</v>
      </c>
      <c r="L135" s="53"/>
      <c r="M135" s="53"/>
      <c r="N135" s="53"/>
      <c r="O135" s="65" t="s">
        <v>117</v>
      </c>
      <c r="P135" s="43" t="n">
        <v>0.4</v>
      </c>
      <c r="Q135" s="41" t="n">
        <v>61</v>
      </c>
      <c r="R135" s="48" t="n">
        <f aca="false">AB135/2</f>
        <v>2700000000</v>
      </c>
      <c r="S135" s="54"/>
      <c r="T135" s="41" t="n">
        <v>50</v>
      </c>
      <c r="U135" s="41"/>
      <c r="V135" s="41" t="n">
        <v>57</v>
      </c>
      <c r="W135" s="41" t="n">
        <v>65</v>
      </c>
      <c r="X135" s="49" t="n">
        <f aca="false">+IF(ISNUMBER($S135),$S135,MIN($V135,$T135,$U135,$W135))</f>
        <v>50</v>
      </c>
      <c r="Y135" s="48" t="n">
        <v>0.5</v>
      </c>
      <c r="Z135" s="71" t="n">
        <v>5400000000</v>
      </c>
      <c r="AA135" s="50" t="n">
        <v>1</v>
      </c>
      <c r="AB135" s="48" t="n">
        <f aca="false">Z135/AA135</f>
        <v>5400000000</v>
      </c>
      <c r="AC135" s="114"/>
      <c r="AD135" s="107" t="n">
        <f aca="false">Y135/AB135*1000000000000</f>
        <v>92.5925925925926</v>
      </c>
      <c r="AE135" s="49" t="n">
        <f aca="false">IF(ISNUMBER($Q135),$AD135*1000/2^(($Q135-1.76)/6.02), "")</f>
        <v>100.990627630283</v>
      </c>
      <c r="AF135" s="49" t="n">
        <f aca="false">$AD135*1000/2^(($X135-1.76)/6.02)</f>
        <v>358.373493730671</v>
      </c>
      <c r="AG135" s="49" t="n">
        <f aca="false">IF(ISNUMBER($Q135), $Q135+10*LOG10($AB135/2/$Y135), "")</f>
        <v>158.32393759823</v>
      </c>
      <c r="AH135" s="49" t="n">
        <f aca="false">$X135+10*LOG10($AB135/2/$Y135)</f>
        <v>147.32393759823</v>
      </c>
      <c r="AI135" s="52" t="n">
        <f aca="false">AF135/AB135</f>
        <v>6.63654618019762E-008</v>
      </c>
      <c r="AJ135" s="53" t="n">
        <f aca="false">AH135+10*LOG10(AB135)</f>
        <v>244.647875196459</v>
      </c>
    </row>
    <row r="136" customFormat="false" ht="12.75" hidden="false" customHeight="false" outlineLevel="0" collapsed="false">
      <c r="A136" s="50" t="n">
        <v>2013</v>
      </c>
      <c r="B136" s="45" t="n">
        <v>8.2</v>
      </c>
      <c r="C136" s="43" t="s">
        <v>111</v>
      </c>
      <c r="D136" s="43" t="s">
        <v>133</v>
      </c>
      <c r="E136" s="43" t="n">
        <v>0.18</v>
      </c>
      <c r="F136" s="45" t="s">
        <v>2444</v>
      </c>
      <c r="G136" s="45" t="s">
        <v>2445</v>
      </c>
      <c r="H136" s="117" t="s">
        <v>2446</v>
      </c>
      <c r="I136" s="117" t="s">
        <v>2206</v>
      </c>
      <c r="J136" s="113" t="s">
        <v>2447</v>
      </c>
      <c r="K136" s="45" t="s">
        <v>2448</v>
      </c>
      <c r="L136" s="69" t="n">
        <v>1.2</v>
      </c>
      <c r="M136" s="69"/>
      <c r="N136" s="69"/>
      <c r="O136" s="65" t="s">
        <v>117</v>
      </c>
      <c r="P136" s="43" t="n">
        <v>1.98</v>
      </c>
      <c r="Q136" s="41"/>
      <c r="R136" s="48" t="n">
        <f aca="false">AB136/2</f>
        <v>10000000</v>
      </c>
      <c r="S136" s="41" t="n">
        <v>75.9</v>
      </c>
      <c r="T136" s="41" t="n">
        <v>76.1</v>
      </c>
      <c r="U136" s="41"/>
      <c r="V136" s="116"/>
      <c r="W136" s="41" t="n">
        <v>91.4</v>
      </c>
      <c r="X136" s="49" t="n">
        <f aca="false">+IF(ISNUMBER($S136),$S136,MIN($V136,$T136,$U136,$W136))</f>
        <v>75.9</v>
      </c>
      <c r="Y136" s="48" t="n">
        <v>0.00296</v>
      </c>
      <c r="Z136" s="71" t="n">
        <v>20000000</v>
      </c>
      <c r="AA136" s="50" t="n">
        <v>1</v>
      </c>
      <c r="AB136" s="48" t="n">
        <f aca="false">Z136/AA136</f>
        <v>20000000</v>
      </c>
      <c r="AC136" s="114"/>
      <c r="AD136" s="107" t="n">
        <f aca="false">Y136/AB136*1000000000000</f>
        <v>148</v>
      </c>
      <c r="AE136" s="49" t="str">
        <f aca="false">IF(ISNUMBER($Q136),$AD136*1000/2^(($Q136-1.76)/6.02), "")</f>
        <v/>
      </c>
      <c r="AF136" s="49" t="n">
        <f aca="false">$AD136*1000/2^(($X136-1.76)/6.02)</f>
        <v>29.0330258216705</v>
      </c>
      <c r="AG136" s="49" t="str">
        <f aca="false">IF(ISNUMBER($Q136), $Q136+10*LOG10($AB136/2/$Y136), "")</f>
        <v/>
      </c>
      <c r="AH136" s="49" t="n">
        <f aca="false">$X136+10*LOG10($AB136/2/$Y136)</f>
        <v>171.187082889411</v>
      </c>
      <c r="AI136" s="52" t="n">
        <f aca="false">AF136/AB136</f>
        <v>1.45165129108353E-006</v>
      </c>
      <c r="AJ136" s="53" t="n">
        <f aca="false">AH136+10*LOG10(AB136)</f>
        <v>244.19738284605</v>
      </c>
    </row>
    <row r="137" customFormat="false" ht="12.75" hidden="false" customHeight="false" outlineLevel="0" collapsed="false">
      <c r="A137" s="50" t="n">
        <v>2013</v>
      </c>
      <c r="B137" s="45" t="n">
        <v>8.3</v>
      </c>
      <c r="C137" s="43" t="s">
        <v>111</v>
      </c>
      <c r="D137" s="43" t="s">
        <v>133</v>
      </c>
      <c r="E137" s="43" t="n">
        <v>0.13</v>
      </c>
      <c r="F137" s="45" t="s">
        <v>2449</v>
      </c>
      <c r="G137" s="45" t="s">
        <v>2450</v>
      </c>
      <c r="H137" s="117" t="s">
        <v>2451</v>
      </c>
      <c r="I137" s="117" t="s">
        <v>2206</v>
      </c>
      <c r="J137" s="113" t="s">
        <v>2452</v>
      </c>
      <c r="K137" s="45" t="s">
        <v>117</v>
      </c>
      <c r="L137" s="69" t="n">
        <v>1.3</v>
      </c>
      <c r="M137" s="69"/>
      <c r="N137" s="69"/>
      <c r="O137" s="65" t="s">
        <v>117</v>
      </c>
      <c r="P137" s="43" t="n">
        <v>0.5</v>
      </c>
      <c r="Q137" s="41" t="n">
        <v>69.3</v>
      </c>
      <c r="R137" s="48" t="n">
        <v>20000000</v>
      </c>
      <c r="S137" s="41" t="n">
        <v>65.2</v>
      </c>
      <c r="T137" s="41" t="n">
        <v>66.1</v>
      </c>
      <c r="U137" s="41"/>
      <c r="V137" s="116"/>
      <c r="W137" s="41"/>
      <c r="X137" s="49" t="n">
        <f aca="false">+IF(ISNUMBER($S137),$S137,MIN($V137,$T137,$U137,$W137))</f>
        <v>65.2</v>
      </c>
      <c r="Y137" s="48" t="n">
        <v>0.00638</v>
      </c>
      <c r="Z137" s="71" t="n">
        <v>70000000</v>
      </c>
      <c r="AA137" s="50" t="n">
        <v>1</v>
      </c>
      <c r="AB137" s="48" t="n">
        <f aca="false">Z137/AA137</f>
        <v>70000000</v>
      </c>
      <c r="AC137" s="114"/>
      <c r="AD137" s="107" t="n">
        <f aca="false">Y137/AB137*1000000000000</f>
        <v>91.1428571428572</v>
      </c>
      <c r="AE137" s="49" t="n">
        <f aca="false">IF(ISNUMBER($Q137),$AD137*1000/2^(($Q137-1.76)/6.02), "")</f>
        <v>38.2283989184036</v>
      </c>
      <c r="AF137" s="49" t="n">
        <f aca="false">$AD137*1000/2^(($X137-1.76)/6.02)</f>
        <v>61.2923874471208</v>
      </c>
      <c r="AG137" s="49" t="n">
        <f aca="false">IF(ISNUMBER($Q137), $Q137+10*LOG10($AB137/2/$Y137), "")</f>
        <v>166.692473656291</v>
      </c>
      <c r="AH137" s="49" t="n">
        <f aca="false">$X137+10*LOG10($AB137/2/$Y137)</f>
        <v>162.592473656291</v>
      </c>
      <c r="AI137" s="52" t="n">
        <f aca="false">AF137/AB137</f>
        <v>8.75605534958869E-007</v>
      </c>
      <c r="AJ137" s="53" t="n">
        <f aca="false">AH137+10*LOG10(AB137)</f>
        <v>241.043454056434</v>
      </c>
    </row>
    <row r="138" customFormat="false" ht="12.75" hidden="false" customHeight="false" outlineLevel="0" collapsed="false">
      <c r="A138" s="50" t="n">
        <v>2013</v>
      </c>
      <c r="B138" s="45" t="n">
        <v>8.4</v>
      </c>
      <c r="C138" s="43" t="s">
        <v>111</v>
      </c>
      <c r="D138" s="43" t="s">
        <v>133</v>
      </c>
      <c r="E138" s="43" t="n">
        <v>0.065</v>
      </c>
      <c r="F138" s="45" t="s">
        <v>2453</v>
      </c>
      <c r="G138" s="45" t="s">
        <v>2454</v>
      </c>
      <c r="H138" s="117" t="s">
        <v>2455</v>
      </c>
      <c r="I138" s="117" t="s">
        <v>2206</v>
      </c>
      <c r="J138" s="113" t="s">
        <v>2456</v>
      </c>
      <c r="K138" s="45" t="s">
        <v>117</v>
      </c>
      <c r="L138" s="69" t="n">
        <v>1</v>
      </c>
      <c r="M138" s="69"/>
      <c r="N138" s="69"/>
      <c r="O138" s="65" t="n">
        <v>8</v>
      </c>
      <c r="P138" s="43" t="n">
        <v>0.26</v>
      </c>
      <c r="Q138" s="41" t="n">
        <v>65</v>
      </c>
      <c r="R138" s="48" t="n">
        <f aca="false">AB138/2</f>
        <v>100000000</v>
      </c>
      <c r="S138" s="41" t="n">
        <v>57.6</v>
      </c>
      <c r="T138" s="41"/>
      <c r="U138" s="41"/>
      <c r="V138" s="116"/>
      <c r="W138" s="41" t="n">
        <v>63</v>
      </c>
      <c r="X138" s="49" t="n">
        <f aca="false">+IF(ISNUMBER($S138),$S138,MIN($V138,$T138,$U138,$W138))</f>
        <v>57.6</v>
      </c>
      <c r="Y138" s="48" t="n">
        <v>0.0115</v>
      </c>
      <c r="Z138" s="71" t="n">
        <v>200000000</v>
      </c>
      <c r="AA138" s="50" t="n">
        <v>1</v>
      </c>
      <c r="AB138" s="48" t="n">
        <f aca="false">Z138/AA138</f>
        <v>200000000</v>
      </c>
      <c r="AC138" s="114"/>
      <c r="AD138" s="107" t="n">
        <f aca="false">Y138/AB138*1000000000000</f>
        <v>57.5</v>
      </c>
      <c r="AE138" s="49" t="n">
        <f aca="false">IF(ISNUMBER($Q138),$AD138*1000/2^(($Q138-1.76)/6.02), "")</f>
        <v>39.568787343646</v>
      </c>
      <c r="AF138" s="49" t="n">
        <f aca="false">$AD138*1000/2^(($X138-1.76)/6.02)</f>
        <v>92.7661670224512</v>
      </c>
      <c r="AG138" s="49" t="n">
        <f aca="false">IF(ISNUMBER($Q138), $Q138+10*LOG10($AB138/2/$Y138), "")</f>
        <v>164.393021596464</v>
      </c>
      <c r="AH138" s="49" t="n">
        <f aca="false">$X138+10*LOG10($AB138/2/$Y138)</f>
        <v>156.993021596464</v>
      </c>
      <c r="AI138" s="52" t="n">
        <f aca="false">AF138/AB138</f>
        <v>4.63830835112256E-007</v>
      </c>
      <c r="AJ138" s="53" t="n">
        <f aca="false">AH138+10*LOG10(AB138)</f>
        <v>240.003321553104</v>
      </c>
    </row>
    <row r="139" customFormat="false" ht="12.75" hidden="false" customHeight="false" outlineLevel="0" collapsed="false">
      <c r="A139" s="50" t="n">
        <v>2013</v>
      </c>
      <c r="B139" s="45" t="n">
        <v>8.5</v>
      </c>
      <c r="C139" s="43" t="s">
        <v>111</v>
      </c>
      <c r="D139" s="43" t="s">
        <v>133</v>
      </c>
      <c r="E139" s="43" t="n">
        <v>0.065</v>
      </c>
      <c r="F139" s="45" t="s">
        <v>2457</v>
      </c>
      <c r="G139" s="45" t="s">
        <v>2458</v>
      </c>
      <c r="H139" s="45" t="s">
        <v>2459</v>
      </c>
      <c r="I139" s="45" t="s">
        <v>2206</v>
      </c>
      <c r="J139" s="113" t="s">
        <v>2460</v>
      </c>
      <c r="K139" s="45" t="s">
        <v>117</v>
      </c>
      <c r="L139" s="69"/>
      <c r="M139" s="69"/>
      <c r="N139" s="69"/>
      <c r="O139" s="65" t="s">
        <v>117</v>
      </c>
      <c r="P139" s="43" t="n">
        <v>0.18</v>
      </c>
      <c r="Q139" s="41" t="n">
        <v>55</v>
      </c>
      <c r="R139" s="48" t="n">
        <f aca="false">AB139/2</f>
        <v>400000000</v>
      </c>
      <c r="S139" s="41" t="n">
        <v>52.2</v>
      </c>
      <c r="T139" s="41"/>
      <c r="U139" s="41"/>
      <c r="V139" s="116"/>
      <c r="W139" s="41"/>
      <c r="X139" s="49" t="n">
        <f aca="false">+IF(ISNUMBER($S139),$S139,MIN($V139,$T139,$U139,$W139))</f>
        <v>52.2</v>
      </c>
      <c r="Y139" s="48" t="n">
        <v>0.019</v>
      </c>
      <c r="Z139" s="71" t="n">
        <v>800000000</v>
      </c>
      <c r="AA139" s="50" t="n">
        <v>1</v>
      </c>
      <c r="AB139" s="48" t="n">
        <f aca="false">Z139/AA139</f>
        <v>800000000</v>
      </c>
      <c r="AC139" s="114"/>
      <c r="AD139" s="107" t="n">
        <f aca="false">Y139/AB139*1000000000000</f>
        <v>23.75</v>
      </c>
      <c r="AE139" s="49" t="n">
        <f aca="false">IF(ISNUMBER($Q139),$AD139*1000/2^(($Q139-1.76)/6.02), "")</f>
        <v>51.6890245787419</v>
      </c>
      <c r="AF139" s="49" t="n">
        <f aca="false">$AD139*1000/2^(($X139-1.76)/6.02)</f>
        <v>71.3530083205393</v>
      </c>
      <c r="AG139" s="49" t="n">
        <f aca="false">IF(ISNUMBER($Q139), $Q139+10*LOG10($AB139/2/$Y139), "")</f>
        <v>158.233063903751</v>
      </c>
      <c r="AH139" s="49" t="n">
        <f aca="false">$X139+10*LOG10($AB139/2/$Y139)</f>
        <v>155.433063903751</v>
      </c>
      <c r="AI139" s="52" t="n">
        <f aca="false">AF139/AB139</f>
        <v>8.91912604006741E-008</v>
      </c>
      <c r="AJ139" s="53" t="n">
        <f aca="false">AH139+10*LOG10(AB139)</f>
        <v>244.463963773671</v>
      </c>
    </row>
    <row r="140" customFormat="false" ht="12.75" hidden="false" customHeight="false" outlineLevel="0" collapsed="false">
      <c r="A140" s="50" t="n">
        <v>2013</v>
      </c>
      <c r="B140" s="45" t="n">
        <v>21.1</v>
      </c>
      <c r="C140" s="43" t="s">
        <v>111</v>
      </c>
      <c r="D140" s="43" t="s">
        <v>548</v>
      </c>
      <c r="E140" s="43" t="n">
        <v>0.032</v>
      </c>
      <c r="F140" s="45" t="s">
        <v>2461</v>
      </c>
      <c r="G140" s="45" t="s">
        <v>2462</v>
      </c>
      <c r="H140" s="45" t="s">
        <v>2463</v>
      </c>
      <c r="I140" s="45" t="s">
        <v>2206</v>
      </c>
      <c r="J140" s="113" t="s">
        <v>2464</v>
      </c>
      <c r="K140" s="45" t="s">
        <v>117</v>
      </c>
      <c r="L140" s="69" t="n">
        <v>1</v>
      </c>
      <c r="M140" s="69"/>
      <c r="N140" s="69"/>
      <c r="O140" s="65" t="n">
        <v>0.128</v>
      </c>
      <c r="P140" s="43" t="n">
        <v>0.025</v>
      </c>
      <c r="Q140" s="41" t="n">
        <f aca="false">6.2*6.02+1.76</f>
        <v>39.084</v>
      </c>
      <c r="R140" s="48" t="n">
        <v>3810000000</v>
      </c>
      <c r="S140" s="41" t="n">
        <v>36.98</v>
      </c>
      <c r="T140" s="41" t="n">
        <v>38.56</v>
      </c>
      <c r="U140" s="41"/>
      <c r="V140" s="116"/>
      <c r="W140" s="41" t="n">
        <v>48.76</v>
      </c>
      <c r="X140" s="49" t="n">
        <f aca="false">+IF(ISNUMBER($S140),$S140,MIN($V140,$T140,$U140,$W140))</f>
        <v>36.98</v>
      </c>
      <c r="Y140" s="48" t="n">
        <v>0.035</v>
      </c>
      <c r="Z140" s="71" t="n">
        <v>8800000000</v>
      </c>
      <c r="AA140" s="50" t="n">
        <v>1</v>
      </c>
      <c r="AB140" s="48" t="n">
        <f aca="false">Z140/AA140</f>
        <v>8800000000</v>
      </c>
      <c r="AC140" s="114"/>
      <c r="AD140" s="107" t="n">
        <f aca="false">Y140/AB140*1000000000000</f>
        <v>3.97727272727273</v>
      </c>
      <c r="AE140" s="49" t="n">
        <f aca="false">IF(ISNUMBER($Q140),$AD140*1000/2^(($Q140-1.76)/6.02), "")</f>
        <v>54.1002658298373</v>
      </c>
      <c r="AF140" s="49" t="n">
        <f aca="false">$AD140*1000/2^(($X140-1.76)/6.02)</f>
        <v>68.9302546024651</v>
      </c>
      <c r="AG140" s="49" t="n">
        <f aca="false">IF(ISNUMBER($Q140), $Q140+10*LOG10($AB140/2/$Y140), "")</f>
        <v>150.077846321359</v>
      </c>
      <c r="AH140" s="49" t="n">
        <f aca="false">$X140+10*LOG10($AB140/2/$Y140)</f>
        <v>147.973846321359</v>
      </c>
      <c r="AI140" s="52" t="n">
        <f aca="false">AF140/AB140</f>
        <v>7.83298347755285E-009</v>
      </c>
      <c r="AJ140" s="53" t="n">
        <f aca="false">AH140+10*LOG10(AB140)</f>
        <v>247.418673042861</v>
      </c>
    </row>
    <row r="141" customFormat="false" ht="12.75" hidden="false" customHeight="false" outlineLevel="0" collapsed="false">
      <c r="A141" s="50" t="n">
        <v>2013</v>
      </c>
      <c r="B141" s="45" t="n">
        <v>21.3</v>
      </c>
      <c r="C141" s="43" t="s">
        <v>111</v>
      </c>
      <c r="D141" s="43" t="s">
        <v>208</v>
      </c>
      <c r="E141" s="43" t="n">
        <v>0.032</v>
      </c>
      <c r="F141" s="45" t="s">
        <v>2465</v>
      </c>
      <c r="G141" s="45" t="s">
        <v>2466</v>
      </c>
      <c r="H141" s="117" t="s">
        <v>2467</v>
      </c>
      <c r="I141" s="117" t="s">
        <v>2206</v>
      </c>
      <c r="J141" s="113" t="s">
        <v>2468</v>
      </c>
      <c r="K141" s="45" t="s">
        <v>117</v>
      </c>
      <c r="L141" s="69"/>
      <c r="M141" s="69"/>
      <c r="N141" s="69"/>
      <c r="O141" s="65" t="n">
        <v>0.1</v>
      </c>
      <c r="P141" s="43" t="n">
        <v>0.02</v>
      </c>
      <c r="Q141" s="41" t="n">
        <v>33.4</v>
      </c>
      <c r="R141" s="48" t="n">
        <f aca="false">AB141/2</f>
        <v>2500000000</v>
      </c>
      <c r="S141" s="41" t="n">
        <v>30.9</v>
      </c>
      <c r="T141" s="41"/>
      <c r="U141" s="41"/>
      <c r="V141" s="116"/>
      <c r="W141" s="41"/>
      <c r="X141" s="49" t="n">
        <f aca="false">+IF(ISNUMBER($S141),$S141,MIN($V141,$T141,$U141,$W141))</f>
        <v>30.9</v>
      </c>
      <c r="Y141" s="48" t="n">
        <v>0.0085</v>
      </c>
      <c r="Z141" s="71" t="n">
        <v>5000000000</v>
      </c>
      <c r="AA141" s="50" t="n">
        <v>1</v>
      </c>
      <c r="AB141" s="48" t="n">
        <f aca="false">Z141/AA141</f>
        <v>5000000000</v>
      </c>
      <c r="AC141" s="114"/>
      <c r="AD141" s="107" t="n">
        <f aca="false">Y141/AB141*1000000000000</f>
        <v>1.7</v>
      </c>
      <c r="AE141" s="49" t="n">
        <f aca="false">IF(ISNUMBER($Q141),$AD141*1000/2^(($Q141-1.76)/6.02), "")</f>
        <v>44.4929569845572</v>
      </c>
      <c r="AF141" s="49" t="n">
        <f aca="false">$AD141*1000/2^(($X141-1.76)/6.02)</f>
        <v>59.3340135453442</v>
      </c>
      <c r="AG141" s="49" t="n">
        <f aca="false">IF(ISNUMBER($Q141), $Q141+10*LOG10($AB141/2/$Y141), "")</f>
        <v>148.085210829577</v>
      </c>
      <c r="AH141" s="49" t="n">
        <f aca="false">$X141+10*LOG10($AB141/2/$Y141)</f>
        <v>145.585210829577</v>
      </c>
      <c r="AI141" s="52" t="n">
        <f aca="false">AF141/AB141</f>
        <v>1.18668027090688E-008</v>
      </c>
      <c r="AJ141" s="53" t="n">
        <f aca="false">AH141+10*LOG10(AB141)</f>
        <v>242.574910872938</v>
      </c>
    </row>
    <row r="142" customFormat="false" ht="12.75" hidden="false" customHeight="false" outlineLevel="0" collapsed="false">
      <c r="A142" s="50" t="n">
        <v>2013</v>
      </c>
      <c r="B142" s="45" t="n">
        <v>21.4</v>
      </c>
      <c r="C142" s="43" t="s">
        <v>111</v>
      </c>
      <c r="D142" s="43" t="s">
        <v>112</v>
      </c>
      <c r="E142" s="43" t="n">
        <v>0.04</v>
      </c>
      <c r="F142" s="45" t="s">
        <v>2469</v>
      </c>
      <c r="G142" s="45" t="s">
        <v>2470</v>
      </c>
      <c r="H142" s="45" t="s">
        <v>2471</v>
      </c>
      <c r="I142" s="45" t="s">
        <v>2206</v>
      </c>
      <c r="J142" s="113" t="s">
        <v>2472</v>
      </c>
      <c r="K142" s="45" t="s">
        <v>117</v>
      </c>
      <c r="L142" s="69" t="n">
        <v>0.7</v>
      </c>
      <c r="M142" s="69"/>
      <c r="N142" s="69"/>
      <c r="O142" s="65" t="n">
        <v>0.064</v>
      </c>
      <c r="P142" s="43" t="n">
        <v>0.0058</v>
      </c>
      <c r="Q142" s="41"/>
      <c r="R142" s="48" t="n">
        <f aca="false">AB142/2</f>
        <v>12288000</v>
      </c>
      <c r="S142" s="41" t="n">
        <v>44.2</v>
      </c>
      <c r="T142" s="41"/>
      <c r="U142" s="41"/>
      <c r="V142" s="116"/>
      <c r="W142" s="41"/>
      <c r="X142" s="49" t="n">
        <f aca="false">+IF(ISNUMBER($S142),$S142,MIN($V142,$T142,$U142,$W142))</f>
        <v>44.2</v>
      </c>
      <c r="Y142" s="48" t="n">
        <v>5.46E-005</v>
      </c>
      <c r="Z142" s="71" t="n">
        <v>24576000</v>
      </c>
      <c r="AA142" s="50" t="n">
        <v>1</v>
      </c>
      <c r="AB142" s="48" t="n">
        <f aca="false">Z142/AA142</f>
        <v>24576000</v>
      </c>
      <c r="AC142" s="114"/>
      <c r="AD142" s="107" t="n">
        <f aca="false">Y142/AB142*1000000000000</f>
        <v>2.2216796875</v>
      </c>
      <c r="AE142" s="49" t="str">
        <f aca="false">IF(ISNUMBER($Q142),$AD142*1000/2^(($Q142-1.76)/6.02), "")</f>
        <v/>
      </c>
      <c r="AF142" s="49" t="n">
        <f aca="false">$AD142*1000/2^(($X142-1.76)/6.02)</f>
        <v>16.767564279274</v>
      </c>
      <c r="AG142" s="49" t="str">
        <f aca="false">IF(ISNUMBER($Q142), $Q142+10*LOG10($AB142/2/$Y142), "")</f>
        <v/>
      </c>
      <c r="AH142" s="49" t="n">
        <f aca="false">$X142+10*LOG10($AB142/2/$Y142)</f>
        <v>157.722885599827</v>
      </c>
      <c r="AI142" s="52" t="n">
        <f aca="false">AF142/AB142</f>
        <v>6.82273937144937E-007</v>
      </c>
      <c r="AJ142" s="53" t="n">
        <f aca="false">AH142+10*LOG10(AB142)</f>
        <v>231.627997583341</v>
      </c>
    </row>
    <row r="143" customFormat="false" ht="12.75" hidden="false" customHeight="false" outlineLevel="0" collapsed="false">
      <c r="A143" s="50" t="n">
        <v>2013</v>
      </c>
      <c r="B143" s="45" t="n">
        <v>21.5</v>
      </c>
      <c r="C143" s="43" t="s">
        <v>111</v>
      </c>
      <c r="D143" s="43" t="s">
        <v>133</v>
      </c>
      <c r="E143" s="43" t="n">
        <v>0.028</v>
      </c>
      <c r="F143" s="45" t="s">
        <v>2473</v>
      </c>
      <c r="G143" s="117" t="s">
        <v>2474</v>
      </c>
      <c r="H143" s="45" t="s">
        <v>2475</v>
      </c>
      <c r="I143" s="45" t="s">
        <v>2206</v>
      </c>
      <c r="J143" s="113" t="s">
        <v>2476</v>
      </c>
      <c r="K143" s="45" t="s">
        <v>117</v>
      </c>
      <c r="L143" s="69"/>
      <c r="M143" s="69"/>
      <c r="N143" s="69"/>
      <c r="O143" s="65" t="s">
        <v>117</v>
      </c>
      <c r="P143" s="43" t="n">
        <v>0.11</v>
      </c>
      <c r="Q143" s="41" t="n">
        <v>60</v>
      </c>
      <c r="R143" s="48" t="n">
        <f aca="false">AB143/2</f>
        <v>205000000</v>
      </c>
      <c r="S143" s="41" t="n">
        <v>55</v>
      </c>
      <c r="T143" s="41"/>
      <c r="U143" s="41"/>
      <c r="V143" s="116"/>
      <c r="W143" s="41"/>
      <c r="X143" s="49" t="n">
        <f aca="false">+IF(ISNUMBER($S143),$S143,MIN($V143,$T143,$U143,$W143))</f>
        <v>55</v>
      </c>
      <c r="Y143" s="48" t="n">
        <f aca="false">0.000000000005*Z143+0.0001*0.9</f>
        <v>0.00214</v>
      </c>
      <c r="Z143" s="71" t="n">
        <v>410000000</v>
      </c>
      <c r="AA143" s="50" t="n">
        <v>1</v>
      </c>
      <c r="AB143" s="48" t="n">
        <f aca="false">Z143/AA143</f>
        <v>410000000</v>
      </c>
      <c r="AC143" s="114"/>
      <c r="AD143" s="107" t="n">
        <f aca="false">Y143/AB143*1000000000000</f>
        <v>5.21951219512195</v>
      </c>
      <c r="AE143" s="49" t="n">
        <f aca="false">IF(ISNUMBER($Q143),$AD143*1000/2^(($Q143-1.76)/6.02), "")</f>
        <v>6.38762961901517</v>
      </c>
      <c r="AF143" s="49" t="n">
        <f aca="false">$AD143*1000/2^(($X143-1.76)/6.02)</f>
        <v>11.3596418586401</v>
      </c>
      <c r="AG143" s="49" t="n">
        <f aca="false">IF(ISNUMBER($Q143), $Q143+10*LOG10($AB143/2/$Y143), "")</f>
        <v>169.813400877066</v>
      </c>
      <c r="AH143" s="49" t="n">
        <f aca="false">$X143+10*LOG10($AB143/2/$Y143)</f>
        <v>164.813400877066</v>
      </c>
      <c r="AI143" s="52" t="n">
        <f aca="false">AF143/AB143</f>
        <v>2.77064435576587E-008</v>
      </c>
      <c r="AJ143" s="53" t="n">
        <f aca="false">AH143+10*LOG10(AB143)</f>
        <v>250.941239444263</v>
      </c>
    </row>
    <row r="144" customFormat="false" ht="12.75" hidden="false" customHeight="false" outlineLevel="0" collapsed="false">
      <c r="A144" s="50" t="n">
        <v>2013</v>
      </c>
      <c r="B144" s="45" t="n">
        <v>22.2</v>
      </c>
      <c r="C144" s="43" t="s">
        <v>111</v>
      </c>
      <c r="D144" s="43" t="s">
        <v>548</v>
      </c>
      <c r="E144" s="43" t="n">
        <v>0.065</v>
      </c>
      <c r="F144" s="45" t="s">
        <v>2477</v>
      </c>
      <c r="G144" s="45" t="s">
        <v>2478</v>
      </c>
      <c r="H144" s="45" t="s">
        <v>2479</v>
      </c>
      <c r="I144" s="45" t="s">
        <v>2206</v>
      </c>
      <c r="J144" s="113" t="s">
        <v>2480</v>
      </c>
      <c r="K144" s="45" t="s">
        <v>2481</v>
      </c>
      <c r="L144" s="69"/>
      <c r="M144" s="69"/>
      <c r="N144" s="69"/>
      <c r="O144" s="65" t="s">
        <v>117</v>
      </c>
      <c r="P144" s="43" t="n">
        <v>0.33</v>
      </c>
      <c r="Q144" s="41" t="n">
        <v>29.19</v>
      </c>
      <c r="R144" s="48" t="n">
        <f aca="false">AB144/2</f>
        <v>5000000000</v>
      </c>
      <c r="S144" s="41" t="n">
        <v>27</v>
      </c>
      <c r="T144" s="41"/>
      <c r="U144" s="41"/>
      <c r="V144" s="116"/>
      <c r="W144" s="41"/>
      <c r="X144" s="49" t="n">
        <f aca="false">+IF(ISNUMBER($S144),$S144,MIN($V144,$T144,$U144,$W144))</f>
        <v>27</v>
      </c>
      <c r="Y144" s="48" t="n">
        <v>0.0793</v>
      </c>
      <c r="Z144" s="71" t="n">
        <v>10000000000</v>
      </c>
      <c r="AA144" s="50" t="n">
        <v>1</v>
      </c>
      <c r="AB144" s="48" t="n">
        <f aca="false">Z144/AA144</f>
        <v>10000000000</v>
      </c>
      <c r="AC144" s="114"/>
      <c r="AD144" s="107" t="n">
        <f aca="false">Y144/AB144*1000000000000</f>
        <v>7.93</v>
      </c>
      <c r="AE144" s="49" t="n">
        <f aca="false">IF(ISNUMBER($Q144),$AD144*1000/2^(($Q144-1.76)/6.02), "")</f>
        <v>337.005130644917</v>
      </c>
      <c r="AF144" s="49" t="n">
        <f aca="false">$AD144*1000/2^(($X144-1.76)/6.02)</f>
        <v>433.658062133228</v>
      </c>
      <c r="AG144" s="49" t="n">
        <f aca="false">IF(ISNUMBER($Q144), $Q144+10*LOG10($AB144/2/$Y144), "")</f>
        <v>137.186968170184</v>
      </c>
      <c r="AH144" s="49" t="n">
        <f aca="false">$X144+10*LOG10($AB144/2/$Y144)</f>
        <v>134.996968170184</v>
      </c>
      <c r="AI144" s="52" t="n">
        <f aca="false">AF144/AB144</f>
        <v>4.33658062133228E-008</v>
      </c>
      <c r="AJ144" s="53" t="n">
        <f aca="false">AH144+10*LOG10(AB144)</f>
        <v>234.996968170184</v>
      </c>
    </row>
    <row r="145" customFormat="false" ht="14.25" hidden="false" customHeight="true" outlineLevel="0" collapsed="false">
      <c r="A145" s="40" t="n">
        <v>2014</v>
      </c>
      <c r="B145" s="45" t="n">
        <v>5.1</v>
      </c>
      <c r="C145" s="43" t="s">
        <v>111</v>
      </c>
      <c r="D145" s="43" t="s">
        <v>994</v>
      </c>
      <c r="E145" s="43" t="n">
        <v>0.18</v>
      </c>
      <c r="F145" s="45" t="s">
        <v>2482</v>
      </c>
      <c r="G145" s="118" t="s">
        <v>2483</v>
      </c>
      <c r="H145" s="45" t="s">
        <v>2484</v>
      </c>
      <c r="I145" s="45" t="s">
        <v>2485</v>
      </c>
      <c r="J145" s="113" t="str">
        <f aca="false">IF(I145&lt;&gt;"?", HYPERLINK(CONCATENATE("https://doi.org/",I145)), "")</f>
        <v>https://doi.org/10.1109/VLSIC.2014.6858371</v>
      </c>
      <c r="K145" s="45" t="s">
        <v>2486</v>
      </c>
      <c r="L145" s="69"/>
      <c r="M145" s="69"/>
      <c r="N145" s="69"/>
      <c r="O145" s="69" t="s">
        <v>117</v>
      </c>
      <c r="P145" s="43" t="n">
        <v>5.74</v>
      </c>
      <c r="Q145" s="41"/>
      <c r="R145" s="48" t="n">
        <v>1000</v>
      </c>
      <c r="S145" s="41" t="n">
        <v>98.6</v>
      </c>
      <c r="T145" s="43" t="n">
        <v>99</v>
      </c>
      <c r="U145" s="43" t="n">
        <v>100.2</v>
      </c>
      <c r="W145" s="41"/>
      <c r="X145" s="49" t="n">
        <f aca="false">+IF(ISNUMBER($S145),$S145,MIN($V145,$T145,$U145,$W145))</f>
        <v>98.6</v>
      </c>
      <c r="Y145" s="48" t="n">
        <v>0.03052</v>
      </c>
      <c r="Z145" s="71" t="n">
        <v>5000000</v>
      </c>
      <c r="AA145" s="50" t="n">
        <v>1</v>
      </c>
      <c r="AB145" s="48" t="n">
        <f aca="false">Z145/AA145</f>
        <v>5000000</v>
      </c>
      <c r="AC145" s="114"/>
      <c r="AD145" s="107" t="n">
        <f aca="false">Y145/AB145*1000000000000</f>
        <v>6104</v>
      </c>
      <c r="AE145" s="49" t="str">
        <f aca="false">IF(ISNUMBER($Q145),$AD145*1000/2^(($Q145-1.76)/6.02), "")</f>
        <v/>
      </c>
      <c r="AF145" s="49" t="n">
        <f aca="false">$AD145*1000/2^(($X145-1.76)/6.02)</f>
        <v>87.7267425104543</v>
      </c>
      <c r="AG145" s="49" t="str">
        <f aca="false">IF(ISNUMBER($Q145), $Q145+10*LOG10($AB145/2/$Y145), "")</f>
        <v/>
      </c>
      <c r="AH145" s="49" t="n">
        <f aca="false">$X145+10*LOG10($AB145/2/$Y145)</f>
        <v>177.733554793892</v>
      </c>
      <c r="AI145" s="52" t="n">
        <f aca="false">AF145/AB145</f>
        <v>1.75453485020909E-005</v>
      </c>
      <c r="AJ145" s="53" t="n">
        <f aca="false">AH145+10*LOG10(AB145)</f>
        <v>244.723254837252</v>
      </c>
    </row>
    <row r="146" customFormat="false" ht="12.75" hidden="false" customHeight="false" outlineLevel="0" collapsed="false">
      <c r="A146" s="50" t="n">
        <v>2014</v>
      </c>
      <c r="B146" s="45" t="n">
        <v>5.2</v>
      </c>
      <c r="C146" s="43" t="s">
        <v>111</v>
      </c>
      <c r="D146" s="43" t="s">
        <v>112</v>
      </c>
      <c r="E146" s="43" t="n">
        <v>0.09</v>
      </c>
      <c r="F146" s="45" t="s">
        <v>2487</v>
      </c>
      <c r="G146" s="119" t="s">
        <v>2488</v>
      </c>
      <c r="H146" s="45" t="s">
        <v>2489</v>
      </c>
      <c r="I146" s="45" t="s">
        <v>2490</v>
      </c>
      <c r="J146" s="113" t="str">
        <f aca="false">IF(I146&lt;&gt;"?", HYPERLINK(CONCATENATE("https://doi.org/",I146)), "")</f>
        <v>https://doi.org/10.1109/VLSIC.2014.6858372</v>
      </c>
      <c r="K146" s="45" t="s">
        <v>117</v>
      </c>
      <c r="L146" s="69" t="n">
        <v>0.4</v>
      </c>
      <c r="M146" s="69"/>
      <c r="N146" s="69"/>
      <c r="O146" s="43"/>
      <c r="P146" s="43" t="n">
        <v>0.04</v>
      </c>
      <c r="Q146" s="41"/>
      <c r="R146" s="48" t="n">
        <v>125000</v>
      </c>
      <c r="S146" s="41" t="n">
        <v>53.7</v>
      </c>
      <c r="W146" s="41"/>
      <c r="X146" s="49" t="n">
        <f aca="false">+IF(ISNUMBER($S146),$S146,MIN($V146,$T146,$U146,$W146))</f>
        <v>53.7</v>
      </c>
      <c r="Y146" s="48" t="n">
        <v>2E-007</v>
      </c>
      <c r="Z146" s="71" t="n">
        <v>250000</v>
      </c>
      <c r="AA146" s="50" t="n">
        <v>1</v>
      </c>
      <c r="AB146" s="48" t="n">
        <f aca="false">Z146/AA146</f>
        <v>250000</v>
      </c>
      <c r="AC146" s="114"/>
      <c r="AD146" s="107" t="n">
        <f aca="false">Y146/AB146*1000000000000</f>
        <v>0.8</v>
      </c>
      <c r="AE146" s="49" t="str">
        <f aca="false">IF(ISNUMBER($Q146),$AD146*1000/2^(($Q146-1.76)/6.02), "")</f>
        <v/>
      </c>
      <c r="AF146" s="49" t="n">
        <f aca="false">$AD146*1000/2^(($X146-1.76)/6.02)</f>
        <v>2.02223297209633</v>
      </c>
      <c r="AG146" s="49" t="str">
        <f aca="false">IF(ISNUMBER($Q146), $Q146+10*LOG10($AB146/2/$Y146), "")</f>
        <v/>
      </c>
      <c r="AH146" s="49" t="n">
        <f aca="false">$X146+10*LOG10($AB146/2/$Y146)</f>
        <v>171.658800173441</v>
      </c>
      <c r="AI146" s="52" t="n">
        <f aca="false">AF146/AB146</f>
        <v>8.08893188838532E-006</v>
      </c>
      <c r="AJ146" s="53" t="n">
        <f aca="false">AH146+10*LOG10(AB146)</f>
        <v>225.638200260161</v>
      </c>
    </row>
    <row r="147" customFormat="false" ht="12.75" hidden="false" customHeight="false" outlineLevel="0" collapsed="false">
      <c r="A147" s="50" t="n">
        <v>2014</v>
      </c>
      <c r="B147" s="45" t="n">
        <v>5.3</v>
      </c>
      <c r="C147" s="43" t="s">
        <v>111</v>
      </c>
      <c r="D147" s="43" t="s">
        <v>133</v>
      </c>
      <c r="E147" s="43" t="n">
        <v>0.18</v>
      </c>
      <c r="F147" s="45" t="s">
        <v>2491</v>
      </c>
      <c r="G147" s="119" t="s">
        <v>2492</v>
      </c>
      <c r="H147" s="45" t="s">
        <v>2493</v>
      </c>
      <c r="I147" s="45" t="s">
        <v>2494</v>
      </c>
      <c r="J147" s="113" t="str">
        <f aca="false">IF(I147&lt;&gt;"?", HYPERLINK(CONCATENATE("https://doi.org/",I147)), "")</f>
        <v>https://doi.org/10.1109/VLSIC.2014.6858373</v>
      </c>
      <c r="K147" s="45" t="s">
        <v>117</v>
      </c>
      <c r="L147" s="69" t="n">
        <v>1.3</v>
      </c>
      <c r="M147" s="69"/>
      <c r="N147" s="69"/>
      <c r="O147" s="43" t="n">
        <v>2.5</v>
      </c>
      <c r="P147" s="43" t="n">
        <v>3.06</v>
      </c>
      <c r="Q147" s="41" t="n">
        <v>74.2</v>
      </c>
      <c r="R147" s="48" t="n">
        <v>15000000</v>
      </c>
      <c r="S147" s="41" t="n">
        <v>72</v>
      </c>
      <c r="V147" s="43" t="n">
        <v>84</v>
      </c>
      <c r="W147" s="41" t="n">
        <v>86</v>
      </c>
      <c r="X147" s="49" t="n">
        <f aca="false">+IF(ISNUMBER($S147),$S147,MIN($V147,$T147,$U147,$W147))</f>
        <v>72</v>
      </c>
      <c r="Y147" s="48" t="n">
        <v>0.006</v>
      </c>
      <c r="Z147" s="71" t="n">
        <v>30000000</v>
      </c>
      <c r="AA147" s="50" t="n">
        <v>1</v>
      </c>
      <c r="AB147" s="48" t="n">
        <f aca="false">Z147/AA147</f>
        <v>30000000</v>
      </c>
      <c r="AC147" s="114"/>
      <c r="AD147" s="107" t="n">
        <f aca="false">Y147/AB147*1000000000000</f>
        <v>200</v>
      </c>
      <c r="AE147" s="49" t="n">
        <f aca="false">IF(ISNUMBER($Q147),$AD147*1000/2^(($Q147-1.76)/6.02), "")</f>
        <v>47.7165516887854</v>
      </c>
      <c r="AF147" s="49" t="n">
        <f aca="false">$AD147*1000/2^(($X147-1.76)/6.02)</f>
        <v>61.4723779039831</v>
      </c>
      <c r="AG147" s="49" t="n">
        <f aca="false">IF(ISNUMBER($Q147), $Q147+10*LOG10($AB147/2/$Y147), "")</f>
        <v>168.17940008672</v>
      </c>
      <c r="AH147" s="49" t="n">
        <f aca="false">$X147+10*LOG10($AB147/2/$Y147)</f>
        <v>165.97940008672</v>
      </c>
      <c r="AI147" s="52" t="n">
        <f aca="false">AF147/AB147</f>
        <v>2.0490792634661E-006</v>
      </c>
      <c r="AJ147" s="53" t="n">
        <f aca="false">AH147+10*LOG10(AB147)</f>
        <v>240.750612633917</v>
      </c>
    </row>
    <row r="148" customFormat="false" ht="12.75" hidden="false" customHeight="false" outlineLevel="0" collapsed="false">
      <c r="A148" s="50" t="n">
        <v>2014</v>
      </c>
      <c r="B148" s="45" t="n">
        <v>5.4</v>
      </c>
      <c r="C148" s="43" t="s">
        <v>111</v>
      </c>
      <c r="D148" s="43" t="s">
        <v>1884</v>
      </c>
      <c r="E148" s="43" t="n">
        <v>0.065</v>
      </c>
      <c r="F148" s="45" t="s">
        <v>2495</v>
      </c>
      <c r="G148" s="119" t="s">
        <v>2496</v>
      </c>
      <c r="H148" s="45" t="s">
        <v>2497</v>
      </c>
      <c r="I148" s="45" t="s">
        <v>2498</v>
      </c>
      <c r="J148" s="113" t="str">
        <f aca="false">IF(I148&lt;&gt;"?", HYPERLINK(CONCATENATE("https://doi.org/",I148)), "")</f>
        <v>https://doi.org/10.1109/VLSIC.2014.6858374</v>
      </c>
      <c r="K148" s="45" t="s">
        <v>2499</v>
      </c>
      <c r="L148" s="69"/>
      <c r="M148" s="69"/>
      <c r="N148" s="69"/>
      <c r="O148" s="43" t="s">
        <v>117</v>
      </c>
      <c r="P148" s="43" t="n">
        <v>0.087</v>
      </c>
      <c r="Q148" s="41" t="n">
        <v>37</v>
      </c>
      <c r="R148" s="48" t="n">
        <v>410000000</v>
      </c>
      <c r="S148" s="41" t="n">
        <v>37.4</v>
      </c>
      <c r="W148" s="41" t="n">
        <v>46.2</v>
      </c>
      <c r="X148" s="49" t="n">
        <f aca="false">+IF(ISNUMBER($S148),$S148,MIN($V148,$T148,$U148,$W148))</f>
        <v>37.4</v>
      </c>
      <c r="Y148" s="48" t="n">
        <v>0.00426</v>
      </c>
      <c r="Z148" s="71" t="n">
        <v>820000000</v>
      </c>
      <c r="AA148" s="50" t="n">
        <v>1</v>
      </c>
      <c r="AB148" s="48" t="n">
        <f aca="false">Z148/AA148</f>
        <v>820000000</v>
      </c>
      <c r="AC148" s="114"/>
      <c r="AD148" s="107" t="n">
        <f aca="false">Y148/AB148*1000000000000</f>
        <v>5.19512195121951</v>
      </c>
      <c r="AE148" s="49" t="n">
        <f aca="false">IF(ISNUMBER($Q148),$AD148*1000/2^(($Q148-1.76)/6.02), "")</f>
        <v>89.8297430626817</v>
      </c>
      <c r="AF148" s="49" t="n">
        <f aca="false">$AD148*1000/2^(($X148-1.76)/6.02)</f>
        <v>85.7863449368541</v>
      </c>
      <c r="AG148" s="49" t="n">
        <f aca="false">IF(ISNUMBER($Q148), $Q148+10*LOG10($AB148/2/$Y148), "")</f>
        <v>146.83374257617</v>
      </c>
      <c r="AH148" s="49" t="n">
        <f aca="false">$X148+10*LOG10($AB148/2/$Y148)</f>
        <v>147.23374257617</v>
      </c>
      <c r="AI148" s="52" t="n">
        <f aca="false">AF148/AB148</f>
        <v>1.04617493825432E-007</v>
      </c>
      <c r="AJ148" s="53" t="n">
        <f aca="false">AH148+10*LOG10(AB148)</f>
        <v>236.371881100007</v>
      </c>
    </row>
    <row r="149" customFormat="false" ht="12.75" hidden="false" customHeight="false" outlineLevel="0" collapsed="false">
      <c r="A149" s="50" t="n">
        <v>2014</v>
      </c>
      <c r="B149" s="45" t="n">
        <v>10.1</v>
      </c>
      <c r="C149" s="43" t="s">
        <v>139</v>
      </c>
      <c r="D149" s="43" t="s">
        <v>981</v>
      </c>
      <c r="E149" s="43" t="n">
        <v>0.065</v>
      </c>
      <c r="F149" s="45" t="s">
        <v>2500</v>
      </c>
      <c r="G149" s="119" t="s">
        <v>2501</v>
      </c>
      <c r="H149" s="45" t="s">
        <v>2502</v>
      </c>
      <c r="I149" s="45" t="s">
        <v>2503</v>
      </c>
      <c r="J149" s="113" t="str">
        <f aca="false">IF(I149&lt;&gt;"?", HYPERLINK(CONCATENATE("https://doi.org/",I149)), "")</f>
        <v>https://doi.org/10.1109/VLSIC.2014.6858395</v>
      </c>
      <c r="K149" s="45" t="s">
        <v>117</v>
      </c>
      <c r="L149" s="69"/>
      <c r="M149" s="69"/>
      <c r="N149" s="69"/>
      <c r="O149" s="43"/>
      <c r="P149" s="43" t="n">
        <v>0.49</v>
      </c>
      <c r="Q149" s="41"/>
      <c r="R149" s="48" t="n">
        <v>2000000</v>
      </c>
      <c r="S149" s="41" t="n">
        <v>64</v>
      </c>
      <c r="T149" s="43" t="n">
        <v>71</v>
      </c>
      <c r="U149" s="43" t="n">
        <v>75</v>
      </c>
      <c r="W149" s="41"/>
      <c r="X149" s="49" t="n">
        <f aca="false">+IF(ISNUMBER($S149),$S149,MIN($V149,$T149,$U149,$W149))</f>
        <v>64</v>
      </c>
      <c r="Y149" s="48" t="n">
        <v>0.038</v>
      </c>
      <c r="Z149" s="71" t="n">
        <v>1280000000</v>
      </c>
      <c r="AA149" s="50" t="n">
        <f aca="false">Z149/AB149</f>
        <v>12.8</v>
      </c>
      <c r="AB149" s="48" t="n">
        <v>100000000</v>
      </c>
      <c r="AC149" s="114"/>
      <c r="AD149" s="107" t="n">
        <f aca="false">Y149/AB149*1000000000000</f>
        <v>380</v>
      </c>
      <c r="AE149" s="49" t="str">
        <f aca="false">IF(ISNUMBER($Q149),$AD149*1000/2^(($Q149-1.76)/6.02), "")</f>
        <v/>
      </c>
      <c r="AF149" s="49" t="n">
        <f aca="false">$AD149*1000/2^(($X149-1.76)/6.02)</f>
        <v>293.409029803264</v>
      </c>
      <c r="AG149" s="49" t="str">
        <f aca="false">IF(ISNUMBER($Q149), $Q149+10*LOG10($AB149/2/$Y149), "")</f>
        <v/>
      </c>
      <c r="AH149" s="49" t="n">
        <f aca="false">$X149+10*LOG10($AB149/2/$Y149)</f>
        <v>155.191864077192</v>
      </c>
      <c r="AI149" s="52" t="n">
        <f aca="false">AF149/AB149</f>
        <v>2.93409029803264E-006</v>
      </c>
      <c r="AJ149" s="53" t="n">
        <f aca="false">AH149+10*LOG10(AB149)</f>
        <v>235.191864077192</v>
      </c>
    </row>
    <row r="150" customFormat="false" ht="12.75" hidden="false" customHeight="false" outlineLevel="0" collapsed="false">
      <c r="A150" s="50" t="n">
        <v>2014</v>
      </c>
      <c r="B150" s="45" t="n">
        <v>10.2</v>
      </c>
      <c r="C150" s="43" t="s">
        <v>139</v>
      </c>
      <c r="D150" s="43" t="s">
        <v>173</v>
      </c>
      <c r="E150" s="43" t="n">
        <v>0.02</v>
      </c>
      <c r="F150" s="45" t="s">
        <v>2504</v>
      </c>
      <c r="G150" s="119" t="s">
        <v>2505</v>
      </c>
      <c r="H150" s="45" t="s">
        <v>2506</v>
      </c>
      <c r="I150" s="45" t="s">
        <v>2507</v>
      </c>
      <c r="J150" s="113" t="str">
        <f aca="false">IF(I150&lt;&gt;"?", HYPERLINK(CONCATENATE("https://doi.org/",I150)), "")</f>
        <v>https://doi.org/10.1109/VLSIC.2014.6858396</v>
      </c>
      <c r="K150" s="45" t="s">
        <v>117</v>
      </c>
      <c r="L150" s="69"/>
      <c r="M150" s="69"/>
      <c r="N150" s="69"/>
      <c r="O150" s="43"/>
      <c r="P150" s="43" t="n">
        <v>0.1</v>
      </c>
      <c r="Q150" s="41"/>
      <c r="R150" s="48" t="n">
        <v>15000000</v>
      </c>
      <c r="S150" s="41" t="n">
        <v>67.5</v>
      </c>
      <c r="T150" s="43" t="n">
        <v>70</v>
      </c>
      <c r="U150" s="43" t="n">
        <v>73</v>
      </c>
      <c r="W150" s="41"/>
      <c r="X150" s="49" t="n">
        <f aca="false">+IF(ISNUMBER($S150),$S150,MIN($V150,$T150,$U150,$W150))</f>
        <v>67.5</v>
      </c>
      <c r="Y150" s="48" t="n">
        <v>0.023</v>
      </c>
      <c r="Z150" s="71" t="n">
        <v>2814000000</v>
      </c>
      <c r="AA150" s="50" t="n">
        <f aca="false">Z150/AB150</f>
        <v>17.5875</v>
      </c>
      <c r="AB150" s="48" t="n">
        <v>160000000</v>
      </c>
      <c r="AC150" s="114"/>
      <c r="AD150" s="107" t="n">
        <f aca="false">Y150/AB150*1000000000000</f>
        <v>143.75</v>
      </c>
      <c r="AE150" s="49" t="str">
        <f aca="false">IF(ISNUMBER($Q150),$AD150*1000/2^(($Q150-1.76)/6.02), "")</f>
        <v/>
      </c>
      <c r="AF150" s="49" t="n">
        <f aca="false">$AD150*1000/2^(($X150-1.76)/6.02)</f>
        <v>74.1788835785775</v>
      </c>
      <c r="AG150" s="49" t="str">
        <f aca="false">IF(ISNUMBER($Q150), $Q150+10*LOG10($AB150/2/$Y150), "")</f>
        <v/>
      </c>
      <c r="AH150" s="49" t="n">
        <f aca="false">$X150+10*LOG10($AB150/2/$Y150)</f>
        <v>162.913621509744</v>
      </c>
      <c r="AI150" s="52" t="n">
        <f aca="false">AF150/AB150</f>
        <v>4.63618022366109E-007</v>
      </c>
      <c r="AJ150" s="53" t="n">
        <f aca="false">AH150+10*LOG10(AB150)</f>
        <v>244.954821336303</v>
      </c>
    </row>
    <row r="151" customFormat="false" ht="12.75" hidden="false" customHeight="false" outlineLevel="0" collapsed="false">
      <c r="A151" s="50" t="n">
        <v>2014</v>
      </c>
      <c r="B151" s="45" t="n">
        <v>10.3</v>
      </c>
      <c r="C151" s="43" t="s">
        <v>139</v>
      </c>
      <c r="D151" s="43" t="s">
        <v>173</v>
      </c>
      <c r="E151" s="43" t="n">
        <v>0.18</v>
      </c>
      <c r="F151" s="45" t="s">
        <v>2508</v>
      </c>
      <c r="G151" s="119" t="s">
        <v>2509</v>
      </c>
      <c r="H151" s="45" t="s">
        <v>2510</v>
      </c>
      <c r="I151" s="45" t="s">
        <v>2511</v>
      </c>
      <c r="J151" s="113" t="str">
        <f aca="false">IF(I151&lt;&gt;"?", HYPERLINK(CONCATENATE("https://doi.org/",I151)), "")</f>
        <v>https://doi.org/10.1109/VLSIC.2014.6858397</v>
      </c>
      <c r="K151" s="45" t="s">
        <v>117</v>
      </c>
      <c r="L151" s="69"/>
      <c r="M151" s="69"/>
      <c r="N151" s="69"/>
      <c r="O151" s="43"/>
      <c r="P151" s="43" t="n">
        <v>0.99</v>
      </c>
      <c r="Q151" s="41"/>
      <c r="R151" s="48" t="n">
        <v>600000</v>
      </c>
      <c r="S151" s="41"/>
      <c r="T151" s="43" t="n">
        <v>97.3</v>
      </c>
      <c r="W151" s="41" t="n">
        <v>90</v>
      </c>
      <c r="X151" s="49" t="n">
        <f aca="false">+IF(ISNUMBER($S151),$S151,MIN($V151,$T151,$U151,$W151))</f>
        <v>90</v>
      </c>
      <c r="Y151" s="48" t="n">
        <v>0.021</v>
      </c>
      <c r="Z151" s="71" t="n">
        <v>57500000</v>
      </c>
      <c r="AA151" s="50" t="n">
        <v>48</v>
      </c>
      <c r="AB151" s="48" t="n">
        <f aca="false">Z151/AA151</f>
        <v>1197916.66666667</v>
      </c>
      <c r="AC151" s="114"/>
      <c r="AD151" s="107" t="n">
        <f aca="false">Y151/AB151*1000000000000</f>
        <v>17530.4347826087</v>
      </c>
      <c r="AE151" s="49" t="str">
        <f aca="false">IF(ISNUMBER($Q151),$AD151*1000/2^(($Q151-1.76)/6.02), "")</f>
        <v/>
      </c>
      <c r="AF151" s="49" t="n">
        <f aca="false">$AD151*1000/2^(($X151-1.76)/6.02)</f>
        <v>678.192553199499</v>
      </c>
      <c r="AG151" s="49" t="str">
        <f aca="false">IF(ISNUMBER($Q151), $Q151+10*LOG10($AB151/2/$Y151), "")</f>
        <v/>
      </c>
      <c r="AH151" s="49" t="n">
        <f aca="false">$X151+10*LOG10($AB151/2/$Y151)</f>
        <v>164.551773169161</v>
      </c>
      <c r="AI151" s="52" t="n">
        <f aca="false">AF151/AB151</f>
        <v>0.000566143348757843</v>
      </c>
      <c r="AJ151" s="53" t="n">
        <f aca="false">AH151+10*LOG10(AB151)</f>
        <v>225.336039242302</v>
      </c>
    </row>
    <row r="152" customFormat="false" ht="12.75" hidden="false" customHeight="false" outlineLevel="0" collapsed="false">
      <c r="A152" s="50" t="n">
        <v>2014</v>
      </c>
      <c r="B152" s="45" t="n">
        <v>10.4</v>
      </c>
      <c r="C152" s="43" t="s">
        <v>139</v>
      </c>
      <c r="D152" s="43" t="s">
        <v>173</v>
      </c>
      <c r="E152" s="43" t="n">
        <v>0.09</v>
      </c>
      <c r="F152" s="45" t="s">
        <v>2512</v>
      </c>
      <c r="G152" s="119" t="s">
        <v>2513</v>
      </c>
      <c r="H152" s="45" t="s">
        <v>2514</v>
      </c>
      <c r="I152" s="45" t="s">
        <v>2515</v>
      </c>
      <c r="J152" s="113" t="str">
        <f aca="false">IF(I152&lt;&gt;"?", HYPERLINK(CONCATENATE("https://doi.org/",I152)), "")</f>
        <v>https://doi.org/10.1109/VLSIC.2014.6858398</v>
      </c>
      <c r="K152" s="45" t="s">
        <v>117</v>
      </c>
      <c r="L152" s="69"/>
      <c r="M152" s="69"/>
      <c r="N152" s="69"/>
      <c r="O152" s="43"/>
      <c r="P152" s="43" t="n">
        <f aca="false">0.6*0.2</f>
        <v>0.12</v>
      </c>
      <c r="Q152" s="41"/>
      <c r="R152" s="48" t="n">
        <v>2000000</v>
      </c>
      <c r="S152" s="41" t="n">
        <v>67.2</v>
      </c>
      <c r="T152" s="43" t="n">
        <v>69.3</v>
      </c>
      <c r="X152" s="49" t="n">
        <f aca="false">+IF(ISNUMBER($S152),$S152,MIN($V152,$T152,$U152,$W152))</f>
        <v>67.2</v>
      </c>
      <c r="Y152" s="48" t="n">
        <v>0.0043</v>
      </c>
      <c r="Z152" s="71" t="n">
        <v>300000000</v>
      </c>
      <c r="AA152" s="50" t="n">
        <f aca="false">Z152/AB152</f>
        <v>17.6470588235294</v>
      </c>
      <c r="AB152" s="48" t="n">
        <v>17000000</v>
      </c>
      <c r="AC152" s="114"/>
      <c r="AD152" s="107" t="n">
        <f aca="false">Y152/AB152*1000000000000</f>
        <v>252.941176470588</v>
      </c>
      <c r="AE152" s="49" t="str">
        <f aca="false">IF(ISNUMBER($Q152),$AD152*1000/2^(($Q152-1.76)/6.02), "")</f>
        <v/>
      </c>
      <c r="AF152" s="49" t="n">
        <f aca="false">$AD152*1000/2^(($X152-1.76)/6.02)</f>
        <v>135.111858661223</v>
      </c>
      <c r="AG152" s="49" t="str">
        <f aca="false">IF(ISNUMBER($Q152), $Q152+10*LOG10($AB152/2/$Y152), "")</f>
        <v/>
      </c>
      <c r="AH152" s="49" t="n">
        <f aca="false">$X152+10*LOG10($AB152/2/$Y152)</f>
        <v>160.159504701347</v>
      </c>
      <c r="AI152" s="52" t="n">
        <f aca="false">AF152/AB152</f>
        <v>7.94775639183664E-006</v>
      </c>
      <c r="AJ152" s="53" t="n">
        <f aca="false">AH152+10*LOG10(AB152)</f>
        <v>232.46399391513</v>
      </c>
    </row>
    <row r="153" customFormat="false" ht="12.75" hidden="false" customHeight="false" outlineLevel="0" collapsed="false">
      <c r="A153" s="50" t="n">
        <v>2014</v>
      </c>
      <c r="B153" s="45" t="n">
        <v>23.1</v>
      </c>
      <c r="C153" s="43" t="s">
        <v>111</v>
      </c>
      <c r="D153" s="43" t="s">
        <v>1215</v>
      </c>
      <c r="E153" s="43" t="n">
        <v>0.028</v>
      </c>
      <c r="F153" s="45" t="s">
        <v>2516</v>
      </c>
      <c r="G153" s="119" t="s">
        <v>2517</v>
      </c>
      <c r="H153" s="45" t="s">
        <v>2518</v>
      </c>
      <c r="I153" s="45" t="s">
        <v>2519</v>
      </c>
      <c r="J153" s="113" t="str">
        <f aca="false">IF(I153&lt;&gt;"?", HYPERLINK(CONCATENATE("https://doi.org/",I153)), "")</f>
        <v>https://doi.org/10.1109/VLSIC.2014.6858451</v>
      </c>
      <c r="K153" s="45" t="s">
        <v>117</v>
      </c>
      <c r="L153" s="69" t="n">
        <v>0.9</v>
      </c>
      <c r="M153" s="69"/>
      <c r="N153" s="69"/>
      <c r="O153" s="43" t="n">
        <v>3.5</v>
      </c>
      <c r="P153" s="43" t="n">
        <v>0.35</v>
      </c>
      <c r="Q153" s="41" t="n">
        <v>70</v>
      </c>
      <c r="R153" s="48" t="n">
        <v>100000000</v>
      </c>
      <c r="S153" s="41" t="n">
        <v>65</v>
      </c>
      <c r="X153" s="49" t="n">
        <f aca="false">+IF(ISNUMBER($S153),$S153,MIN($V153,$T153,$U153,$W153))</f>
        <v>65</v>
      </c>
      <c r="Y153" s="48" t="n">
        <v>0.0023</v>
      </c>
      <c r="Z153" s="71" t="n">
        <v>200000000</v>
      </c>
      <c r="AA153" s="50" t="n">
        <v>1</v>
      </c>
      <c r="AB153" s="48" t="n">
        <f aca="false">Z153/AA153</f>
        <v>200000000</v>
      </c>
      <c r="AC153" s="114"/>
      <c r="AD153" s="107" t="n">
        <f aca="false">Y153/AB153*1000000000000</f>
        <v>11.5</v>
      </c>
      <c r="AE153" s="49" t="n">
        <f aca="false">IF(ISNUMBER($Q153),$AD153*1000/2^(($Q153-1.76)/6.02), "")</f>
        <v>4.44997758151231</v>
      </c>
      <c r="AF153" s="49" t="n">
        <f aca="false">$AD153*1000/2^(($X153-1.76)/6.02)</f>
        <v>7.9137574687292</v>
      </c>
      <c r="AG153" s="49" t="n">
        <f aca="false">IF(ISNUMBER($Q153), $Q153+10*LOG10($AB153/2/$Y153), "")</f>
        <v>176.382721639824</v>
      </c>
      <c r="AH153" s="49" t="n">
        <f aca="false">$X153+10*LOG10($AB153/2/$Y153)</f>
        <v>171.382721639824</v>
      </c>
      <c r="AI153" s="52" t="n">
        <f aca="false">AF153/AB153</f>
        <v>3.9568787343646E-008</v>
      </c>
      <c r="AJ153" s="53" t="n">
        <f aca="false">AH153+10*LOG10(AB153)</f>
        <v>254.393021596464</v>
      </c>
    </row>
    <row r="154" customFormat="false" ht="12.75" hidden="false" customHeight="false" outlineLevel="0" collapsed="false">
      <c r="A154" s="50" t="n">
        <v>2014</v>
      </c>
      <c r="B154" s="45" t="n">
        <v>23.2</v>
      </c>
      <c r="C154" s="43" t="s">
        <v>111</v>
      </c>
      <c r="D154" s="43" t="s">
        <v>994</v>
      </c>
      <c r="E154" s="43" t="n">
        <v>0.065</v>
      </c>
      <c r="F154" s="45" t="s">
        <v>2520</v>
      </c>
      <c r="G154" s="119" t="s">
        <v>2521</v>
      </c>
      <c r="H154" s="45" t="s">
        <v>2522</v>
      </c>
      <c r="I154" s="45" t="s">
        <v>2523</v>
      </c>
      <c r="J154" s="113" t="str">
        <f aca="false">IF(I154&lt;&gt;"?", HYPERLINK(CONCATENATE("https://doi.org/",I154)), "")</f>
        <v>https://doi.org/10.1109/VLSIC.2014.6858452</v>
      </c>
      <c r="K154" s="45" t="s">
        <v>117</v>
      </c>
      <c r="L154" s="69" t="n">
        <v>1</v>
      </c>
      <c r="M154" s="69"/>
      <c r="N154" s="69"/>
      <c r="O154" s="43" t="n">
        <v>2</v>
      </c>
      <c r="P154" s="43" t="n">
        <v>0.48</v>
      </c>
      <c r="Q154" s="41" t="n">
        <v>63.48</v>
      </c>
      <c r="R154" s="48" t="n">
        <v>100000000</v>
      </c>
      <c r="S154" s="41" t="n">
        <v>60.1</v>
      </c>
      <c r="W154" s="43" t="n">
        <v>74.8</v>
      </c>
      <c r="X154" s="49" t="n">
        <f aca="false">+IF(ISNUMBER($S154),$S154,MIN($V154,$T154,$U154,$W154))</f>
        <v>60.1</v>
      </c>
      <c r="Y154" s="48" t="n">
        <v>0.0053</v>
      </c>
      <c r="Z154" s="71" t="n">
        <v>210000000</v>
      </c>
      <c r="AA154" s="50" t="n">
        <v>1</v>
      </c>
      <c r="AB154" s="48" t="n">
        <f aca="false">Z154/AA154</f>
        <v>210000000</v>
      </c>
      <c r="AC154" s="114"/>
      <c r="AD154" s="107" t="n">
        <f aca="false">Y154/AB154*1000000000000</f>
        <v>25.2380952380952</v>
      </c>
      <c r="AE154" s="49" t="n">
        <f aca="false">IF(ISNUMBER($Q154),$AD154*1000/2^(($Q154-1.76)/6.02), "")</f>
        <v>20.6894547096764</v>
      </c>
      <c r="AF154" s="49" t="n">
        <f aca="false">$AD154*1000/2^(($X154-1.76)/6.02)</f>
        <v>30.5327474853683</v>
      </c>
      <c r="AG154" s="49" t="n">
        <f aca="false">IF(ISNUMBER($Q154), $Q154+10*LOG10($AB154/2/$Y154), "")</f>
        <v>166.449134294691</v>
      </c>
      <c r="AH154" s="49" t="n">
        <f aca="false">$X154+10*LOG10($AB154/2/$Y154)</f>
        <v>163.069134294691</v>
      </c>
      <c r="AI154" s="52" t="n">
        <f aca="false">AF154/AB154</f>
        <v>1.45394035644611E-007</v>
      </c>
      <c r="AJ154" s="53" t="n">
        <f aca="false">AH154+10*LOG10(AB154)</f>
        <v>246.291327242031</v>
      </c>
    </row>
    <row r="155" customFormat="false" ht="12.75" hidden="false" customHeight="false" outlineLevel="0" collapsed="false">
      <c r="A155" s="50" t="n">
        <v>2014</v>
      </c>
      <c r="B155" s="45" t="n">
        <v>23.3</v>
      </c>
      <c r="C155" s="43" t="s">
        <v>111</v>
      </c>
      <c r="D155" s="43" t="s">
        <v>112</v>
      </c>
      <c r="E155" s="43" t="n">
        <v>0.028</v>
      </c>
      <c r="F155" s="45" t="s">
        <v>2524</v>
      </c>
      <c r="G155" s="119" t="s">
        <v>2525</v>
      </c>
      <c r="H155" s="45" t="s">
        <v>2526</v>
      </c>
      <c r="I155" s="45" t="s">
        <v>2527</v>
      </c>
      <c r="J155" s="113" t="str">
        <f aca="false">IF(I155&lt;&gt;"?", HYPERLINK(CONCATENATE("https://doi.org/",I155)), "")</f>
        <v>https://doi.org/10.1109/VLSIC.2014.6858453</v>
      </c>
      <c r="K155" s="45" t="s">
        <v>2528</v>
      </c>
      <c r="L155" s="69"/>
      <c r="M155" s="69"/>
      <c r="N155" s="69"/>
      <c r="O155" s="43" t="n">
        <v>1.25</v>
      </c>
      <c r="P155" s="43" t="n">
        <v>0.1</v>
      </c>
      <c r="Q155" s="41" t="n">
        <v>71</v>
      </c>
      <c r="R155" s="48" t="n">
        <v>50000000</v>
      </c>
      <c r="S155" s="41" t="n">
        <v>67.1</v>
      </c>
      <c r="W155" s="43" t="n">
        <v>76</v>
      </c>
      <c r="X155" s="49" t="n">
        <f aca="false">+IF(ISNUMBER($S155),$S155,MIN($V155,$T155,$U155,$W155))</f>
        <v>67.1</v>
      </c>
      <c r="Y155" s="48" t="n">
        <v>0.008</v>
      </c>
      <c r="Z155" s="71" t="n">
        <v>100000000</v>
      </c>
      <c r="AA155" s="50" t="n">
        <v>1</v>
      </c>
      <c r="AB155" s="48" t="n">
        <f aca="false">Z155/AA155</f>
        <v>100000000</v>
      </c>
      <c r="AC155" s="114"/>
      <c r="AD155" s="107" t="n">
        <f aca="false">Y155/AB155*1000000000000</f>
        <v>80</v>
      </c>
      <c r="AE155" s="49" t="n">
        <f aca="false">IF(ISNUMBER($Q155),$AD155*1000/2^(($Q155-1.76)/6.02), "")</f>
        <v>27.5895735090967</v>
      </c>
      <c r="AF155" s="49" t="n">
        <f aca="false">$AD155*1000/2^(($X155-1.76)/6.02)</f>
        <v>43.2279279996473</v>
      </c>
      <c r="AG155" s="49" t="n">
        <f aca="false">IF(ISNUMBER($Q155), $Q155+10*LOG10($AB155/2/$Y155), "")</f>
        <v>168.958800173441</v>
      </c>
      <c r="AH155" s="49" t="n">
        <f aca="false">$X155+10*LOG10($AB155/2/$Y155)</f>
        <v>165.058800173441</v>
      </c>
      <c r="AI155" s="52" t="n">
        <f aca="false">AF155/AB155</f>
        <v>4.32279279996473E-007</v>
      </c>
      <c r="AJ155" s="53" t="n">
        <f aca="false">AH155+10*LOG10(AB155)</f>
        <v>245.058800173441</v>
      </c>
    </row>
    <row r="156" customFormat="false" ht="12.75" hidden="false" customHeight="false" outlineLevel="0" collapsed="false">
      <c r="A156" s="50" t="n">
        <v>2014</v>
      </c>
      <c r="B156" s="45" t="n">
        <v>23.4</v>
      </c>
      <c r="C156" s="43" t="s">
        <v>111</v>
      </c>
      <c r="D156" s="43" t="s">
        <v>994</v>
      </c>
      <c r="E156" s="43" t="n">
        <v>0.04</v>
      </c>
      <c r="F156" s="45" t="s">
        <v>2529</v>
      </c>
      <c r="G156" s="119" t="s">
        <v>2530</v>
      </c>
      <c r="H156" s="45" t="s">
        <v>2531</v>
      </c>
      <c r="I156" s="45" t="s">
        <v>2532</v>
      </c>
      <c r="J156" s="113" t="str">
        <f aca="false">IF(I156&lt;&gt;"?", HYPERLINK(CONCATENATE("https://doi.org/",I156)), "")</f>
        <v>https://doi.org/10.1109/VLSIC.2014.6858454</v>
      </c>
      <c r="K156" s="45" t="s">
        <v>117</v>
      </c>
      <c r="L156" s="69"/>
      <c r="M156" s="69"/>
      <c r="N156" s="69"/>
      <c r="O156" s="43" t="n">
        <v>0.63</v>
      </c>
      <c r="P156" s="43" t="n">
        <v>0.042</v>
      </c>
      <c r="Q156" s="41" t="n">
        <v>66.7</v>
      </c>
      <c r="R156" s="48" t="n">
        <v>80000000</v>
      </c>
      <c r="S156" s="41" t="n">
        <v>65.3</v>
      </c>
      <c r="W156" s="43" t="n">
        <v>85</v>
      </c>
      <c r="X156" s="49" t="n">
        <f aca="false">+IF(ISNUMBER($S156),$S156,MIN($V156,$T156,$U156,$W156))</f>
        <v>65.3</v>
      </c>
      <c r="Y156" s="48" t="n">
        <v>0.00496</v>
      </c>
      <c r="Z156" s="71" t="n">
        <v>160000000</v>
      </c>
      <c r="AA156" s="50" t="n">
        <v>1</v>
      </c>
      <c r="AB156" s="48" t="n">
        <f aca="false">Z156/AA156</f>
        <v>160000000</v>
      </c>
      <c r="AC156" s="114"/>
      <c r="AD156" s="107" t="n">
        <f aca="false">Y156/AB156*1000000000000</f>
        <v>31</v>
      </c>
      <c r="AE156" s="49" t="n">
        <f aca="false">IF(ISNUMBER($Q156),$AD156*1000/2^(($Q156-1.76)/6.02), "")</f>
        <v>17.5403445201799</v>
      </c>
      <c r="AF156" s="49" t="n">
        <f aca="false">$AD156*1000/2^(($X156-1.76)/6.02)</f>
        <v>20.6084389042864</v>
      </c>
      <c r="AG156" s="49" t="n">
        <f aca="false">IF(ISNUMBER($Q156), $Q156+10*LOG10($AB156/2/$Y156), "")</f>
        <v>168.776083105017</v>
      </c>
      <c r="AH156" s="49" t="n">
        <f aca="false">$X156+10*LOG10($AB156/2/$Y156)</f>
        <v>167.376083105017</v>
      </c>
      <c r="AI156" s="52" t="n">
        <f aca="false">AF156/AB156</f>
        <v>1.2880274315179E-007</v>
      </c>
      <c r="AJ156" s="53" t="n">
        <f aca="false">AH156+10*LOG10(AB156)</f>
        <v>249.417282931577</v>
      </c>
    </row>
    <row r="157" customFormat="false" ht="12.75" hidden="false" customHeight="false" outlineLevel="0" collapsed="false">
      <c r="A157" s="39" t="n">
        <v>2015</v>
      </c>
      <c r="B157" s="45" t="n">
        <v>3.2</v>
      </c>
      <c r="C157" s="43" t="s">
        <v>111</v>
      </c>
      <c r="D157" s="43" t="s">
        <v>112</v>
      </c>
      <c r="E157" s="43" t="n">
        <v>0.18</v>
      </c>
      <c r="F157" s="45" t="s">
        <v>2533</v>
      </c>
      <c r="G157" s="45" t="s">
        <v>2534</v>
      </c>
      <c r="H157" s="45" t="s">
        <v>2535</v>
      </c>
      <c r="I157" s="45" t="s">
        <v>2536</v>
      </c>
      <c r="J157" s="113" t="str">
        <f aca="false">IF(I157&lt;&gt;"?", HYPERLINK(CONCATENATE("https://doi.org/",I157)), "")</f>
        <v>https://doi.org/10.1109/VLSIC.2015.7231327</v>
      </c>
      <c r="K157" s="45" t="s">
        <v>117</v>
      </c>
      <c r="L157" s="69" t="n">
        <v>0.6</v>
      </c>
      <c r="M157" s="69"/>
      <c r="N157" s="69"/>
      <c r="O157" s="43" t="n">
        <f aca="false">256*4.5E-015*1000000000000</f>
        <v>1.152</v>
      </c>
      <c r="P157" s="43" t="n">
        <v>0.12</v>
      </c>
      <c r="Q157" s="41"/>
      <c r="R157" s="48" t="n">
        <f aca="false">AB157/2</f>
        <v>50000</v>
      </c>
      <c r="S157" s="41" t="n">
        <v>46.9</v>
      </c>
      <c r="W157" s="43" t="n">
        <v>63.8</v>
      </c>
      <c r="X157" s="49" t="n">
        <f aca="false">+IF(ISNUMBER($S157),$S157,MIN($V157,$T157,$U157,$W157))</f>
        <v>46.9</v>
      </c>
      <c r="Y157" s="48" t="n">
        <v>1.2E-007</v>
      </c>
      <c r="Z157" s="71" t="n">
        <v>100000</v>
      </c>
      <c r="AA157" s="50" t="n">
        <v>1</v>
      </c>
      <c r="AB157" s="48" t="n">
        <f aca="false">Z157/AA157</f>
        <v>100000</v>
      </c>
      <c r="AC157" s="114"/>
      <c r="AD157" s="107" t="n">
        <f aca="false">Y157/AB157*1000000000000</f>
        <v>1.2</v>
      </c>
      <c r="AE157" s="49" t="str">
        <f aca="false">IF(ISNUMBER($Q157),$AD157*1000/2^(($Q157-1.76)/6.02), "")</f>
        <v/>
      </c>
      <c r="AF157" s="49" t="n">
        <f aca="false">$AD157*1000/2^(($X157-1.76)/6.02)</f>
        <v>6.63676329355462</v>
      </c>
      <c r="AG157" s="49" t="str">
        <f aca="false">IF(ISNUMBER($Q157), $Q157+10*LOG10($AB157/2/$Y157), "")</f>
        <v/>
      </c>
      <c r="AH157" s="49" t="n">
        <f aca="false">$X157+10*LOG10($AB157/2/$Y157)</f>
        <v>163.097887582884</v>
      </c>
      <c r="AI157" s="52" t="n">
        <f aca="false">AF157/AB157</f>
        <v>6.63676329355462E-005</v>
      </c>
      <c r="AJ157" s="53" t="n">
        <f aca="false">AH157+10*LOG10(AB157)</f>
        <v>213.097887582884</v>
      </c>
    </row>
    <row r="158" customFormat="false" ht="12.75" hidden="false" customHeight="false" outlineLevel="0" collapsed="false">
      <c r="A158" s="43" t="n">
        <v>2015</v>
      </c>
      <c r="B158" s="45" t="n">
        <v>3.3</v>
      </c>
      <c r="C158" s="43" t="s">
        <v>111</v>
      </c>
      <c r="D158" s="43" t="s">
        <v>112</v>
      </c>
      <c r="E158" s="43" t="n">
        <v>0.014</v>
      </c>
      <c r="F158" s="45" t="s">
        <v>2537</v>
      </c>
      <c r="G158" s="45" t="s">
        <v>2538</v>
      </c>
      <c r="H158" s="45" t="s">
        <v>2539</v>
      </c>
      <c r="I158" s="45" t="s">
        <v>2540</v>
      </c>
      <c r="J158" s="113" t="str">
        <f aca="false">IF(I158&lt;&gt;"?", HYPERLINK(CONCATENATE("https://doi.org/",I158)), "")</f>
        <v>https://doi.org/10.1109/VLSIC.2015.7231328</v>
      </c>
      <c r="K158" s="45" t="s">
        <v>117</v>
      </c>
      <c r="L158" s="69" t="n">
        <v>1</v>
      </c>
      <c r="M158" s="69"/>
      <c r="N158" s="69"/>
      <c r="O158" s="43"/>
      <c r="P158" s="43" t="n">
        <v>0.019</v>
      </c>
      <c r="Q158" s="41" t="n">
        <v>69</v>
      </c>
      <c r="R158" s="48" t="n">
        <f aca="false">AB158/2</f>
        <v>35000000</v>
      </c>
      <c r="S158" s="41" t="n">
        <v>68.1</v>
      </c>
      <c r="W158" s="43" t="n">
        <v>82</v>
      </c>
      <c r="X158" s="49" t="n">
        <f aca="false">+IF(ISNUMBER($S158),$S158,MIN($V158,$T158,$U158,$W158))</f>
        <v>68.1</v>
      </c>
      <c r="Y158" s="48" t="n">
        <v>0.0043</v>
      </c>
      <c r="Z158" s="71" t="n">
        <v>70000000</v>
      </c>
      <c r="AA158" s="50" t="n">
        <v>1</v>
      </c>
      <c r="AB158" s="48" t="n">
        <f aca="false">Z158/AA158</f>
        <v>70000000</v>
      </c>
      <c r="AC158" s="114"/>
      <c r="AD158" s="107" t="n">
        <f aca="false">Y158/AB158*1000000000000</f>
        <v>61.4285714285714</v>
      </c>
      <c r="AE158" s="49" t="n">
        <f aca="false">IF(ISNUMBER($Q158),$AD158*1000/2^(($Q158-1.76)/6.02), "")</f>
        <v>26.6707593601167</v>
      </c>
      <c r="AF158" s="49" t="n">
        <f aca="false">$AD158*1000/2^(($X158-1.76)/6.02)</f>
        <v>29.5828400486008</v>
      </c>
      <c r="AG158" s="49" t="n">
        <f aca="false">IF(ISNUMBER($Q158), $Q158+10*LOG10($AB158/2/$Y158), "")</f>
        <v>168.105995887707</v>
      </c>
      <c r="AH158" s="49" t="n">
        <f aca="false">$X158+10*LOG10($AB158/2/$Y158)</f>
        <v>167.205995887707</v>
      </c>
      <c r="AI158" s="52" t="n">
        <f aca="false">AF158/AB158</f>
        <v>4.22612000694297E-007</v>
      </c>
      <c r="AJ158" s="53" t="n">
        <f aca="false">AH158+10*LOG10(AB158)</f>
        <v>245.656976287849</v>
      </c>
    </row>
    <row r="159" customFormat="false" ht="12.75" hidden="false" customHeight="false" outlineLevel="0" collapsed="false">
      <c r="A159" s="43" t="n">
        <v>2015</v>
      </c>
      <c r="B159" s="45" t="n">
        <v>3.4</v>
      </c>
      <c r="C159" s="43" t="s">
        <v>139</v>
      </c>
      <c r="D159" s="43" t="s">
        <v>112</v>
      </c>
      <c r="E159" s="43" t="n">
        <v>0.065</v>
      </c>
      <c r="F159" s="45" t="s">
        <v>2541</v>
      </c>
      <c r="G159" s="45" t="s">
        <v>2542</v>
      </c>
      <c r="H159" s="45" t="s">
        <v>2543</v>
      </c>
      <c r="I159" s="45" t="s">
        <v>2544</v>
      </c>
      <c r="J159" s="113" t="str">
        <f aca="false">IF(I159&lt;&gt;"?", HYPERLINK(CONCATENATE("https://doi.org/",I159)), "")</f>
        <v>https://doi.org/10.1109/VLSIC.2015.7231329</v>
      </c>
      <c r="K159" s="45" t="s">
        <v>117</v>
      </c>
      <c r="L159" s="69" t="n">
        <v>0.8</v>
      </c>
      <c r="M159" s="69"/>
      <c r="N159" s="69"/>
      <c r="O159" s="43"/>
      <c r="P159" s="43" t="n">
        <v>0.0123</v>
      </c>
      <c r="Q159" s="41"/>
      <c r="R159" s="48" t="n">
        <f aca="false">AB159/2</f>
        <v>6250000</v>
      </c>
      <c r="S159" s="41" t="n">
        <v>58</v>
      </c>
      <c r="X159" s="49" t="n">
        <f aca="false">+IF(ISNUMBER($S159),$S159,MIN($V159,$T159,$U159,$W159))</f>
        <v>58</v>
      </c>
      <c r="Y159" s="48" t="n">
        <v>0.0001207</v>
      </c>
      <c r="Z159" s="71" t="n">
        <v>50000000</v>
      </c>
      <c r="AA159" s="50" t="n">
        <v>4</v>
      </c>
      <c r="AB159" s="48" t="n">
        <f aca="false">Z159/AA159</f>
        <v>12500000</v>
      </c>
      <c r="AC159" s="114"/>
      <c r="AD159" s="107" t="n">
        <f aca="false">Y159/AB159*1000000000000</f>
        <v>9.656</v>
      </c>
      <c r="AE159" s="49" t="str">
        <f aca="false">IF(ISNUMBER($Q159),$AD159*1000/2^(($Q159-1.76)/6.02), "")</f>
        <v/>
      </c>
      <c r="AF159" s="49" t="n">
        <f aca="false">$AD159*1000/2^(($X159-1.76)/6.02)</f>
        <v>14.8770571659814</v>
      </c>
      <c r="AG159" s="49" t="str">
        <f aca="false">IF(ISNUMBER($Q159), $Q159+10*LOG10($AB159/2/$Y159), "")</f>
        <v/>
      </c>
      <c r="AH159" s="49" t="n">
        <f aca="false">$X159+10*LOG10($AB159/2/$Y159)</f>
        <v>165.141727472467</v>
      </c>
      <c r="AI159" s="52" t="n">
        <f aca="false">AF159/AB159</f>
        <v>1.19016457327851E-006</v>
      </c>
      <c r="AJ159" s="53" t="n">
        <f aca="false">AH159+10*LOG10(AB159)</f>
        <v>236.110827602548</v>
      </c>
    </row>
    <row r="160" customFormat="false" ht="12.75" hidden="false" customHeight="false" outlineLevel="0" collapsed="false">
      <c r="A160" s="43" t="n">
        <v>2015</v>
      </c>
      <c r="B160" s="45" t="n">
        <v>3.5</v>
      </c>
      <c r="C160" s="43" t="s">
        <v>111</v>
      </c>
      <c r="D160" s="43" t="s">
        <v>2545</v>
      </c>
      <c r="E160" s="43" t="n">
        <v>0.045</v>
      </c>
      <c r="F160" s="45" t="s">
        <v>2546</v>
      </c>
      <c r="G160" s="45" t="s">
        <v>2547</v>
      </c>
      <c r="H160" s="45" t="s">
        <v>2548</v>
      </c>
      <c r="I160" s="45" t="s">
        <v>2549</v>
      </c>
      <c r="J160" s="113" t="str">
        <f aca="false">IF(I160&lt;&gt;"?", HYPERLINK(CONCATENATE("https://doi.org/",I160)), "")</f>
        <v>https://doi.org/10.1109/VLSIC.2015.7231330</v>
      </c>
      <c r="K160" s="45" t="s">
        <v>117</v>
      </c>
      <c r="L160" s="69" t="n">
        <v>0.85</v>
      </c>
      <c r="M160" s="69"/>
      <c r="N160" s="69"/>
      <c r="O160" s="43"/>
      <c r="P160" s="43" t="n">
        <f aca="false">0.2*0.3</f>
        <v>0.06</v>
      </c>
      <c r="Q160" s="41" t="n">
        <v>68.2</v>
      </c>
      <c r="R160" s="48" t="n">
        <f aca="false">AB160/2</f>
        <v>100000000</v>
      </c>
      <c r="S160" s="41" t="n">
        <v>68</v>
      </c>
      <c r="W160" s="43" t="n">
        <v>70</v>
      </c>
      <c r="X160" s="49" t="n">
        <f aca="false">+IF(ISNUMBER($S160),$S160,MIN($V160,$T160,$U160,$W160))</f>
        <v>68</v>
      </c>
      <c r="Y160" s="48" t="n">
        <v>0.0034</v>
      </c>
      <c r="Z160" s="71" t="n">
        <v>200000000</v>
      </c>
      <c r="AA160" s="50" t="n">
        <v>1</v>
      </c>
      <c r="AB160" s="48" t="n">
        <f aca="false">Z160/AA160</f>
        <v>200000000</v>
      </c>
      <c r="AC160" s="114"/>
      <c r="AD160" s="107" t="n">
        <f aca="false">Y160/AB160*1000000000000</f>
        <v>17</v>
      </c>
      <c r="AE160" s="49" t="n">
        <f aca="false">IF(ISNUMBER($Q160),$AD160*1000/2^(($Q160-1.76)/6.02), "")</f>
        <v>8.09315527604133</v>
      </c>
      <c r="AF160" s="49" t="n">
        <f aca="false">$AD160*1000/2^(($X160-1.76)/6.02)</f>
        <v>8.2816880825827</v>
      </c>
      <c r="AG160" s="49" t="n">
        <f aca="false">IF(ISNUMBER($Q160), $Q160+10*LOG10($AB160/2/$Y160), "")</f>
        <v>172.885210829577</v>
      </c>
      <c r="AH160" s="49" t="n">
        <f aca="false">$X160+10*LOG10($AB160/2/$Y160)</f>
        <v>172.685210829577</v>
      </c>
      <c r="AI160" s="52" t="n">
        <f aca="false">AF160/AB160</f>
        <v>4.14084404129135E-008</v>
      </c>
      <c r="AJ160" s="53" t="n">
        <f aca="false">AH160+10*LOG10(AB160)</f>
        <v>255.695510786217</v>
      </c>
    </row>
    <row r="161" customFormat="false" ht="12.75" hidden="false" customHeight="false" outlineLevel="0" collapsed="false">
      <c r="A161" s="43" t="n">
        <v>2015</v>
      </c>
      <c r="B161" s="45" t="n">
        <v>11.1</v>
      </c>
      <c r="C161" s="43" t="s">
        <v>111</v>
      </c>
      <c r="D161" s="43" t="s">
        <v>2550</v>
      </c>
      <c r="E161" s="43" t="n">
        <v>0.065</v>
      </c>
      <c r="F161" s="45" t="s">
        <v>2551</v>
      </c>
      <c r="G161" s="45" t="s">
        <v>2552</v>
      </c>
      <c r="H161" s="45" t="s">
        <v>2553</v>
      </c>
      <c r="I161" s="45" t="s">
        <v>2554</v>
      </c>
      <c r="J161" s="113" t="str">
        <f aca="false">IF(I161&lt;&gt;"?", HYPERLINK(CONCATENATE("https://doi.org/",I161)), "")</f>
        <v>https://doi.org/10.1109/VLSIC.2015.7231248</v>
      </c>
      <c r="K161" s="45" t="s">
        <v>117</v>
      </c>
      <c r="L161" s="69"/>
      <c r="M161" s="69"/>
      <c r="N161" s="69"/>
      <c r="O161" s="43"/>
      <c r="P161" s="43" t="n">
        <v>0.24</v>
      </c>
      <c r="Q161" s="41" t="n">
        <v>32</v>
      </c>
      <c r="R161" s="48" t="n">
        <f aca="false">AB161/2</f>
        <v>12500000000</v>
      </c>
      <c r="S161" s="41" t="n">
        <v>29.7</v>
      </c>
      <c r="W161" s="43" t="n">
        <v>40</v>
      </c>
      <c r="X161" s="49" t="n">
        <f aca="false">+IF(ISNUMBER($S161),$S161,MIN($V161,$T161,$U161,$W161))</f>
        <v>29.7</v>
      </c>
      <c r="Y161" s="48" t="n">
        <v>0.088</v>
      </c>
      <c r="Z161" s="71" t="n">
        <v>25000000000</v>
      </c>
      <c r="AA161" s="50" t="n">
        <v>1</v>
      </c>
      <c r="AB161" s="48" t="n">
        <f aca="false">Z161/AA161</f>
        <v>25000000000</v>
      </c>
      <c r="AC161" s="114"/>
      <c r="AD161" s="107" t="n">
        <f aca="false">Y161/AB161*1000000000000</f>
        <v>3.52</v>
      </c>
      <c r="AE161" s="49" t="n">
        <f aca="false">IF(ISNUMBER($Q161),$AD161*1000/2^(($Q161-1.76)/6.02), "")</f>
        <v>108.241047774376</v>
      </c>
      <c r="AF161" s="49" t="n">
        <f aca="false">$AD161*1000/2^(($X161-1.76)/6.02)</f>
        <v>141.059859754657</v>
      </c>
      <c r="AG161" s="49" t="n">
        <f aca="false">IF(ISNUMBER($Q161), $Q161+10*LOG10($AB161/2/$Y161), "")</f>
        <v>143.524273408579</v>
      </c>
      <c r="AH161" s="49" t="n">
        <f aca="false">$X161+10*LOG10($AB161/2/$Y161)</f>
        <v>141.224273408579</v>
      </c>
      <c r="AI161" s="52" t="n">
        <f aca="false">AF161/AB161</f>
        <v>5.64239439018627E-009</v>
      </c>
      <c r="AJ161" s="53" t="n">
        <f aca="false">AH161+10*LOG10(AB161)</f>
        <v>245.203673495299</v>
      </c>
    </row>
    <row r="162" customFormat="false" ht="12.75" hidden="false" customHeight="false" outlineLevel="0" collapsed="false">
      <c r="A162" s="43" t="n">
        <v>2015</v>
      </c>
      <c r="B162" s="45" t="n">
        <v>11.2</v>
      </c>
      <c r="C162" s="43" t="s">
        <v>111</v>
      </c>
      <c r="D162" s="43" t="s">
        <v>2555</v>
      </c>
      <c r="E162" s="43" t="n">
        <v>0.028</v>
      </c>
      <c r="F162" s="45" t="s">
        <v>2556</v>
      </c>
      <c r="G162" s="45" t="s">
        <v>2557</v>
      </c>
      <c r="H162" s="45" t="s">
        <v>2558</v>
      </c>
      <c r="I162" s="45" t="s">
        <v>2559</v>
      </c>
      <c r="J162" s="113" t="str">
        <f aca="false">IF(I162&lt;&gt;"?", HYPERLINK(CONCATENATE("https://doi.org/",I162)), "")</f>
        <v>https://doi.org/10.1109/VLSIC.2015.7231249</v>
      </c>
      <c r="K162" s="45" t="s">
        <v>117</v>
      </c>
      <c r="L162" s="69" t="n">
        <v>0.65</v>
      </c>
      <c r="M162" s="69"/>
      <c r="N162" s="69"/>
      <c r="O162" s="43"/>
      <c r="P162" s="43" t="n">
        <v>0.0032</v>
      </c>
      <c r="Q162" s="41"/>
      <c r="R162" s="48" t="n">
        <f aca="false">AB162/2</f>
        <v>40000000</v>
      </c>
      <c r="S162" s="41" t="n">
        <v>40</v>
      </c>
      <c r="X162" s="49" t="n">
        <f aca="false">+IF(ISNUMBER($S162),$S162,MIN($V162,$T162,$U162,$W162))</f>
        <v>40</v>
      </c>
      <c r="Y162" s="48" t="n">
        <v>2.4E-005</v>
      </c>
      <c r="Z162" s="71" t="n">
        <v>80000000</v>
      </c>
      <c r="AA162" s="50" t="n">
        <v>1</v>
      </c>
      <c r="AB162" s="48" t="n">
        <f aca="false">Z162/AA162</f>
        <v>80000000</v>
      </c>
      <c r="AC162" s="114"/>
      <c r="AD162" s="107" t="n">
        <f aca="false">Y162/AB162*1000000000000</f>
        <v>0.3</v>
      </c>
      <c r="AE162" s="49" t="str">
        <f aca="false">IF(ISNUMBER($Q162),$AD162*1000/2^(($Q162-1.76)/6.02), "")</f>
        <v/>
      </c>
      <c r="AF162" s="49" t="n">
        <f aca="false">$AD162*1000/2^(($X162-1.76)/6.02)</f>
        <v>3.67223713029736</v>
      </c>
      <c r="AG162" s="49" t="str">
        <f aca="false">IF(ISNUMBER($Q162), $Q162+10*LOG10($AB162/2/$Y162), "")</f>
        <v/>
      </c>
      <c r="AH162" s="49" t="n">
        <f aca="false">$X162+10*LOG10($AB162/2/$Y162)</f>
        <v>162.218487496164</v>
      </c>
      <c r="AI162" s="52" t="n">
        <f aca="false">AF162/AB162</f>
        <v>4.5902964128717E-008</v>
      </c>
      <c r="AJ162" s="53" t="n">
        <f aca="false">AH162+10*LOG10(AB162)</f>
        <v>241.249387366083</v>
      </c>
    </row>
    <row r="163" customFormat="false" ht="12.75" hidden="false" customHeight="false" outlineLevel="0" collapsed="false">
      <c r="A163" s="43" t="n">
        <v>2015</v>
      </c>
      <c r="B163" s="45" t="n">
        <v>11.3</v>
      </c>
      <c r="C163" s="43" t="s">
        <v>111</v>
      </c>
      <c r="D163" s="43" t="s">
        <v>548</v>
      </c>
      <c r="E163" s="43" t="n">
        <v>0.028</v>
      </c>
      <c r="F163" s="45" t="s">
        <v>2560</v>
      </c>
      <c r="G163" s="45" t="s">
        <v>2561</v>
      </c>
      <c r="H163" s="45" t="s">
        <v>2562</v>
      </c>
      <c r="I163" s="45" t="s">
        <v>2563</v>
      </c>
      <c r="J163" s="113" t="str">
        <f aca="false">IF(I163&lt;&gt;"?", HYPERLINK(CONCATENATE("https://doi.org/",I163)), "")</f>
        <v>https://doi.org/10.1109/VLSIC.2015.7231250</v>
      </c>
      <c r="K163" s="45" t="s">
        <v>117</v>
      </c>
      <c r="L163" s="69" t="n">
        <v>1.6</v>
      </c>
      <c r="M163" s="69" t="n">
        <v>1.05</v>
      </c>
      <c r="N163" s="69"/>
      <c r="O163" s="43"/>
      <c r="P163" s="43" t="n">
        <v>0.14</v>
      </c>
      <c r="Q163" s="41" t="n">
        <v>27</v>
      </c>
      <c r="R163" s="48" t="n">
        <f aca="false">AB163/2</f>
        <v>23000000000</v>
      </c>
      <c r="S163" s="41" t="n">
        <v>25.2</v>
      </c>
      <c r="T163" s="43" t="n">
        <v>27</v>
      </c>
      <c r="W163" s="43" t="n">
        <v>32</v>
      </c>
      <c r="X163" s="49" t="n">
        <f aca="false">+IF(ISNUMBER($S163),$S163,MIN($V163,$T163,$U163,$W163))</f>
        <v>25.2</v>
      </c>
      <c r="Y163" s="48" t="n">
        <v>0.381</v>
      </c>
      <c r="Z163" s="71" t="n">
        <v>46000000000</v>
      </c>
      <c r="AA163" s="50" t="n">
        <v>1</v>
      </c>
      <c r="AB163" s="48" t="n">
        <f aca="false">Z163/AA163</f>
        <v>46000000000</v>
      </c>
      <c r="AC163" s="114"/>
      <c r="AD163" s="107" t="n">
        <f aca="false">Y163/AB163*1000000000000</f>
        <v>8.28260869565217</v>
      </c>
      <c r="AE163" s="49" t="n">
        <f aca="false">IF(ISNUMBER($Q163),$AD163*1000/2^(($Q163-1.76)/6.02), "")</f>
        <v>452.940735985416</v>
      </c>
      <c r="AF163" s="49" t="n">
        <f aca="false">$AD163*1000/2^(($X163-1.76)/6.02)</f>
        <v>557.250350410809</v>
      </c>
      <c r="AG163" s="49" t="n">
        <f aca="false">IF(ISNUMBER($Q163), $Q163+10*LOG10($AB163/2/$Y163), "")</f>
        <v>134.80802860342</v>
      </c>
      <c r="AH163" s="49" t="n">
        <f aca="false">$X163+10*LOG10($AB163/2/$Y163)</f>
        <v>133.00802860342</v>
      </c>
      <c r="AI163" s="52" t="n">
        <f aca="false">AF163/AB163</f>
        <v>1.21141380524089E-008</v>
      </c>
      <c r="AJ163" s="53" t="n">
        <f aca="false">AH163+10*LOG10(AB163)</f>
        <v>239.635606920235</v>
      </c>
    </row>
    <row r="164" customFormat="false" ht="12.75" hidden="false" customHeight="false" outlineLevel="0" collapsed="false">
      <c r="A164" s="43" t="n">
        <v>2015</v>
      </c>
      <c r="B164" s="45" t="n">
        <v>18.1</v>
      </c>
      <c r="C164" s="43" t="s">
        <v>139</v>
      </c>
      <c r="D164" s="43" t="s">
        <v>173</v>
      </c>
      <c r="E164" s="43" t="n">
        <v>0.04</v>
      </c>
      <c r="F164" s="45" t="s">
        <v>2564</v>
      </c>
      <c r="G164" s="45" t="s">
        <v>2565</v>
      </c>
      <c r="H164" s="45" t="s">
        <v>2566</v>
      </c>
      <c r="I164" s="45" t="s">
        <v>2567</v>
      </c>
      <c r="J164" s="113" t="str">
        <f aca="false">IF(I164&lt;&gt;"?", HYPERLINK(CONCATENATE("https://doi.org/",I164)), "")</f>
        <v>https://doi.org/10.1109/VLSIC.2015.7231277</v>
      </c>
      <c r="K164" s="45" t="s">
        <v>117</v>
      </c>
      <c r="L164" s="69" t="n">
        <v>1.1</v>
      </c>
      <c r="M164" s="69"/>
      <c r="N164" s="69"/>
      <c r="O164" s="43"/>
      <c r="P164" s="43" t="n">
        <v>0.09</v>
      </c>
      <c r="Q164" s="41"/>
      <c r="R164" s="48" t="n">
        <f aca="false">AB164/2</f>
        <v>75000000</v>
      </c>
      <c r="S164" s="41" t="n">
        <v>64.9</v>
      </c>
      <c r="T164" s="43" t="n">
        <v>65.4</v>
      </c>
      <c r="U164" s="43" t="n">
        <v>67.7</v>
      </c>
      <c r="V164" s="43" t="n">
        <v>74.5</v>
      </c>
      <c r="X164" s="49" t="n">
        <f aca="false">+IF(ISNUMBER($S164),$S164,MIN($V164,$T164,$U164,$W164))</f>
        <v>64.9</v>
      </c>
      <c r="Y164" s="48" t="n">
        <v>0.0228</v>
      </c>
      <c r="Z164" s="71" t="n">
        <v>3200000000</v>
      </c>
      <c r="AA164" s="50" t="n">
        <f aca="false">3200/150</f>
        <v>21.3333333333333</v>
      </c>
      <c r="AB164" s="48" t="n">
        <f aca="false">Z164/AA164</f>
        <v>150000000</v>
      </c>
      <c r="AC164" s="114"/>
      <c r="AD164" s="107" t="n">
        <f aca="false">Y164/AB164*1000000000000</f>
        <v>152</v>
      </c>
      <c r="AE164" s="49" t="str">
        <f aca="false">IF(ISNUMBER($Q164),$AD164*1000/2^(($Q164-1.76)/6.02), "")</f>
        <v/>
      </c>
      <c r="AF164" s="49" t="n">
        <f aca="false">$AD164*1000/2^(($X164-1.76)/6.02)</f>
        <v>105.810552538052</v>
      </c>
      <c r="AG164" s="49" t="str">
        <f aca="false">IF(ISNUMBER($Q164), $Q164+10*LOG10($AB164/2/$Y164), "")</f>
        <v/>
      </c>
      <c r="AH164" s="49" t="n">
        <f aca="false">$X164+10*LOG10($AB164/2/$Y164)</f>
        <v>160.071264163912</v>
      </c>
      <c r="AI164" s="52" t="n">
        <f aca="false">AF164/AB164</f>
        <v>7.05403683587016E-007</v>
      </c>
      <c r="AJ164" s="53" t="n">
        <f aca="false">AH164+10*LOG10(AB164)</f>
        <v>241.832176754469</v>
      </c>
    </row>
    <row r="165" customFormat="false" ht="12.75" hidden="false" customHeight="false" outlineLevel="0" collapsed="false">
      <c r="A165" s="43" t="n">
        <v>2015</v>
      </c>
      <c r="B165" s="45" t="n">
        <v>18.2</v>
      </c>
      <c r="C165" s="43" t="s">
        <v>139</v>
      </c>
      <c r="D165" s="43" t="s">
        <v>981</v>
      </c>
      <c r="E165" s="43" t="n">
        <v>0.065</v>
      </c>
      <c r="F165" s="45" t="s">
        <v>2568</v>
      </c>
      <c r="G165" s="45" t="s">
        <v>2569</v>
      </c>
      <c r="H165" s="45" t="s">
        <v>2570</v>
      </c>
      <c r="I165" s="45" t="s">
        <v>2571</v>
      </c>
      <c r="J165" s="113" t="str">
        <f aca="false">IF(I165&lt;&gt;"?", HYPERLINK(CONCATENATE("https://doi.org/",I165)), "")</f>
        <v>https://doi.org/10.1109/VLSIC.2015.7231278</v>
      </c>
      <c r="K165" s="45" t="s">
        <v>117</v>
      </c>
      <c r="L165" s="69"/>
      <c r="M165" s="69"/>
      <c r="N165" s="69"/>
      <c r="O165" s="43"/>
      <c r="P165" s="43" t="n">
        <v>0.5</v>
      </c>
      <c r="Q165" s="41"/>
      <c r="R165" s="48" t="n">
        <f aca="false">AB165/2</f>
        <v>50000000</v>
      </c>
      <c r="S165" s="41" t="n">
        <v>71.5</v>
      </c>
      <c r="T165" s="43" t="n">
        <v>71.7</v>
      </c>
      <c r="U165" s="43" t="n">
        <v>72</v>
      </c>
      <c r="W165" s="43" t="n">
        <v>90</v>
      </c>
      <c r="X165" s="49" t="n">
        <f aca="false">+IF(ISNUMBER($S165),$S165,MIN($V165,$T165,$U165,$W165))</f>
        <v>71.5</v>
      </c>
      <c r="Y165" s="48" t="n">
        <v>0.054</v>
      </c>
      <c r="Z165" s="71" t="n">
        <v>1200000000</v>
      </c>
      <c r="AA165" s="50" t="n">
        <f aca="false">1200/100</f>
        <v>12</v>
      </c>
      <c r="AB165" s="48" t="n">
        <f aca="false">Z165/AA165</f>
        <v>100000000</v>
      </c>
      <c r="AC165" s="114"/>
      <c r="AD165" s="107" t="n">
        <f aca="false">Y165/AB165*1000000000000</f>
        <v>540</v>
      </c>
      <c r="AE165" s="49" t="str">
        <f aca="false">IF(ISNUMBER($Q165),$AD165*1000/2^(($Q165-1.76)/6.02), "")</f>
        <v/>
      </c>
      <c r="AF165" s="49" t="n">
        <f aca="false">$AD165*1000/2^(($X165-1.76)/6.02)</f>
        <v>175.811090822828</v>
      </c>
      <c r="AG165" s="49" t="str">
        <f aca="false">IF(ISNUMBER($Q165), $Q165+10*LOG10($AB165/2/$Y165), "")</f>
        <v/>
      </c>
      <c r="AH165" s="49" t="n">
        <f aca="false">$X165+10*LOG10($AB165/2/$Y165)</f>
        <v>161.165762445131</v>
      </c>
      <c r="AI165" s="52" t="n">
        <f aca="false">AF165/AB165</f>
        <v>1.75811090822828E-006</v>
      </c>
      <c r="AJ165" s="53" t="n">
        <f aca="false">AH165+10*LOG10(AB165)</f>
        <v>241.16576244513</v>
      </c>
    </row>
    <row r="166" customFormat="false" ht="12.75" hidden="false" customHeight="false" outlineLevel="0" collapsed="false">
      <c r="A166" s="43" t="n">
        <v>2015</v>
      </c>
      <c r="B166" s="45" t="n">
        <v>18.3</v>
      </c>
      <c r="C166" s="43" t="s">
        <v>139</v>
      </c>
      <c r="D166" s="43" t="s">
        <v>173</v>
      </c>
      <c r="E166" s="43" t="n">
        <v>0.13</v>
      </c>
      <c r="F166" s="45" t="s">
        <v>2572</v>
      </c>
      <c r="G166" s="45" t="s">
        <v>2573</v>
      </c>
      <c r="H166" s="45" t="s">
        <v>2574</v>
      </c>
      <c r="I166" s="45" t="s">
        <v>2575</v>
      </c>
      <c r="J166" s="113" t="str">
        <f aca="false">IF(I166&lt;&gt;"?", HYPERLINK(CONCATENATE("https://doi.org/",I166)), "")</f>
        <v>https://doi.org/10.1109/VLSIC.2015.7231279</v>
      </c>
      <c r="K166" s="45" t="s">
        <v>117</v>
      </c>
      <c r="L166" s="69" t="n">
        <v>1.2</v>
      </c>
      <c r="M166" s="69"/>
      <c r="N166" s="69"/>
      <c r="O166" s="43"/>
      <c r="P166" s="43" t="n">
        <v>0.08</v>
      </c>
      <c r="Q166" s="41"/>
      <c r="R166" s="48" t="n">
        <f aca="false">AB166/2</f>
        <v>10000000</v>
      </c>
      <c r="S166" s="41" t="n">
        <v>75.3</v>
      </c>
      <c r="T166" s="43" t="n">
        <v>75.5</v>
      </c>
      <c r="U166" s="43" t="n">
        <v>78.5</v>
      </c>
      <c r="W166" s="43" t="n">
        <v>94.1</v>
      </c>
      <c r="X166" s="49" t="n">
        <f aca="false">+IF(ISNUMBER($S166),$S166,MIN($V166,$T166,$U166,$W166))</f>
        <v>75.3</v>
      </c>
      <c r="Y166" s="48" t="n">
        <v>0.0072</v>
      </c>
      <c r="Z166" s="71" t="n">
        <v>640000000</v>
      </c>
      <c r="AA166" s="50" t="n">
        <v>32</v>
      </c>
      <c r="AB166" s="48" t="n">
        <f aca="false">Z166/AA166</f>
        <v>20000000</v>
      </c>
      <c r="AC166" s="114"/>
      <c r="AD166" s="107" t="n">
        <f aca="false">Y166/AB166*1000000000000</f>
        <v>360</v>
      </c>
      <c r="AE166" s="49" t="str">
        <f aca="false">IF(ISNUMBER($Q166),$AD166*1000/2^(($Q166-1.76)/6.02), "")</f>
        <v/>
      </c>
      <c r="AF166" s="49" t="n">
        <f aca="false">$AD166*1000/2^(($X166-1.76)/6.02)</f>
        <v>75.6721503478507</v>
      </c>
      <c r="AG166" s="49" t="str">
        <f aca="false">IF(ISNUMBER($Q166), $Q166+10*LOG10($AB166/2/$Y166), "")</f>
        <v/>
      </c>
      <c r="AH166" s="49" t="n">
        <f aca="false">$X166+10*LOG10($AB166/2/$Y166)</f>
        <v>166.726675035687</v>
      </c>
      <c r="AI166" s="52" t="n">
        <f aca="false">AF166/AB166</f>
        <v>3.78360751739254E-006</v>
      </c>
      <c r="AJ166" s="53" t="n">
        <f aca="false">AH166+10*LOG10(AB166)</f>
        <v>239.736974992327</v>
      </c>
    </row>
    <row r="167" customFormat="false" ht="12.75" hidden="false" customHeight="false" outlineLevel="0" collapsed="false">
      <c r="A167" s="43" t="n">
        <v>2015</v>
      </c>
      <c r="B167" s="45" t="n">
        <v>18.4</v>
      </c>
      <c r="C167" s="43" t="s">
        <v>139</v>
      </c>
      <c r="D167" s="43" t="s">
        <v>173</v>
      </c>
      <c r="E167" s="43" t="n">
        <v>0.016</v>
      </c>
      <c r="F167" s="45" t="s">
        <v>2576</v>
      </c>
      <c r="G167" s="45" t="s">
        <v>2577</v>
      </c>
      <c r="H167" s="45" t="s">
        <v>2578</v>
      </c>
      <c r="I167" s="45" t="s">
        <v>2579</v>
      </c>
      <c r="J167" s="113" t="str">
        <f aca="false">IF(I167&lt;&gt;"?", HYPERLINK(CONCATENATE("https://doi.org/",I167)), "")</f>
        <v>https://doi.org/10.1109/VLSIC.2015.7231280</v>
      </c>
      <c r="K167" s="45" t="s">
        <v>117</v>
      </c>
      <c r="L167" s="69"/>
      <c r="M167" s="69"/>
      <c r="N167" s="69"/>
      <c r="O167" s="43"/>
      <c r="P167" s="43" t="n">
        <v>0.23</v>
      </c>
      <c r="Q167" s="41"/>
      <c r="R167" s="48" t="n">
        <f aca="false">AB167/2</f>
        <v>39000000</v>
      </c>
      <c r="S167" s="41" t="n">
        <v>67.7</v>
      </c>
      <c r="U167" s="43" t="n">
        <v>78.5</v>
      </c>
      <c r="X167" s="49" t="n">
        <f aca="false">+IF(ISNUMBER($S167),$S167,MIN($V167,$T167,$U167,$W167))</f>
        <v>67.7</v>
      </c>
      <c r="Y167" s="48" t="n">
        <v>0.0124</v>
      </c>
      <c r="Z167" s="71" t="n">
        <v>832000000</v>
      </c>
      <c r="AA167" s="50" t="n">
        <f aca="false">832/78</f>
        <v>10.6666666666667</v>
      </c>
      <c r="AB167" s="48" t="n">
        <f aca="false">Z167/AA167</f>
        <v>78000000</v>
      </c>
      <c r="AC167" s="114"/>
      <c r="AD167" s="107" t="n">
        <f aca="false">Y167/AB167*1000000000000</f>
        <v>158.974358974359</v>
      </c>
      <c r="AE167" s="49" t="str">
        <f aca="false">IF(ISNUMBER($Q167),$AD167*1000/2^(($Q167-1.76)/6.02), "")</f>
        <v/>
      </c>
      <c r="AF167" s="49" t="n">
        <f aca="false">$AD167*1000/2^(($X167-1.76)/6.02)</f>
        <v>80.1675341224359</v>
      </c>
      <c r="AG167" s="49" t="str">
        <f aca="false">IF(ISNUMBER($Q167), $Q167+10*LOG10($AB167/2/$Y167), "")</f>
        <v/>
      </c>
      <c r="AH167" s="49" t="n">
        <f aca="false">$X167+10*LOG10($AB167/2/$Y167)</f>
        <v>162.676429218643</v>
      </c>
      <c r="AI167" s="52" t="n">
        <f aca="false">AF167/AB167</f>
        <v>1.02778889900559E-006</v>
      </c>
      <c r="AJ167" s="53" t="n">
        <f aca="false">AH167+10*LOG10(AB167)</f>
        <v>241.597375245547</v>
      </c>
    </row>
    <row r="168" customFormat="false" ht="12.75" hidden="false" customHeight="false" outlineLevel="0" collapsed="false">
      <c r="A168" s="43" t="n">
        <v>2015</v>
      </c>
      <c r="B168" s="45" t="n">
        <v>18.5</v>
      </c>
      <c r="C168" s="43" t="s">
        <v>139</v>
      </c>
      <c r="D168" s="43" t="s">
        <v>173</v>
      </c>
      <c r="E168" s="43" t="n">
        <v>0.04</v>
      </c>
      <c r="F168" s="45" t="s">
        <v>2580</v>
      </c>
      <c r="G168" s="45" t="s">
        <v>2581</v>
      </c>
      <c r="H168" s="45" t="s">
        <v>2582</v>
      </c>
      <c r="I168" s="45" t="s">
        <v>2583</v>
      </c>
      <c r="J168" s="113" t="str">
        <f aca="false">IF(I168&lt;&gt;"?", HYPERLINK(CONCATENATE("https://doi.org/",I168)), "")</f>
        <v>https://doi.org/10.1109/VLSIC.2015.7231281</v>
      </c>
      <c r="K168" s="45" t="s">
        <v>2584</v>
      </c>
      <c r="L168" s="69"/>
      <c r="M168" s="69"/>
      <c r="N168" s="69"/>
      <c r="O168" s="43"/>
      <c r="P168" s="43" t="n">
        <v>0.0194</v>
      </c>
      <c r="Q168" s="41"/>
      <c r="R168" s="48" t="n">
        <f aca="false">AB168/2</f>
        <v>40000000</v>
      </c>
      <c r="S168" s="41" t="n">
        <v>66.9</v>
      </c>
      <c r="U168" s="43" t="n">
        <v>67.8</v>
      </c>
      <c r="X168" s="49" t="n">
        <f aca="false">+IF(ISNUMBER($S168),$S168,MIN($V168,$T168,$U168,$W168))</f>
        <v>66.9</v>
      </c>
      <c r="Y168" s="48" t="n">
        <v>0.00525</v>
      </c>
      <c r="Z168" s="71" t="n">
        <v>2400000000</v>
      </c>
      <c r="AA168" s="50" t="n">
        <f aca="false">2400/80</f>
        <v>30</v>
      </c>
      <c r="AB168" s="48" t="n">
        <f aca="false">Z168/AA168</f>
        <v>80000000</v>
      </c>
      <c r="AC168" s="114"/>
      <c r="AD168" s="107" t="n">
        <f aca="false">Y168/AB168*1000000000000</f>
        <v>65.625</v>
      </c>
      <c r="AE168" s="49" t="str">
        <f aca="false">IF(ISNUMBER($Q168),$AD168*1000/2^(($Q168-1.76)/6.02), "")</f>
        <v/>
      </c>
      <c r="AF168" s="49" t="n">
        <f aca="false">$AD168*1000/2^(($X168-1.76)/6.02)</f>
        <v>36.2864719993014</v>
      </c>
      <c r="AG168" s="49" t="str">
        <f aca="false">IF(ISNUMBER($Q168), $Q168+10*LOG10($AB168/2/$Y168), "")</f>
        <v/>
      </c>
      <c r="AH168" s="49" t="n">
        <f aca="false">$X168+10*LOG10($AB168/2/$Y168)</f>
        <v>165.71900687922</v>
      </c>
      <c r="AI168" s="52" t="n">
        <f aca="false">AF168/AB168</f>
        <v>4.53580899991268E-007</v>
      </c>
      <c r="AJ168" s="53" t="n">
        <f aca="false">AH168+10*LOG10(AB168)</f>
        <v>244.749906749139</v>
      </c>
    </row>
    <row r="169" customFormat="false" ht="12.75" hidden="false" customHeight="false" outlineLevel="0" collapsed="false">
      <c r="A169" s="43" t="n">
        <v>2015</v>
      </c>
      <c r="B169" s="45" t="n">
        <v>21.1</v>
      </c>
      <c r="C169" s="43" t="s">
        <v>139</v>
      </c>
      <c r="D169" s="43" t="s">
        <v>173</v>
      </c>
      <c r="E169" s="43" t="n">
        <v>0.065</v>
      </c>
      <c r="F169" s="45" t="s">
        <v>2585</v>
      </c>
      <c r="G169" s="45" t="s">
        <v>2586</v>
      </c>
      <c r="H169" s="45" t="s">
        <v>2587</v>
      </c>
      <c r="I169" s="45" t="s">
        <v>2588</v>
      </c>
      <c r="J169" s="113" t="str">
        <f aca="false">IF(I169&lt;&gt;"?", HYPERLINK(CONCATENATE("https://doi.org/",I169)), "")</f>
        <v>https://doi.org/10.1109/VLSIC.2015.7231294</v>
      </c>
      <c r="K169" s="45" t="s">
        <v>117</v>
      </c>
      <c r="L169" s="69" t="n">
        <v>0.7</v>
      </c>
      <c r="M169" s="69"/>
      <c r="N169" s="69"/>
      <c r="O169" s="43"/>
      <c r="P169" s="43" t="n">
        <v>0.013</v>
      </c>
      <c r="Q169" s="41"/>
      <c r="R169" s="48" t="n">
        <f aca="false">AB169/2</f>
        <v>2000000</v>
      </c>
      <c r="S169" s="41" t="n">
        <v>69.1</v>
      </c>
      <c r="U169" s="43" t="n">
        <v>76.2</v>
      </c>
      <c r="X169" s="49" t="n">
        <f aca="false">+IF(ISNUMBER($S169),$S169,MIN($V169,$T169,$U169,$W169))</f>
        <v>69.1</v>
      </c>
      <c r="Y169" s="48" t="n">
        <v>0.000256</v>
      </c>
      <c r="Z169" s="71" t="n">
        <v>320000000</v>
      </c>
      <c r="AA169" s="50" t="n">
        <f aca="false">320/4</f>
        <v>80</v>
      </c>
      <c r="AB169" s="48" t="n">
        <f aca="false">Z169/AA169</f>
        <v>4000000</v>
      </c>
      <c r="AC169" s="114"/>
      <c r="AD169" s="107" t="n">
        <f aca="false">Y169/AB169*1000000000000</f>
        <v>64</v>
      </c>
      <c r="AE169" s="49" t="str">
        <f aca="false">IF(ISNUMBER($Q169),$AD169*1000/2^(($Q169-1.76)/6.02), "")</f>
        <v/>
      </c>
      <c r="AF169" s="49" t="n">
        <f aca="false">$AD169*1000/2^(($X169-1.76)/6.02)</f>
        <v>27.4691006767905</v>
      </c>
      <c r="AG169" s="49" t="str">
        <f aca="false">IF(ISNUMBER($Q169), $Q169+10*LOG10($AB169/2/$Y169), "")</f>
        <v/>
      </c>
      <c r="AH169" s="49" t="n">
        <f aca="false">$X169+10*LOG10($AB169/2/$Y169)</f>
        <v>168.027900303521</v>
      </c>
      <c r="AI169" s="52" t="n">
        <f aca="false">AF169/AB169</f>
        <v>6.86727516919763E-006</v>
      </c>
      <c r="AJ169" s="53" t="n">
        <f aca="false">AH169+10*LOG10(AB169)</f>
        <v>234.048500216801</v>
      </c>
    </row>
    <row r="170" customFormat="false" ht="12.75" hidden="false" customHeight="false" outlineLevel="0" collapsed="false">
      <c r="A170" s="43" t="n">
        <v>2015</v>
      </c>
      <c r="B170" s="45" t="n">
        <v>21.2</v>
      </c>
      <c r="C170" s="43" t="s">
        <v>139</v>
      </c>
      <c r="D170" s="43" t="s">
        <v>173</v>
      </c>
      <c r="E170" s="43" t="n">
        <v>0.028</v>
      </c>
      <c r="F170" s="45" t="s">
        <v>2589</v>
      </c>
      <c r="G170" s="45" t="s">
        <v>2590</v>
      </c>
      <c r="H170" s="45" t="s">
        <v>2591</v>
      </c>
      <c r="I170" s="45" t="s">
        <v>2592</v>
      </c>
      <c r="J170" s="113" t="str">
        <f aca="false">IF(I170&lt;&gt;"?", HYPERLINK(CONCATENATE("https://doi.org/",I170)), "")</f>
        <v>https://doi.org/10.1109/VLSIC.2015.7231295</v>
      </c>
      <c r="K170" s="45" t="s">
        <v>117</v>
      </c>
      <c r="L170" s="69" t="n">
        <v>1.8</v>
      </c>
      <c r="M170" s="69" t="n">
        <v>0.9</v>
      </c>
      <c r="N170" s="69"/>
      <c r="O170" s="43"/>
      <c r="P170" s="43" t="n">
        <v>0.066</v>
      </c>
      <c r="Q170" s="41"/>
      <c r="R170" s="48" t="n">
        <f aca="false">AB170/2</f>
        <v>5000000</v>
      </c>
      <c r="S170" s="41" t="n">
        <v>80.5</v>
      </c>
      <c r="U170" s="43" t="n">
        <v>83.9</v>
      </c>
      <c r="W170" s="43" t="n">
        <v>94</v>
      </c>
      <c r="X170" s="49" t="n">
        <f aca="false">+IF(ISNUMBER($S170),$S170,MIN($V170,$T170,$U170,$W170))</f>
        <v>80.5</v>
      </c>
      <c r="Y170" s="48" t="n">
        <v>0.00316</v>
      </c>
      <c r="Z170" s="71" t="n">
        <v>432000000</v>
      </c>
      <c r="AA170" s="50" t="n">
        <f aca="false">432/10</f>
        <v>43.2</v>
      </c>
      <c r="AB170" s="48" t="n">
        <f aca="false">Z170/AA170</f>
        <v>10000000</v>
      </c>
      <c r="AC170" s="114"/>
      <c r="AD170" s="107" t="n">
        <f aca="false">Y170/AB170*1000000000000</f>
        <v>316</v>
      </c>
      <c r="AE170" s="49" t="str">
        <f aca="false">IF(ISNUMBER($Q170),$AD170*1000/2^(($Q170-1.76)/6.02), "")</f>
        <v/>
      </c>
      <c r="AF170" s="49" t="n">
        <f aca="false">$AD170*1000/2^(($X170-1.76)/6.02)</f>
        <v>36.5001582432018</v>
      </c>
      <c r="AG170" s="49" t="str">
        <f aca="false">IF(ISNUMBER($Q170), $Q170+10*LOG10($AB170/2/$Y170), "")</f>
        <v/>
      </c>
      <c r="AH170" s="49" t="n">
        <f aca="false">$X170+10*LOG10($AB170/2/$Y170)</f>
        <v>172.492829217176</v>
      </c>
      <c r="AI170" s="52" t="n">
        <f aca="false">AF170/AB170</f>
        <v>3.65001582432018E-006</v>
      </c>
      <c r="AJ170" s="53" t="n">
        <f aca="false">AH170+10*LOG10(AB170)</f>
        <v>242.492829217176</v>
      </c>
    </row>
    <row r="171" customFormat="false" ht="12.75" hidden="false" customHeight="true" outlineLevel="0" collapsed="false">
      <c r="A171" s="43" t="n">
        <v>2015</v>
      </c>
      <c r="B171" s="45" t="n">
        <v>21.3</v>
      </c>
      <c r="C171" s="43" t="s">
        <v>139</v>
      </c>
      <c r="D171" s="43" t="s">
        <v>173</v>
      </c>
      <c r="E171" s="43" t="n">
        <v>0.065</v>
      </c>
      <c r="F171" s="45" t="s">
        <v>2593</v>
      </c>
      <c r="G171" s="45" t="s">
        <v>2594</v>
      </c>
      <c r="H171" s="45" t="s">
        <v>2595</v>
      </c>
      <c r="I171" s="45" t="s">
        <v>2596</v>
      </c>
      <c r="J171" s="113" t="str">
        <f aca="false">IF(I171&lt;&gt;"?", HYPERLINK(CONCATENATE("https://doi.org/",I171)), "")</f>
        <v>https://doi.org/10.1109/VLSIC.2015.7231296</v>
      </c>
      <c r="K171" s="45" t="s">
        <v>117</v>
      </c>
      <c r="L171" s="69" t="n">
        <v>1.1</v>
      </c>
      <c r="M171" s="69"/>
      <c r="N171" s="69"/>
      <c r="O171" s="43"/>
      <c r="P171" s="43" t="n">
        <v>0.6</v>
      </c>
      <c r="Q171" s="41"/>
      <c r="R171" s="48" t="n">
        <f aca="false">AB171/2</f>
        <v>24000</v>
      </c>
      <c r="S171" s="41" t="n">
        <v>85</v>
      </c>
      <c r="U171" s="43" t="n">
        <v>88</v>
      </c>
      <c r="X171" s="49" t="n">
        <f aca="false">+IF(ISNUMBER($S171),$S171,MIN($V171,$T171,$U171,$W171))</f>
        <v>85</v>
      </c>
      <c r="Y171" s="48" t="n">
        <v>0.000121</v>
      </c>
      <c r="Z171" s="71" t="n">
        <v>3072000</v>
      </c>
      <c r="AA171" s="50" t="n">
        <f aca="false">3072/48</f>
        <v>64</v>
      </c>
      <c r="AB171" s="48" t="n">
        <f aca="false">Z171/AA171</f>
        <v>48000</v>
      </c>
      <c r="AC171" s="114"/>
      <c r="AD171" s="107" t="n">
        <f aca="false">Y171/AB171*1000000000000</f>
        <v>2520.83333333333</v>
      </c>
      <c r="AE171" s="49" t="str">
        <f aca="false">IF(ISNUMBER($Q171),$AD171*1000/2^(($Q171-1.76)/6.02), "")</f>
        <v/>
      </c>
      <c r="AF171" s="49" t="n">
        <f aca="false">$AD171*1000/2^(($X171-1.76)/6.02)</f>
        <v>173.432057208662</v>
      </c>
      <c r="AG171" s="49" t="str">
        <f aca="false">IF(ISNUMBER($Q171), $Q171+10*LOG10($AB171/2/$Y171), "")</f>
        <v/>
      </c>
      <c r="AH171" s="49" t="n">
        <f aca="false">$X171+10*LOG10($AB171/2/$Y171)</f>
        <v>167.974258713952</v>
      </c>
      <c r="AI171" s="52" t="n">
        <f aca="false">AF171/AB171</f>
        <v>0.00361316785851379</v>
      </c>
      <c r="AJ171" s="53" t="n">
        <f aca="false">AH171+10*LOG10(AB171)</f>
        <v>214.786671087707</v>
      </c>
    </row>
    <row r="172" customFormat="false" ht="12.75" hidden="false" customHeight="false" outlineLevel="0" collapsed="false">
      <c r="A172" s="39" t="n">
        <v>2016</v>
      </c>
      <c r="B172" s="45" t="n">
        <v>3.1</v>
      </c>
      <c r="C172" s="43" t="s">
        <v>139</v>
      </c>
      <c r="D172" s="43" t="s">
        <v>112</v>
      </c>
      <c r="E172" s="43" t="n">
        <v>0.028</v>
      </c>
      <c r="F172" s="45" t="s">
        <v>2597</v>
      </c>
      <c r="G172" s="45" t="s">
        <v>2598</v>
      </c>
      <c r="H172" s="45" t="s">
        <v>2599</v>
      </c>
      <c r="I172" s="45" t="s">
        <v>2600</v>
      </c>
      <c r="J172" s="113" t="str">
        <f aca="false">IF(I172&lt;&gt;"?", HYPERLINK(CONCATENATE("https://doi.org/",I172)), "")</f>
        <v>https://doi.org/10.1109/VLSIC.2016.7573463</v>
      </c>
      <c r="K172" s="45" t="s">
        <v>117</v>
      </c>
      <c r="L172" s="69" t="n">
        <v>1.55</v>
      </c>
      <c r="M172" s="69" t="n">
        <v>0.75</v>
      </c>
      <c r="N172" s="69"/>
      <c r="O172" s="43"/>
      <c r="P172" s="43" t="n">
        <v>0.116</v>
      </c>
      <c r="Q172" s="41"/>
      <c r="R172" s="48" t="n">
        <v>2000</v>
      </c>
      <c r="S172" s="41" t="n">
        <v>97.99</v>
      </c>
      <c r="T172" s="43" t="n">
        <v>98.57</v>
      </c>
      <c r="W172" s="43" t="n">
        <v>111.8</v>
      </c>
      <c r="X172" s="49" t="n">
        <f aca="false">+IF(ISNUMBER($S172),$S172,MIN($V172,$T172,$U172,$W172))</f>
        <v>97.99</v>
      </c>
      <c r="Y172" s="48" t="n">
        <v>3.71E-005</v>
      </c>
      <c r="Z172" s="71" t="n">
        <v>100000</v>
      </c>
      <c r="AA172" s="50" t="n">
        <f aca="false">Z172/AB172</f>
        <v>25</v>
      </c>
      <c r="AB172" s="48" t="n">
        <v>4000</v>
      </c>
      <c r="AC172" s="114"/>
      <c r="AD172" s="107" t="n">
        <f aca="false">Y172/AB172*1000000000000</f>
        <v>9275</v>
      </c>
      <c r="AE172" s="49" t="str">
        <f aca="false">IF(ISNUMBER($Q172),$AD172*1000/2^(($Q172-1.76)/6.02), "")</f>
        <v/>
      </c>
      <c r="AF172" s="49" t="n">
        <f aca="false">$AD172*1000/2^(($X172-1.76)/6.02)</f>
        <v>142.999472721196</v>
      </c>
      <c r="AG172" s="49" t="str">
        <f aca="false">IF(ISNUMBER($Q172), $Q172+10*LOG10($AB172/2/$Y172), "")</f>
        <v/>
      </c>
      <c r="AH172" s="49" t="n">
        <f aca="false">$X172+10*LOG10($AB172/2/$Y172)</f>
        <v>175.306560860489</v>
      </c>
      <c r="AI172" s="52" t="n">
        <f aca="false">AF172/AB172</f>
        <v>0.035749868180299</v>
      </c>
      <c r="AJ172" s="53" t="n">
        <f aca="false">AH172+10*LOG10(AB172)</f>
        <v>211.327160773769</v>
      </c>
    </row>
    <row r="173" customFormat="false" ht="12.75" hidden="false" customHeight="false" outlineLevel="0" collapsed="false">
      <c r="A173" s="43" t="n">
        <v>2016</v>
      </c>
      <c r="B173" s="45" t="n">
        <v>3.2</v>
      </c>
      <c r="C173" s="43" t="s">
        <v>139</v>
      </c>
      <c r="D173" s="43" t="s">
        <v>2601</v>
      </c>
      <c r="E173" s="43" t="n">
        <v>0.18</v>
      </c>
      <c r="F173" s="45" t="s">
        <v>2602</v>
      </c>
      <c r="G173" s="45" t="s">
        <v>2603</v>
      </c>
      <c r="H173" s="45" t="s">
        <v>2604</v>
      </c>
      <c r="I173" s="45" t="s">
        <v>2605</v>
      </c>
      <c r="J173" s="113" t="str">
        <f aca="false">IF(I173&lt;&gt;"?", HYPERLINK(CONCATENATE("https://doi.org/",I173)), "")</f>
        <v>https://doi.org/10.1109/VLSIC.2016.7573464</v>
      </c>
      <c r="K173" s="45" t="s">
        <v>117</v>
      </c>
      <c r="L173" s="69" t="n">
        <v>1.5</v>
      </c>
      <c r="M173" s="69"/>
      <c r="N173" s="69"/>
      <c r="O173" s="43"/>
      <c r="P173" s="43" t="n">
        <v>0.5</v>
      </c>
      <c r="Q173" s="41"/>
      <c r="R173" s="48" t="n">
        <v>1000</v>
      </c>
      <c r="S173" s="41" t="n">
        <v>96.8</v>
      </c>
      <c r="U173" s="43" t="n">
        <v>99.7</v>
      </c>
      <c r="X173" s="49" t="n">
        <f aca="false">+IF(ISNUMBER($S173),$S173,MIN($V173,$T173,$U173,$W173))</f>
        <v>96.8</v>
      </c>
      <c r="Y173" s="48" t="n">
        <v>3.46E-005</v>
      </c>
      <c r="Z173" s="71" t="n">
        <v>642000</v>
      </c>
      <c r="AA173" s="50" t="n">
        <f aca="false">Z173/AB173</f>
        <v>321</v>
      </c>
      <c r="AB173" s="48" t="n">
        <v>2000</v>
      </c>
      <c r="AC173" s="114"/>
      <c r="AD173" s="107" t="n">
        <f aca="false">Y173/AB173*1000000000000</f>
        <v>17300</v>
      </c>
      <c r="AE173" s="49" t="str">
        <f aca="false">IF(ISNUMBER($Q173),$AD173*1000/2^(($Q173-1.76)/6.02), "")</f>
        <v/>
      </c>
      <c r="AF173" s="49" t="n">
        <f aca="false">$AD173*1000/2^(($X173-1.76)/6.02)</f>
        <v>305.89512116846</v>
      </c>
      <c r="AG173" s="49" t="str">
        <f aca="false">IF(ISNUMBER($Q173), $Q173+10*LOG10($AB173/2/$Y173), "")</f>
        <v/>
      </c>
      <c r="AH173" s="49" t="n">
        <f aca="false">$X173+10*LOG10($AB173/2/$Y173)</f>
        <v>171.409239012072</v>
      </c>
      <c r="AI173" s="52" t="n">
        <f aca="false">AF173/AB173</f>
        <v>0.15294756058423</v>
      </c>
      <c r="AJ173" s="53" t="n">
        <f aca="false">AH173+10*LOG10(AB173)</f>
        <v>204.419538968712</v>
      </c>
    </row>
    <row r="174" customFormat="false" ht="12.75" hidden="false" customHeight="false" outlineLevel="0" collapsed="false">
      <c r="A174" s="43" t="n">
        <v>2016</v>
      </c>
      <c r="B174" s="45" t="n">
        <v>3.3</v>
      </c>
      <c r="C174" s="43" t="s">
        <v>139</v>
      </c>
      <c r="D174" s="43" t="s">
        <v>2545</v>
      </c>
      <c r="E174" s="43" t="n">
        <v>0.04</v>
      </c>
      <c r="F174" s="45" t="s">
        <v>2606</v>
      </c>
      <c r="G174" s="45" t="s">
        <v>2607</v>
      </c>
      <c r="H174" s="45" t="s">
        <v>2608</v>
      </c>
      <c r="I174" s="45" t="s">
        <v>2609</v>
      </c>
      <c r="J174" s="113" t="str">
        <f aca="false">IF(I174&lt;&gt;"?", HYPERLINK(CONCATENATE("https://doi.org/",I174)), "")</f>
        <v>https://doi.org/10.1109/VLSIC.2016.7573465</v>
      </c>
      <c r="K174" s="45" t="s">
        <v>117</v>
      </c>
      <c r="L174" s="69" t="n">
        <v>1.1</v>
      </c>
      <c r="M174" s="69"/>
      <c r="N174" s="69"/>
      <c r="O174" s="43"/>
      <c r="P174" s="43" t="n">
        <v>0.03</v>
      </c>
      <c r="Q174" s="41"/>
      <c r="R174" s="48" t="n">
        <v>1000000</v>
      </c>
      <c r="S174" s="41" t="n">
        <v>74.3</v>
      </c>
      <c r="X174" s="49" t="n">
        <f aca="false">+IF(ISNUMBER($S174),$S174,MIN($V174,$T174,$U174,$W174))</f>
        <v>74.3</v>
      </c>
      <c r="Y174" s="48" t="n">
        <v>0.00035</v>
      </c>
      <c r="Z174" s="71" t="n">
        <v>36000000</v>
      </c>
      <c r="AA174" s="50" t="n">
        <f aca="false">Z174/AB174</f>
        <v>9</v>
      </c>
      <c r="AB174" s="48" t="n">
        <v>4000000</v>
      </c>
      <c r="AC174" s="114"/>
      <c r="AD174" s="107" t="n">
        <f aca="false">Y174/AB174*1000000000000</f>
        <v>87.5</v>
      </c>
      <c r="AE174" s="49" t="str">
        <f aca="false">IF(ISNUMBER($Q174),$AD174*1000/2^(($Q174-1.76)/6.02), "")</f>
        <v/>
      </c>
      <c r="AF174" s="49" t="n">
        <f aca="false">$AD174*1000/2^(($X174-1.76)/6.02)</f>
        <v>20.6370021898757</v>
      </c>
      <c r="AG174" s="49" t="str">
        <f aca="false">IF(ISNUMBER($Q174), $Q174+10*LOG10($AB174/2/$Y174), "")</f>
        <v/>
      </c>
      <c r="AH174" s="49" t="n">
        <f aca="false">$X174+10*LOG10($AB174/2/$Y174)</f>
        <v>171.869619513137</v>
      </c>
      <c r="AI174" s="52" t="n">
        <f aca="false">AF174/AB174</f>
        <v>5.15925054746892E-006</v>
      </c>
      <c r="AJ174" s="53" t="n">
        <f aca="false">AH174+10*LOG10(AB174)</f>
        <v>237.890219426417</v>
      </c>
    </row>
    <row r="175" customFormat="false" ht="12.75" hidden="false" customHeight="false" outlineLevel="0" collapsed="false">
      <c r="A175" s="43" t="n">
        <v>2016</v>
      </c>
      <c r="B175" s="45" t="n">
        <v>3.4</v>
      </c>
      <c r="C175" s="43" t="s">
        <v>139</v>
      </c>
      <c r="D175" s="43" t="s">
        <v>173</v>
      </c>
      <c r="E175" s="43" t="n">
        <v>0.065</v>
      </c>
      <c r="F175" s="45" t="s">
        <v>2610</v>
      </c>
      <c r="G175" s="45" t="s">
        <v>2611</v>
      </c>
      <c r="H175" s="45" t="s">
        <v>2612</v>
      </c>
      <c r="I175" s="45" t="s">
        <v>2613</v>
      </c>
      <c r="J175" s="113" t="str">
        <f aca="false">IF(I175&lt;&gt;"?", HYPERLINK(CONCATENATE("https://doi.org/",I175)), "")</f>
        <v>https://doi.org/10.1109/VLSIC.2016.7573466</v>
      </c>
      <c r="K175" s="45" t="s">
        <v>117</v>
      </c>
      <c r="L175" s="69" t="n">
        <v>1.4</v>
      </c>
      <c r="M175" s="69"/>
      <c r="N175" s="69"/>
      <c r="O175" s="43"/>
      <c r="P175" s="43" t="n">
        <v>0.07</v>
      </c>
      <c r="Q175" s="41"/>
      <c r="R175" s="48" t="n">
        <v>19900000</v>
      </c>
      <c r="S175" s="41" t="n">
        <v>67.6</v>
      </c>
      <c r="T175" s="43" t="n">
        <v>68.8</v>
      </c>
      <c r="U175" s="43" t="n">
        <v>76</v>
      </c>
      <c r="W175" s="43" t="n">
        <v>77.4</v>
      </c>
      <c r="X175" s="49" t="n">
        <f aca="false">+IF(ISNUMBER($S175),$S175,MIN($V175,$T175,$U175,$W175))</f>
        <v>67.6</v>
      </c>
      <c r="Y175" s="48" t="n">
        <v>0.0133</v>
      </c>
      <c r="Z175" s="71" t="n">
        <v>6000000000</v>
      </c>
      <c r="AA175" s="50" t="n">
        <f aca="false">Z175/AB175</f>
        <v>50</v>
      </c>
      <c r="AB175" s="48" t="n">
        <v>120000000</v>
      </c>
      <c r="AC175" s="114"/>
      <c r="AD175" s="107" t="n">
        <f aca="false">Y175/AB175*1000000000000</f>
        <v>110.833333333333</v>
      </c>
      <c r="AE175" s="49" t="str">
        <f aca="false">IF(ISNUMBER($Q175),$AD175*1000/2^(($Q175-1.76)/6.02), "")</f>
        <v/>
      </c>
      <c r="AF175" s="49" t="n">
        <f aca="false">$AD175*1000/2^(($X175-1.76)/6.02)</f>
        <v>56.5382466369121</v>
      </c>
      <c r="AG175" s="49" t="str">
        <f aca="false">IF(ISNUMBER($Q175), $Q175+10*LOG10($AB175/2/$Y175), "")</f>
        <v/>
      </c>
      <c r="AH175" s="49" t="n">
        <f aca="false">$X175+10*LOG10($AB175/2/$Y175)</f>
        <v>164.142996094166</v>
      </c>
      <c r="AI175" s="52" t="n">
        <f aca="false">AF175/AB175</f>
        <v>4.71152055307601E-007</v>
      </c>
      <c r="AJ175" s="53" t="n">
        <f aca="false">AH175+10*LOG10(AB175)</f>
        <v>244.934808554642</v>
      </c>
    </row>
    <row r="176" customFormat="false" ht="12.75" hidden="false" customHeight="false" outlineLevel="0" collapsed="false">
      <c r="A176" s="43" t="n">
        <v>2016</v>
      </c>
      <c r="B176" s="45" t="n">
        <v>5.4</v>
      </c>
      <c r="C176" s="43" t="s">
        <v>111</v>
      </c>
      <c r="D176" s="43" t="s">
        <v>548</v>
      </c>
      <c r="E176" s="43" t="n">
        <v>0.016</v>
      </c>
      <c r="F176" s="45" t="s">
        <v>2614</v>
      </c>
      <c r="G176" s="45" t="s">
        <v>2615</v>
      </c>
      <c r="H176" s="45" t="s">
        <v>2616</v>
      </c>
      <c r="I176" s="45" t="s">
        <v>2617</v>
      </c>
      <c r="J176" s="113" t="str">
        <f aca="false">IF(I176&lt;&gt;"?", HYPERLINK(CONCATENATE("https://doi.org/",I176)), "")</f>
        <v>https://doi.org/10.1109/VLSIC.2016.7573474</v>
      </c>
      <c r="K176" s="45" t="s">
        <v>117</v>
      </c>
      <c r="L176" s="69" t="n">
        <v>0.9</v>
      </c>
      <c r="M176" s="69"/>
      <c r="N176" s="69"/>
      <c r="O176" s="43"/>
      <c r="P176" s="43" t="n">
        <v>0</v>
      </c>
      <c r="Q176" s="41" t="n">
        <v>40.9</v>
      </c>
      <c r="R176" s="48" t="n">
        <v>14000000000</v>
      </c>
      <c r="S176" s="41" t="n">
        <v>31.5</v>
      </c>
      <c r="W176" s="43" t="n">
        <v>39.1</v>
      </c>
      <c r="X176" s="49" t="n">
        <f aca="false">+IF(ISNUMBER($S176),$S176,MIN($V176,$T176,$U176,$W176))</f>
        <v>31.5</v>
      </c>
      <c r="Y176" s="48" t="n">
        <v>0.28</v>
      </c>
      <c r="Z176" s="71" t="n">
        <v>28000000000</v>
      </c>
      <c r="AA176" s="50" t="n">
        <v>1</v>
      </c>
      <c r="AB176" s="48" t="n">
        <f aca="false">Z176/AA176</f>
        <v>28000000000</v>
      </c>
      <c r="AC176" s="114"/>
      <c r="AD176" s="107" t="n">
        <f aca="false">Y176/AB176*1000000000000</f>
        <v>10</v>
      </c>
      <c r="AE176" s="49" t="n">
        <f aca="false">IF(ISNUMBER($Q176),$AD176*1000/2^(($Q176-1.76)/6.02), "")</f>
        <v>110.358294036387</v>
      </c>
      <c r="AF176" s="49" t="n">
        <f aca="false">$AD176*1000/2^(($X176-1.76)/6.02)</f>
        <v>325.725542022439</v>
      </c>
      <c r="AG176" s="49" t="n">
        <f aca="false">IF(ISNUMBER($Q176), $Q176+10*LOG10($AB176/2/$Y176), "")</f>
        <v>147.88970004336</v>
      </c>
      <c r="AH176" s="49" t="n">
        <f aca="false">$X176+10*LOG10($AB176/2/$Y176)</f>
        <v>138.48970004336</v>
      </c>
      <c r="AI176" s="52" t="n">
        <f aca="false">AF176/AB176</f>
        <v>1.163305507223E-008</v>
      </c>
      <c r="AJ176" s="53" t="n">
        <f aca="false">AH176+10*LOG10(AB176)</f>
        <v>242.961280356782</v>
      </c>
    </row>
    <row r="177" customFormat="false" ht="12.75" hidden="false" customHeight="false" outlineLevel="0" collapsed="false">
      <c r="A177" s="43" t="n">
        <v>2016</v>
      </c>
      <c r="B177" s="45" t="n">
        <v>8.4</v>
      </c>
      <c r="C177" s="43" t="s">
        <v>111</v>
      </c>
      <c r="D177" s="43" t="s">
        <v>112</v>
      </c>
      <c r="E177" s="43" t="n">
        <v>0.13</v>
      </c>
      <c r="F177" s="45" t="s">
        <v>2618</v>
      </c>
      <c r="G177" s="45" t="s">
        <v>2619</v>
      </c>
      <c r="H177" s="45" t="s">
        <v>2620</v>
      </c>
      <c r="I177" s="45" t="s">
        <v>2621</v>
      </c>
      <c r="J177" s="113" t="str">
        <f aca="false">IF(I177&lt;&gt;"?", HYPERLINK(CONCATENATE("https://doi.org/",I177)), "")</f>
        <v>https://doi.org/10.1109/VLSIC.2016.7573488</v>
      </c>
      <c r="K177" s="45" t="s">
        <v>117</v>
      </c>
      <c r="L177" s="69" t="n">
        <v>1.5</v>
      </c>
      <c r="M177" s="69"/>
      <c r="N177" s="69"/>
      <c r="P177" s="43" t="n">
        <v>0</v>
      </c>
      <c r="Q177" s="41"/>
      <c r="R177" s="48" t="n">
        <v>500</v>
      </c>
      <c r="S177" s="41" t="n">
        <v>75</v>
      </c>
      <c r="X177" s="49" t="n">
        <f aca="false">+IF(ISNUMBER($S177),$S177,MIN($V177,$T177,$U177,$W177))</f>
        <v>75</v>
      </c>
      <c r="Y177" s="48" t="n">
        <v>1.3E-006</v>
      </c>
      <c r="Z177" s="71" t="n">
        <v>1000</v>
      </c>
      <c r="AA177" s="50" t="n">
        <v>1</v>
      </c>
      <c r="AB177" s="48" t="n">
        <f aca="false">Z177/AA177</f>
        <v>1000</v>
      </c>
      <c r="AC177" s="114"/>
      <c r="AD177" s="107" t="n">
        <f aca="false">Y177/AB177*1000000000000</f>
        <v>1300</v>
      </c>
      <c r="AE177" s="49" t="str">
        <f aca="false">IF(ISNUMBER($Q177),$AD177*1000/2^(($Q177-1.76)/6.02), "")</f>
        <v/>
      </c>
      <c r="AF177" s="49" t="n">
        <f aca="false">$AD177*1000/2^(($X177-1.76)/6.02)</f>
        <v>282.8644840602</v>
      </c>
      <c r="AG177" s="49" t="str">
        <f aca="false">IF(ISNUMBER($Q177), $Q177+10*LOG10($AB177/2/$Y177), "")</f>
        <v/>
      </c>
      <c r="AH177" s="49" t="n">
        <f aca="false">$X177+10*LOG10($AB177/2/$Y177)</f>
        <v>160.850266520292</v>
      </c>
      <c r="AI177" s="52" t="n">
        <f aca="false">AF177/AB177</f>
        <v>0.2828644840602</v>
      </c>
      <c r="AJ177" s="53" t="n">
        <f aca="false">AH177+10*LOG10(AB177)</f>
        <v>190.850266520292</v>
      </c>
    </row>
    <row r="178" customFormat="false" ht="12.75" hidden="false" customHeight="false" outlineLevel="0" collapsed="false">
      <c r="A178" s="43" t="n">
        <v>2016</v>
      </c>
      <c r="B178" s="45" t="n">
        <v>13.3</v>
      </c>
      <c r="C178" s="43" t="s">
        <v>139</v>
      </c>
      <c r="D178" s="43" t="s">
        <v>145</v>
      </c>
      <c r="E178" s="43" t="n">
        <v>0.065</v>
      </c>
      <c r="F178" s="45" t="s">
        <v>2622</v>
      </c>
      <c r="G178" s="45" t="s">
        <v>2623</v>
      </c>
      <c r="H178" s="45" t="s">
        <v>2624</v>
      </c>
      <c r="I178" s="45" t="s">
        <v>2625</v>
      </c>
      <c r="J178" s="113" t="str">
        <f aca="false">IF(I178&lt;&gt;"?", HYPERLINK(CONCATENATE("https://doi.org/",I178)), "")</f>
        <v>https://doi.org/10.1109/VLSIC.2016.7573509</v>
      </c>
      <c r="K178" s="45" t="s">
        <v>117</v>
      </c>
      <c r="L178" s="69"/>
      <c r="M178" s="69"/>
      <c r="N178" s="69"/>
      <c r="O178" s="43"/>
      <c r="P178" s="43" t="n">
        <v>0.0594</v>
      </c>
      <c r="Q178" s="41"/>
      <c r="R178" s="48" t="n">
        <v>100000</v>
      </c>
      <c r="S178" s="41" t="n">
        <v>69.1</v>
      </c>
      <c r="X178" s="49" t="n">
        <f aca="false">+IF(ISNUMBER($S178),$S178,MIN($V178,$T178,$U178,$W178))</f>
        <v>69.1</v>
      </c>
      <c r="Y178" s="48" t="n">
        <v>0.000241</v>
      </c>
      <c r="Z178" s="71" t="n">
        <v>100000000</v>
      </c>
      <c r="AA178" s="50" t="n">
        <f aca="false">Z178/AB178</f>
        <v>500</v>
      </c>
      <c r="AB178" s="48" t="n">
        <v>200000</v>
      </c>
      <c r="AC178" s="114"/>
      <c r="AD178" s="107" t="n">
        <f aca="false">Y178/AB178*1000000000000</f>
        <v>1205</v>
      </c>
      <c r="AE178" s="49" t="str">
        <f aca="false">IF(ISNUMBER($Q178),$AD178*1000/2^(($Q178-1.76)/6.02), "")</f>
        <v/>
      </c>
      <c r="AF178" s="49" t="n">
        <f aca="false">$AD178*1000/2^(($X178-1.76)/6.02)</f>
        <v>517.191661180197</v>
      </c>
      <c r="AG178" s="49" t="str">
        <f aca="false">IF(ISNUMBER($Q178), $Q178+10*LOG10($AB178/2/$Y178), "")</f>
        <v/>
      </c>
      <c r="AH178" s="49" t="n">
        <f aca="false">$X178+10*LOG10($AB178/2/$Y178)</f>
        <v>155.279829574251</v>
      </c>
      <c r="AI178" s="52" t="n">
        <f aca="false">AF178/AB178</f>
        <v>0.00258595830590098</v>
      </c>
      <c r="AJ178" s="53" t="n">
        <f aca="false">AH178+10*LOG10(AB178)</f>
        <v>208.290129530891</v>
      </c>
    </row>
    <row r="179" customFormat="false" ht="12.75" hidden="false" customHeight="false" outlineLevel="0" collapsed="false">
      <c r="A179" s="43" t="n">
        <v>2016</v>
      </c>
      <c r="B179" s="45" t="n">
        <v>15.1</v>
      </c>
      <c r="C179" s="43" t="s">
        <v>111</v>
      </c>
      <c r="D179" s="43" t="s">
        <v>548</v>
      </c>
      <c r="E179" s="43" t="n">
        <v>0.065</v>
      </c>
      <c r="F179" s="45" t="s">
        <v>2626</v>
      </c>
      <c r="G179" s="45" t="s">
        <v>2627</v>
      </c>
      <c r="H179" s="45" t="s">
        <v>2628</v>
      </c>
      <c r="I179" s="45" t="s">
        <v>2629</v>
      </c>
      <c r="J179" s="113" t="str">
        <f aca="false">IF(I179&lt;&gt;"?", HYPERLINK(CONCATENATE("https://doi.org/",I179)), "")</f>
        <v>https://doi.org/10.1109/VLSIC.2016.7573516</v>
      </c>
      <c r="K179" s="45" t="s">
        <v>117</v>
      </c>
      <c r="L179" s="69" t="n">
        <v>1.2</v>
      </c>
      <c r="M179" s="69" t="n">
        <v>1.1</v>
      </c>
      <c r="N179" s="69"/>
      <c r="O179" s="43"/>
      <c r="P179" s="43" t="n">
        <v>0.9</v>
      </c>
      <c r="Q179" s="41" t="n">
        <v>72.1</v>
      </c>
      <c r="R179" s="48" t="n">
        <v>1000000000</v>
      </c>
      <c r="S179" s="41" t="n">
        <v>65</v>
      </c>
      <c r="W179" s="43" t="n">
        <v>72.1</v>
      </c>
      <c r="X179" s="49" t="n">
        <f aca="false">+IF(ISNUMBER($S179),$S179,MIN($V179,$T179,$U179,$W179))</f>
        <v>65</v>
      </c>
      <c r="Y179" s="48" t="n">
        <v>0.0377</v>
      </c>
      <c r="Z179" s="71" t="n">
        <v>1600000000</v>
      </c>
      <c r="AA179" s="50" t="n">
        <v>1</v>
      </c>
      <c r="AB179" s="48" t="n">
        <f aca="false">Z179/AA179</f>
        <v>1600000000</v>
      </c>
      <c r="AC179" s="114"/>
      <c r="AD179" s="107" t="n">
        <f aca="false">Y179/AB179*1000000000000</f>
        <v>23.5625</v>
      </c>
      <c r="AE179" s="49" t="n">
        <f aca="false">IF(ISNUMBER($Q179),$AD179*1000/2^(($Q179-1.76)/6.02), "")</f>
        <v>7.15930536381899</v>
      </c>
      <c r="AF179" s="49" t="n">
        <f aca="false">$AD179*1000/2^(($X179-1.76)/6.02)</f>
        <v>16.2146009006028</v>
      </c>
      <c r="AG179" s="49" t="n">
        <f aca="false">IF(ISNUMBER($Q179), $Q179+10*LOG10($AB179/2/$Y179), "")</f>
        <v>175.367486367861</v>
      </c>
      <c r="AH179" s="49" t="n">
        <f aca="false">$X179+10*LOG10($AB179/2/$Y179)</f>
        <v>168.267486367862</v>
      </c>
      <c r="AI179" s="52" t="n">
        <f aca="false">AF179/AB179</f>
        <v>1.01341255628767E-008</v>
      </c>
      <c r="AJ179" s="53" t="n">
        <f aca="false">AH179+10*LOG10(AB179)</f>
        <v>260.308686194421</v>
      </c>
    </row>
    <row r="180" customFormat="false" ht="12.75" hidden="false" customHeight="false" outlineLevel="0" collapsed="false">
      <c r="A180" s="43" t="n">
        <v>2016</v>
      </c>
      <c r="B180" s="45" t="n">
        <v>15.2</v>
      </c>
      <c r="C180" s="43" t="s">
        <v>111</v>
      </c>
      <c r="D180" s="43" t="s">
        <v>1215</v>
      </c>
      <c r="E180" s="43" t="n">
        <v>0.028</v>
      </c>
      <c r="F180" s="45" t="s">
        <v>2630</v>
      </c>
      <c r="G180" s="45" t="s">
        <v>2631</v>
      </c>
      <c r="H180" s="45" t="s">
        <v>2632</v>
      </c>
      <c r="I180" s="45" t="s">
        <v>2633</v>
      </c>
      <c r="J180" s="113" t="str">
        <f aca="false">IF(I180&lt;&gt;"?", HYPERLINK(CONCATENATE("https://doi.org/",I180)), "")</f>
        <v>https://doi.org/10.1109/VLSIC.2016.7573517</v>
      </c>
      <c r="K180" s="45" t="s">
        <v>117</v>
      </c>
      <c r="L180" s="69" t="n">
        <v>1</v>
      </c>
      <c r="M180" s="69"/>
      <c r="N180" s="69"/>
      <c r="O180" s="43"/>
      <c r="P180" s="43" t="n">
        <f aca="false">0.29*0.32</f>
        <v>0.0928</v>
      </c>
      <c r="Q180" s="41" t="n">
        <v>62.2</v>
      </c>
      <c r="R180" s="48" t="n">
        <v>400000000</v>
      </c>
      <c r="S180" s="41" t="n">
        <v>60.8</v>
      </c>
      <c r="W180" s="43" t="n">
        <v>76</v>
      </c>
      <c r="X180" s="49" t="n">
        <f aca="false">+IF(ISNUMBER($S180),$S180,MIN($V180,$T180,$U180,$W180))</f>
        <v>60.8</v>
      </c>
      <c r="Y180" s="48" t="n">
        <v>0.0146</v>
      </c>
      <c r="Z180" s="71" t="n">
        <v>800000000</v>
      </c>
      <c r="AA180" s="50" t="n">
        <v>1</v>
      </c>
      <c r="AB180" s="48" t="n">
        <f aca="false">Z180/AA180</f>
        <v>800000000</v>
      </c>
      <c r="AC180" s="114"/>
      <c r="AD180" s="107" t="n">
        <f aca="false">Y180/AB180*1000000000000</f>
        <v>18.25</v>
      </c>
      <c r="AE180" s="49" t="n">
        <f aca="false">IF(ISNUMBER($Q180),$AD180*1000/2^(($Q180-1.76)/6.02), "")</f>
        <v>17.3365116715619</v>
      </c>
      <c r="AF180" s="49" t="n">
        <f aca="false">$AD180*1000/2^(($X180-1.76)/6.02)</f>
        <v>20.3689523421725</v>
      </c>
      <c r="AG180" s="49" t="n">
        <f aca="false">IF(ISNUMBER($Q180), $Q180+10*LOG10($AB180/2/$Y180), "")</f>
        <v>166.577071355435</v>
      </c>
      <c r="AH180" s="49" t="n">
        <f aca="false">$X180+10*LOG10($AB180/2/$Y180)</f>
        <v>165.177071355435</v>
      </c>
      <c r="AI180" s="52" t="n">
        <f aca="false">AF180/AB180</f>
        <v>2.54611904277157E-008</v>
      </c>
      <c r="AJ180" s="53" t="n">
        <f aca="false">AH180+10*LOG10(AB180)</f>
        <v>254.207971225355</v>
      </c>
    </row>
    <row r="181" customFormat="false" ht="12.75" hidden="false" customHeight="false" outlineLevel="0" collapsed="false">
      <c r="A181" s="43" t="n">
        <v>2016</v>
      </c>
      <c r="B181" s="45" t="n">
        <v>15.3</v>
      </c>
      <c r="C181" s="43" t="s">
        <v>111</v>
      </c>
      <c r="D181" s="43" t="s">
        <v>112</v>
      </c>
      <c r="E181" s="43" t="n">
        <v>0.04</v>
      </c>
      <c r="F181" s="45" t="s">
        <v>2634</v>
      </c>
      <c r="G181" s="45" t="s">
        <v>2635</v>
      </c>
      <c r="H181" s="45" t="s">
        <v>2636</v>
      </c>
      <c r="I181" s="45" t="s">
        <v>2637</v>
      </c>
      <c r="J181" s="113" t="str">
        <f aca="false">IF(I181&lt;&gt;"?", HYPERLINK(CONCATENATE("https://doi.org/",I181)), "")</f>
        <v>https://doi.org/10.1109/VLSIC.2016.7573518</v>
      </c>
      <c r="K181" s="45" t="s">
        <v>117</v>
      </c>
      <c r="L181" s="69"/>
      <c r="M181" s="69"/>
      <c r="N181" s="69"/>
      <c r="O181" s="43"/>
      <c r="P181" s="43" t="n">
        <v>0.315</v>
      </c>
      <c r="Q181" s="41"/>
      <c r="R181" s="48" t="n">
        <v>10000</v>
      </c>
      <c r="S181" s="41" t="n">
        <v>74.12</v>
      </c>
      <c r="W181" s="43" t="n">
        <v>95.1</v>
      </c>
      <c r="X181" s="49" t="n">
        <f aca="false">+IF(ISNUMBER($S181),$S181,MIN($V181,$T181,$U181,$W181))</f>
        <v>74.12</v>
      </c>
      <c r="Y181" s="48" t="n">
        <v>1.17E-006</v>
      </c>
      <c r="Z181" s="71" t="n">
        <v>20000</v>
      </c>
      <c r="AA181" s="50" t="n">
        <v>1</v>
      </c>
      <c r="AB181" s="48" t="n">
        <f aca="false">Z181/AA181</f>
        <v>20000</v>
      </c>
      <c r="AC181" s="114"/>
      <c r="AD181" s="107" t="n">
        <f aca="false">Y181/AB181*1000000000000</f>
        <v>58.5</v>
      </c>
      <c r="AE181" s="49" t="str">
        <f aca="false">IF(ISNUMBER($Q181),$AD181*1000/2^(($Q181-1.76)/6.02), "")</f>
        <v/>
      </c>
      <c r="AF181" s="49" t="n">
        <f aca="false">$AD181*1000/2^(($X181-1.76)/6.02)</f>
        <v>14.0862476743047</v>
      </c>
      <c r="AG181" s="49" t="str">
        <f aca="false">IF(ISNUMBER($Q181), $Q181+10*LOG10($AB181/2/$Y181), "")</f>
        <v/>
      </c>
      <c r="AH181" s="49" t="n">
        <f aca="false">$X181+10*LOG10($AB181/2/$Y181)</f>
        <v>173.438141382538</v>
      </c>
      <c r="AI181" s="52" t="n">
        <f aca="false">AF181/AB181</f>
        <v>0.000704312383715234</v>
      </c>
      <c r="AJ181" s="53" t="n">
        <f aca="false">AH181+10*LOG10(AB181)</f>
        <v>216.448441339178</v>
      </c>
    </row>
    <row r="182" customFormat="false" ht="12.75" hidden="false" customHeight="false" outlineLevel="0" collapsed="false">
      <c r="A182" s="43" t="n">
        <v>2016</v>
      </c>
      <c r="B182" s="45" t="n">
        <v>15.4</v>
      </c>
      <c r="C182" s="43" t="s">
        <v>111</v>
      </c>
      <c r="D182" s="43" t="s">
        <v>112</v>
      </c>
      <c r="E182" s="43" t="n">
        <v>0.09</v>
      </c>
      <c r="F182" s="45" t="s">
        <v>2638</v>
      </c>
      <c r="G182" s="45" t="s">
        <v>2639</v>
      </c>
      <c r="H182" s="45" t="s">
        <v>1504</v>
      </c>
      <c r="I182" s="45" t="s">
        <v>2640</v>
      </c>
      <c r="J182" s="113" t="str">
        <f aca="false">IF(I182&lt;&gt;"?", HYPERLINK(CONCATENATE("https://doi.org/",I182)), "")</f>
        <v>https://doi.org/10.1109/VLSIC.2016.7573519</v>
      </c>
      <c r="K182" s="45" t="s">
        <v>117</v>
      </c>
      <c r="L182" s="69" t="n">
        <v>0.3</v>
      </c>
      <c r="M182" s="69"/>
      <c r="N182" s="69"/>
      <c r="O182" s="43"/>
      <c r="P182" s="43" t="n">
        <v>0.035</v>
      </c>
      <c r="Q182" s="41"/>
      <c r="R182" s="48" t="n">
        <v>300000</v>
      </c>
      <c r="S182" s="41" t="n">
        <f aca="false">9.46*6.02+1.76</f>
        <v>58.7092</v>
      </c>
      <c r="W182" s="43" t="n">
        <v>70</v>
      </c>
      <c r="X182" s="49" t="n">
        <f aca="false">+IF(ISNUMBER($S182),$S182,MIN($V182,$T182,$U182,$W182))</f>
        <v>58.7092</v>
      </c>
      <c r="Y182" s="48" t="n">
        <v>1.87E-007</v>
      </c>
      <c r="Z182" s="71" t="n">
        <v>600000</v>
      </c>
      <c r="AA182" s="50" t="n">
        <v>1</v>
      </c>
      <c r="AB182" s="48" t="n">
        <f aca="false">Z182/AA182</f>
        <v>600000</v>
      </c>
      <c r="AC182" s="114"/>
      <c r="AD182" s="107" t="n">
        <f aca="false">Y182/AB182*1000000000000</f>
        <v>0.311666666666667</v>
      </c>
      <c r="AE182" s="49" t="str">
        <f aca="false">IF(ISNUMBER($Q182),$AD182*1000/2^(($Q182-1.76)/6.02), "")</f>
        <v/>
      </c>
      <c r="AF182" s="49" t="n">
        <f aca="false">$AD182*1000/2^(($X182-1.76)/6.02)</f>
        <v>0.44253395302555</v>
      </c>
      <c r="AG182" s="49" t="str">
        <f aca="false">IF(ISNUMBER($Q182), $Q182+10*LOG10($AB182/2/$Y182), "")</f>
        <v/>
      </c>
      <c r="AH182" s="49" t="n">
        <f aca="false">$X182+10*LOG10($AB182/2/$Y182)</f>
        <v>180.761996481832</v>
      </c>
      <c r="AI182" s="52" t="n">
        <f aca="false">AF182/AB182</f>
        <v>7.37556588375917E-007</v>
      </c>
      <c r="AJ182" s="53" t="n">
        <f aca="false">AH182+10*LOG10(AB182)</f>
        <v>238.543508985668</v>
      </c>
    </row>
    <row r="183" customFormat="false" ht="12.75" hidden="false" customHeight="false" outlineLevel="0" collapsed="false">
      <c r="A183" s="43" t="n">
        <v>2016</v>
      </c>
      <c r="B183" s="45" t="n">
        <v>16.2</v>
      </c>
      <c r="C183" s="43" t="s">
        <v>111</v>
      </c>
      <c r="D183" s="43" t="s">
        <v>208</v>
      </c>
      <c r="E183" s="43" t="n">
        <v>0.028</v>
      </c>
      <c r="F183" s="45" t="s">
        <v>2641</v>
      </c>
      <c r="G183" s="45" t="s">
        <v>2642</v>
      </c>
      <c r="H183" s="45" t="s">
        <v>2643</v>
      </c>
      <c r="I183" s="45" t="s">
        <v>2644</v>
      </c>
      <c r="J183" s="113" t="str">
        <f aca="false">IF(I183&lt;&gt;"?", HYPERLINK(CONCATENATE("https://doi.org/",I183)), "")</f>
        <v>https://doi.org/10.1109/VLSIC.2016.7573521</v>
      </c>
      <c r="K183" s="45" t="s">
        <v>117</v>
      </c>
      <c r="L183" s="69" t="n">
        <v>0.9</v>
      </c>
      <c r="M183" s="69"/>
      <c r="N183" s="69"/>
      <c r="O183" s="43"/>
      <c r="P183" s="43" t="n">
        <v>0</v>
      </c>
      <c r="Q183" s="41" t="n">
        <f aca="false">4.8*6.02+1.76</f>
        <v>30.656</v>
      </c>
      <c r="R183" s="48" t="n">
        <v>5000000000</v>
      </c>
      <c r="S183" s="41" t="n">
        <f aca="false">4.59*6.02+1.76</f>
        <v>29.3918</v>
      </c>
      <c r="X183" s="49" t="n">
        <f aca="false">+IF(ISNUMBER($S183),$S183,MIN($V183,$T183,$U183,$W183))</f>
        <v>29.3918</v>
      </c>
      <c r="Y183" s="48" t="n">
        <v>0.095</v>
      </c>
      <c r="Z183" s="71" t="n">
        <v>10312500000</v>
      </c>
      <c r="AA183" s="50" t="n">
        <v>1</v>
      </c>
      <c r="AB183" s="48" t="n">
        <f aca="false">Z183/AA183</f>
        <v>10312500000</v>
      </c>
      <c r="AC183" s="114"/>
      <c r="AD183" s="107" t="n">
        <f aca="false">Y183/AB183*1000000000000</f>
        <v>9.21212121212121</v>
      </c>
      <c r="AE183" s="49" t="n">
        <f aca="false">IF(ISNUMBER($Q183),$AD183*1000/2^(($Q183-1.76)/6.02), "")</f>
        <v>330.685890074904</v>
      </c>
      <c r="AF183" s="49" t="n">
        <f aca="false">$AD183*1000/2^(($X183-1.76)/6.02)</f>
        <v>382.500461633844</v>
      </c>
      <c r="AG183" s="49" t="n">
        <f aca="false">IF(ISNUMBER($Q183), $Q183+10*LOG10($AB183/2/$Y183), "")</f>
        <v>138.002103606052</v>
      </c>
      <c r="AH183" s="49" t="n">
        <f aca="false">$X183+10*LOG10($AB183/2/$Y183)</f>
        <v>136.737903606052</v>
      </c>
      <c r="AI183" s="52" t="n">
        <f aca="false">AF183/AB183</f>
        <v>3.70909538554031E-008</v>
      </c>
      <c r="AJ183" s="53" t="n">
        <f aca="false">AH183+10*LOG10(AB183)</f>
        <v>236.871543221631</v>
      </c>
    </row>
    <row r="184" customFormat="false" ht="12.75" hidden="false" customHeight="false" outlineLevel="0" collapsed="false">
      <c r="A184" s="43" t="n">
        <v>2016</v>
      </c>
      <c r="B184" s="45" t="n">
        <v>19.1</v>
      </c>
      <c r="C184" s="43" t="s">
        <v>111</v>
      </c>
      <c r="D184" s="43" t="s">
        <v>548</v>
      </c>
      <c r="E184" s="43" t="n">
        <v>0.028</v>
      </c>
      <c r="F184" s="45" t="s">
        <v>2645</v>
      </c>
      <c r="G184" s="45" t="s">
        <v>2646</v>
      </c>
      <c r="H184" s="45" t="s">
        <v>2647</v>
      </c>
      <c r="I184" s="45" t="s">
        <v>2648</v>
      </c>
      <c r="J184" s="113" t="str">
        <f aca="false">IF(I184&lt;&gt;"?", HYPERLINK(CONCATENATE("https://doi.org/",I184)), "")</f>
        <v>https://doi.org/10.1109/VLSIC.2016.7573535</v>
      </c>
      <c r="K184" s="45" t="s">
        <v>117</v>
      </c>
      <c r="L184" s="69" t="n">
        <v>0.95</v>
      </c>
      <c r="M184" s="69" t="n">
        <v>0.85</v>
      </c>
      <c r="N184" s="69"/>
      <c r="O184" s="43" t="n">
        <f aca="false">16*0.016</f>
        <v>0.256</v>
      </c>
      <c r="P184" s="43" t="n">
        <v>0.03</v>
      </c>
      <c r="Q184" s="41" t="n">
        <v>35</v>
      </c>
      <c r="R184" s="48" t="n">
        <v>12000000000</v>
      </c>
      <c r="S184" s="41" t="n">
        <v>29</v>
      </c>
      <c r="W184" s="43" t="n">
        <v>41</v>
      </c>
      <c r="X184" s="49" t="n">
        <f aca="false">+IF(ISNUMBER($S184),$S184,MIN($V184,$T184,$U184,$W184))</f>
        <v>29</v>
      </c>
      <c r="Y184" s="48" t="n">
        <v>0.023</v>
      </c>
      <c r="Z184" s="71" t="n">
        <v>24000000000</v>
      </c>
      <c r="AA184" s="50" t="n">
        <v>1</v>
      </c>
      <c r="AB184" s="48" t="n">
        <f aca="false">Z184/AA184</f>
        <v>24000000000</v>
      </c>
      <c r="AC184" s="114"/>
      <c r="AD184" s="107" t="n">
        <f aca="false">Y184/AB184*1000000000000</f>
        <v>0.958333333333333</v>
      </c>
      <c r="AE184" s="49" t="n">
        <f aca="false">IF(ISNUMBER($Q184),$AD184*1000/2^(($Q184-1.76)/6.02), "")</f>
        <v>20.8617612281212</v>
      </c>
      <c r="AF184" s="49" t="n">
        <f aca="false">$AD184*1000/2^(($X184-1.76)/6.02)</f>
        <v>41.6275514656206</v>
      </c>
      <c r="AG184" s="49" t="n">
        <f aca="false">IF(ISNUMBER($Q184), $Q184+10*LOG10($AB184/2/$Y184), "")</f>
        <v>152.1745341003</v>
      </c>
      <c r="AH184" s="49" t="n">
        <f aca="false">$X184+10*LOG10($AB184/2/$Y184)</f>
        <v>146.1745341003</v>
      </c>
      <c r="AI184" s="52" t="n">
        <f aca="false">AF184/AB184</f>
        <v>1.73448131106753E-009</v>
      </c>
      <c r="AJ184" s="53" t="n">
        <f aca="false">AH184+10*LOG10(AB184)</f>
        <v>249.976646517416</v>
      </c>
    </row>
    <row r="185" customFormat="false" ht="12.75" hidden="false" customHeight="false" outlineLevel="0" collapsed="false">
      <c r="A185" s="43" t="n">
        <v>2016</v>
      </c>
      <c r="B185" s="45" t="n">
        <v>19.2</v>
      </c>
      <c r="C185" s="43" t="s">
        <v>111</v>
      </c>
      <c r="D185" s="43" t="s">
        <v>548</v>
      </c>
      <c r="E185" s="43" t="n">
        <v>0.016</v>
      </c>
      <c r="F185" s="45" t="s">
        <v>2649</v>
      </c>
      <c r="G185" s="45" t="s">
        <v>2650</v>
      </c>
      <c r="H185" s="45" t="s">
        <v>2651</v>
      </c>
      <c r="I185" s="45" t="s">
        <v>2652</v>
      </c>
      <c r="J185" s="113" t="str">
        <f aca="false">IF(I185&lt;&gt;"?", HYPERLINK(CONCATENATE("https://doi.org/",I185)), "")</f>
        <v>https://doi.org/10.1109/VLSIC.2016.7573536</v>
      </c>
      <c r="K185" s="45" t="s">
        <v>117</v>
      </c>
      <c r="L185" s="69" t="n">
        <v>0.95</v>
      </c>
      <c r="M185" s="69"/>
      <c r="N185" s="69"/>
      <c r="O185" s="43"/>
      <c r="P185" s="43" t="n">
        <v>0.023</v>
      </c>
      <c r="Q185" s="41" t="n">
        <v>55</v>
      </c>
      <c r="R185" s="48" t="n">
        <v>700000000</v>
      </c>
      <c r="S185" s="41" t="n">
        <v>50.3</v>
      </c>
      <c r="W185" s="43" t="n">
        <v>61</v>
      </c>
      <c r="X185" s="49" t="n">
        <f aca="false">+IF(ISNUMBER($S185),$S185,MIN($V185,$T185,$U185,$W185))</f>
        <v>50.3</v>
      </c>
      <c r="Y185" s="48" t="n">
        <v>0.0082</v>
      </c>
      <c r="Z185" s="71" t="n">
        <v>1600000000</v>
      </c>
      <c r="AA185" s="50" t="n">
        <v>1</v>
      </c>
      <c r="AB185" s="48" t="n">
        <f aca="false">Z185/AA185</f>
        <v>1600000000</v>
      </c>
      <c r="AC185" s="114"/>
      <c r="AD185" s="107" t="n">
        <f aca="false">Y185/AB185*1000000000000</f>
        <v>5.125</v>
      </c>
      <c r="AE185" s="49" t="n">
        <f aca="false">IF(ISNUMBER($Q185),$AD185*1000/2^(($Q185-1.76)/6.02), "")</f>
        <v>11.1539474090969</v>
      </c>
      <c r="AF185" s="49" t="n">
        <f aca="false">$AD185*1000/2^(($X185-1.76)/6.02)</f>
        <v>19.1624930788006</v>
      </c>
      <c r="AG185" s="49" t="n">
        <f aca="false">IF(ISNUMBER($Q185), $Q185+10*LOG10($AB185/2/$Y185), "")</f>
        <v>164.892761346082</v>
      </c>
      <c r="AH185" s="49" t="n">
        <f aca="false">$X185+10*LOG10($AB185/2/$Y185)</f>
        <v>160.192761346082</v>
      </c>
      <c r="AI185" s="52" t="n">
        <f aca="false">AF185/AB185</f>
        <v>1.19765581742504E-008</v>
      </c>
      <c r="AJ185" s="53" t="n">
        <f aca="false">AH185+10*LOG10(AB185)</f>
        <v>252.233961172641</v>
      </c>
    </row>
    <row r="186" customFormat="false" ht="12.75" hidden="false" customHeight="false" outlineLevel="0" collapsed="false">
      <c r="A186" s="43" t="n">
        <v>2016</v>
      </c>
      <c r="B186" s="45" t="n">
        <v>19.3</v>
      </c>
      <c r="C186" s="43" t="s">
        <v>111</v>
      </c>
      <c r="D186" s="43" t="s">
        <v>191</v>
      </c>
      <c r="E186" s="43" t="n">
        <v>0.028</v>
      </c>
      <c r="F186" s="45" t="s">
        <v>2653</v>
      </c>
      <c r="G186" s="45" t="s">
        <v>2654</v>
      </c>
      <c r="H186" s="45" t="s">
        <v>2655</v>
      </c>
      <c r="I186" s="45" t="s">
        <v>2656</v>
      </c>
      <c r="J186" s="113" t="str">
        <f aca="false">IF(I186&lt;&gt;"?", HYPERLINK(CONCATENATE("https://doi.org/",I186)), "")</f>
        <v>https://doi.org/10.1109/VLSIC.2016.7573537</v>
      </c>
      <c r="K186" s="45" t="s">
        <v>117</v>
      </c>
      <c r="L186" s="69"/>
      <c r="M186" s="69"/>
      <c r="N186" s="69"/>
      <c r="O186" s="43"/>
      <c r="P186" s="43" t="n">
        <v>0</v>
      </c>
      <c r="Q186" s="41" t="n">
        <v>63</v>
      </c>
      <c r="R186" s="48" t="n">
        <v>2000000000</v>
      </c>
      <c r="S186" s="41" t="n">
        <v>58</v>
      </c>
      <c r="W186" s="43" t="n">
        <v>70</v>
      </c>
      <c r="X186" s="49" t="n">
        <f aca="false">+IF(ISNUMBER($S186),$S186,MIN($V186,$T186,$U186,$W186))</f>
        <v>58</v>
      </c>
      <c r="Y186" s="48" t="n">
        <v>2.3</v>
      </c>
      <c r="Z186" s="71" t="n">
        <v>5000000000</v>
      </c>
      <c r="AA186" s="50" t="n">
        <v>1</v>
      </c>
      <c r="AB186" s="48" t="n">
        <f aca="false">Z186/AA186</f>
        <v>5000000000</v>
      </c>
      <c r="AC186" s="114"/>
      <c r="AD186" s="107" t="n">
        <f aca="false">Y186/AB186*1000000000000</f>
        <v>460</v>
      </c>
      <c r="AE186" s="49" t="n">
        <f aca="false">IF(ISNUMBER($Q186),$AD186*1000/2^(($Q186-1.76)/6.02), "")</f>
        <v>398.522359609909</v>
      </c>
      <c r="AF186" s="49" t="n">
        <f aca="false">$AD186*1000/2^(($X186-1.76)/6.02)</f>
        <v>708.724761428278</v>
      </c>
      <c r="AG186" s="49" t="n">
        <f aca="false">IF(ISNUMBER($Q186), $Q186+10*LOG10($AB186/2/$Y186), "")</f>
        <v>153.362121726544</v>
      </c>
      <c r="AH186" s="49" t="n">
        <f aca="false">$X186+10*LOG10($AB186/2/$Y186)</f>
        <v>148.362121726544</v>
      </c>
      <c r="AI186" s="52" t="n">
        <f aca="false">AF186/AB186</f>
        <v>1.41744952285656E-007</v>
      </c>
      <c r="AJ186" s="53" t="n">
        <f aca="false">AH186+10*LOG10(AB186)</f>
        <v>245.351821769905</v>
      </c>
    </row>
    <row r="187" customFormat="false" ht="12.75" hidden="false" customHeight="false" outlineLevel="0" collapsed="false">
      <c r="A187" s="39" t="n">
        <v>2017</v>
      </c>
      <c r="B187" s="45" t="n">
        <v>3.1</v>
      </c>
      <c r="C187" s="43" t="s">
        <v>139</v>
      </c>
      <c r="D187" s="43" t="s">
        <v>173</v>
      </c>
      <c r="E187" s="43" t="n">
        <v>0.028</v>
      </c>
      <c r="F187" s="45" t="s">
        <v>2657</v>
      </c>
      <c r="G187" s="45" t="s">
        <v>2658</v>
      </c>
      <c r="H187" s="45" t="s">
        <v>2659</v>
      </c>
      <c r="I187" s="45" t="s">
        <v>2660</v>
      </c>
      <c r="J187" s="113" t="str">
        <f aca="false">IF(I187&lt;&gt;"?", HYPERLINK(CONCATENATE("https://doi.org/",I187)), "")</f>
        <v>https://doi.org/10.23919/VLSIC.2017.8008537</v>
      </c>
      <c r="K187" s="45" t="s">
        <v>117</v>
      </c>
      <c r="L187" s="69" t="n">
        <v>1.2</v>
      </c>
      <c r="M187" s="69" t="n">
        <v>1.1</v>
      </c>
      <c r="N187" s="69"/>
      <c r="P187" s="43" t="n">
        <v>0.1</v>
      </c>
      <c r="Q187" s="41"/>
      <c r="R187" s="48" t="n">
        <v>10000000</v>
      </c>
      <c r="S187" s="43" t="n">
        <v>74.4</v>
      </c>
      <c r="U187" s="43" t="n">
        <v>80.8</v>
      </c>
      <c r="W187" s="43" t="n">
        <v>94.2</v>
      </c>
      <c r="X187" s="49" t="n">
        <f aca="false">+IF(ISNUMBER($S187),$S187,MIN($V187,$T187,$U187,$W187))</f>
        <v>74.4</v>
      </c>
      <c r="Y187" s="48" t="n">
        <v>0.0042</v>
      </c>
      <c r="Z187" s="71" t="n">
        <v>320000000</v>
      </c>
      <c r="AA187" s="43" t="n">
        <v>16</v>
      </c>
      <c r="AB187" s="48" t="n">
        <f aca="false">Z187/AA187</f>
        <v>20000000</v>
      </c>
      <c r="AC187" s="114"/>
      <c r="AD187" s="107" t="n">
        <f aca="false">Y187/AB187*1000000000000</f>
        <v>210</v>
      </c>
      <c r="AE187" s="49" t="str">
        <f aca="false">IF(ISNUMBER($Q187),$AD187*1000/2^(($Q187-1.76)/6.02), "")</f>
        <v/>
      </c>
      <c r="AF187" s="49" t="n">
        <f aca="false">$AD187*1000/2^(($X187-1.76)/6.02)</f>
        <v>48.9617975361937</v>
      </c>
      <c r="AG187" s="49" t="str">
        <f aca="false">IF(ISNUMBER($Q187), $Q187+10*LOG10($AB187/2/$Y187), "")</f>
        <v/>
      </c>
      <c r="AH187" s="49" t="n">
        <f aca="false">$X187+10*LOG10($AB187/2/$Y187)</f>
        <v>168.167507096021</v>
      </c>
      <c r="AI187" s="48" t="n">
        <f aca="false">AF187/AB187</f>
        <v>2.44808987680969E-006</v>
      </c>
      <c r="AJ187" s="41" t="n">
        <f aca="false">AH187+10*LOG10(AB187)</f>
        <v>241.177807052661</v>
      </c>
    </row>
    <row r="188" customFormat="false" ht="12.75" hidden="false" customHeight="false" outlineLevel="0" collapsed="false">
      <c r="A188" s="43" t="n">
        <v>2017</v>
      </c>
      <c r="B188" s="45" t="n">
        <v>3.2</v>
      </c>
      <c r="C188" s="43" t="s">
        <v>139</v>
      </c>
      <c r="D188" s="43" t="s">
        <v>981</v>
      </c>
      <c r="E188" s="43" t="n">
        <v>0.04</v>
      </c>
      <c r="F188" s="45" t="s">
        <v>2661</v>
      </c>
      <c r="G188" s="45" t="s">
        <v>2662</v>
      </c>
      <c r="H188" s="45" t="s">
        <v>2663</v>
      </c>
      <c r="I188" s="45" t="s">
        <v>2664</v>
      </c>
      <c r="J188" s="113" t="str">
        <f aca="false">IF(I188&lt;&gt;"?", HYPERLINK(CONCATENATE("https://doi.org/",I188)), "")</f>
        <v>https://doi.org/10.23919/VLSIC.2017.8008538</v>
      </c>
      <c r="K188" s="45" t="s">
        <v>117</v>
      </c>
      <c r="L188" s="69"/>
      <c r="M188" s="69"/>
      <c r="N188" s="69"/>
      <c r="O188" s="43"/>
      <c r="P188" s="43" t="n">
        <v>0.028</v>
      </c>
      <c r="Q188" s="41"/>
      <c r="R188" s="48" t="n">
        <v>6000000</v>
      </c>
      <c r="S188" s="41" t="n">
        <v>68.6</v>
      </c>
      <c r="U188" s="43" t="n">
        <v>70.8</v>
      </c>
      <c r="W188" s="43" t="n">
        <v>84.7</v>
      </c>
      <c r="X188" s="49" t="n">
        <f aca="false">+IF(ISNUMBER($S188),$S188,MIN($V188,$T188,$U188,$W188))</f>
        <v>68.6</v>
      </c>
      <c r="Y188" s="48" t="n">
        <v>0.000524</v>
      </c>
      <c r="Z188" s="71" t="n">
        <v>330000000</v>
      </c>
      <c r="AA188" s="50" t="n">
        <v>27.5</v>
      </c>
      <c r="AB188" s="48" t="n">
        <f aca="false">Z188/AA188</f>
        <v>12000000</v>
      </c>
      <c r="AC188" s="114"/>
      <c r="AD188" s="107" t="n">
        <f aca="false">Y188/AB188*1000000000000</f>
        <v>43.6666666666667</v>
      </c>
      <c r="AE188" s="49" t="str">
        <f aca="false">IF(ISNUMBER($Q188),$AD188*1000/2^(($Q188-1.76)/6.02), "")</f>
        <v/>
      </c>
      <c r="AF188" s="49" t="n">
        <f aca="false">$AD188*1000/2^(($X188-1.76)/6.02)</f>
        <v>19.8525820389291</v>
      </c>
      <c r="AG188" s="49" t="str">
        <f aca="false">IF(ISNUMBER($Q188), $Q188+10*LOG10($AB188/2/$Y188), "")</f>
        <v/>
      </c>
      <c r="AH188" s="49" t="n">
        <f aca="false">$X188+10*LOG10($AB188/2/$Y188)</f>
        <v>169.188199633999</v>
      </c>
      <c r="AI188" s="48" t="n">
        <f aca="false">AF188/AB188</f>
        <v>1.65438183657743E-006</v>
      </c>
      <c r="AJ188" s="41" t="n">
        <f aca="false">AH188+10*LOG10(AB188)</f>
        <v>239.980012094475</v>
      </c>
    </row>
    <row r="189" customFormat="false" ht="12.75" hidden="false" customHeight="false" outlineLevel="0" collapsed="false">
      <c r="A189" s="43" t="n">
        <v>2017</v>
      </c>
      <c r="B189" s="45" t="n">
        <v>3.3</v>
      </c>
      <c r="C189" s="43" t="s">
        <v>139</v>
      </c>
      <c r="D189" s="43" t="s">
        <v>173</v>
      </c>
      <c r="E189" s="43" t="n">
        <v>0.04</v>
      </c>
      <c r="F189" s="45" t="s">
        <v>2665</v>
      </c>
      <c r="G189" s="45" t="s">
        <v>2666</v>
      </c>
      <c r="H189" s="45" t="s">
        <v>2667</v>
      </c>
      <c r="I189" s="45" t="s">
        <v>2668</v>
      </c>
      <c r="J189" s="113" t="str">
        <f aca="false">IF(I189&lt;&gt;"?", HYPERLINK(CONCATENATE("https://doi.org/",I189)), "")</f>
        <v>https://doi.org/10.23919/VLSIC.2017.8008539</v>
      </c>
      <c r="K189" s="45" t="s">
        <v>117</v>
      </c>
      <c r="L189" s="69" t="n">
        <v>1.95</v>
      </c>
      <c r="M189" s="69" t="n">
        <v>1.1</v>
      </c>
      <c r="N189" s="69" t="n">
        <v>-0.55</v>
      </c>
      <c r="O189" s="43"/>
      <c r="P189" s="43" t="n">
        <v>0.45</v>
      </c>
      <c r="Q189" s="41" t="n">
        <v>66.5</v>
      </c>
      <c r="R189" s="48" t="n">
        <v>100000000</v>
      </c>
      <c r="S189" s="41" t="n">
        <v>64</v>
      </c>
      <c r="T189" s="43" t="n">
        <v>66.6</v>
      </c>
      <c r="U189" s="43" t="n">
        <v>70</v>
      </c>
      <c r="W189" s="43" t="n">
        <v>83.3</v>
      </c>
      <c r="X189" s="49" t="n">
        <f aca="false">+IF(ISNUMBER($S189),$S189,MIN($V189,$T189,$U189,$W189))</f>
        <v>64</v>
      </c>
      <c r="Y189" s="48" t="n">
        <v>0.233</v>
      </c>
      <c r="Z189" s="71" t="n">
        <v>5000000000</v>
      </c>
      <c r="AA189" s="50" t="n">
        <f aca="false">5000/312</f>
        <v>16.025641025641</v>
      </c>
      <c r="AB189" s="48" t="n">
        <f aca="false">Z189/AA189</f>
        <v>312000000</v>
      </c>
      <c r="AC189" s="114"/>
      <c r="AD189" s="107" t="n">
        <f aca="false">Y189/AB189*1000000000000</f>
        <v>746.794871794872</v>
      </c>
      <c r="AE189" s="49" t="n">
        <f aca="false">IF(ISNUMBER($Q189),$AD189*1000/2^(($Q189-1.76)/6.02), "")</f>
        <v>432.393094084198</v>
      </c>
      <c r="AF189" s="49" t="n">
        <f aca="false">$AD189*1000/2^(($X189-1.76)/6.02)</f>
        <v>576.621996829965</v>
      </c>
      <c r="AG189" s="49" t="n">
        <f aca="false">IF(ISNUMBER($Q189), $Q189+10*LOG10($AB189/2/$Y189), "")</f>
        <v>154.757686773284</v>
      </c>
      <c r="AH189" s="49" t="n">
        <f aca="false">$X189+10*LOG10($AB189/2/$Y189)</f>
        <v>152.257686773284</v>
      </c>
      <c r="AI189" s="48" t="n">
        <f aca="false">AF189/AB189</f>
        <v>1.84814742573707E-006</v>
      </c>
      <c r="AJ189" s="41" t="n">
        <f aca="false">AH189+10*LOG10(AB189)</f>
        <v>237.199232713469</v>
      </c>
    </row>
    <row r="190" customFormat="false" ht="12.75" hidden="false" customHeight="false" outlineLevel="0" collapsed="false">
      <c r="A190" s="43" t="n">
        <v>2017</v>
      </c>
      <c r="B190" s="45" t="n">
        <v>3.4</v>
      </c>
      <c r="C190" s="43" t="s">
        <v>139</v>
      </c>
      <c r="D190" s="43" t="s">
        <v>173</v>
      </c>
      <c r="E190" s="43" t="n">
        <v>0.065</v>
      </c>
      <c r="F190" s="45" t="s">
        <v>2669</v>
      </c>
      <c r="G190" s="45" t="s">
        <v>2670</v>
      </c>
      <c r="H190" s="45" t="s">
        <v>2671</v>
      </c>
      <c r="I190" s="45" t="s">
        <v>2672</v>
      </c>
      <c r="J190" s="113" t="str">
        <f aca="false">IF(I190&lt;&gt;"?", HYPERLINK(CONCATENATE("https://doi.org/",I190)), "")</f>
        <v>https://doi.org/10.23919/VLSIC.2017.8008540</v>
      </c>
      <c r="K190" s="45" t="s">
        <v>117</v>
      </c>
      <c r="L190" s="69" t="n">
        <v>1.2</v>
      </c>
      <c r="M190" s="69"/>
      <c r="N190" s="69"/>
      <c r="O190" s="43"/>
      <c r="P190" s="43" t="n">
        <v>0.27</v>
      </c>
      <c r="Q190" s="41"/>
      <c r="R190" s="48" t="n">
        <v>5000</v>
      </c>
      <c r="S190" s="41" t="n">
        <v>88.5</v>
      </c>
      <c r="T190" s="43" t="n">
        <v>90.1</v>
      </c>
      <c r="U190" s="43" t="n">
        <v>93.1</v>
      </c>
      <c r="W190" s="43" t="n">
        <v>100.5</v>
      </c>
      <c r="X190" s="49" t="n">
        <f aca="false">+IF(ISNUMBER($S190),$S190,MIN($V190,$T190,$U190,$W190))</f>
        <v>88.5</v>
      </c>
      <c r="Y190" s="48" t="n">
        <v>5.5E-005</v>
      </c>
      <c r="Z190" s="71" t="n">
        <v>8000000</v>
      </c>
      <c r="AA190" s="50" t="n">
        <v>200</v>
      </c>
      <c r="AB190" s="48" t="n">
        <f aca="false">Z190/AA190</f>
        <v>40000</v>
      </c>
      <c r="AC190" s="114"/>
      <c r="AD190" s="107" t="n">
        <f aca="false">Y190/AB190*1000000000000</f>
        <v>1375</v>
      </c>
      <c r="AE190" s="49" t="str">
        <f aca="false">IF(ISNUMBER($Q190),$AD190*1000/2^(($Q190-1.76)/6.02), "")</f>
        <v/>
      </c>
      <c r="AF190" s="49" t="n">
        <f aca="false">$AD190*1000/2^(($X190-1.76)/6.02)</f>
        <v>63.2223306099088</v>
      </c>
      <c r="AG190" s="49" t="str">
        <f aca="false">IF(ISNUMBER($Q190), $Q190+10*LOG10($AB190/2/$Y190), "")</f>
        <v/>
      </c>
      <c r="AH190" s="49" t="n">
        <f aca="false">$X190+10*LOG10($AB190/2/$Y190)</f>
        <v>174.106673061697</v>
      </c>
      <c r="AI190" s="48" t="n">
        <f aca="false">AF190/AB190</f>
        <v>0.00158055826524772</v>
      </c>
      <c r="AJ190" s="41" t="n">
        <f aca="false">AH190+10*LOG10(AB190)</f>
        <v>220.127272974977</v>
      </c>
    </row>
    <row r="191" customFormat="false" ht="12.75" hidden="false" customHeight="false" outlineLevel="0" collapsed="false">
      <c r="A191" s="43" t="n">
        <v>2017</v>
      </c>
      <c r="B191" s="45" t="n">
        <v>8.1</v>
      </c>
      <c r="C191" s="43" t="s">
        <v>111</v>
      </c>
      <c r="D191" s="43" t="s">
        <v>1215</v>
      </c>
      <c r="E191" s="43" t="n">
        <v>0.016</v>
      </c>
      <c r="F191" s="45" t="s">
        <v>2673</v>
      </c>
      <c r="G191" s="45" t="s">
        <v>2674</v>
      </c>
      <c r="H191" s="45" t="s">
        <v>2675</v>
      </c>
      <c r="I191" s="45" t="s">
        <v>2676</v>
      </c>
      <c r="J191" s="113" t="str">
        <f aca="false">IF(I191&lt;&gt;"?", HYPERLINK(CONCATENATE("https://doi.org/",I191)), "")</f>
        <v>https://doi.org/10.23919/VLSIC.2017.8008559</v>
      </c>
      <c r="K191" s="45" t="s">
        <v>117</v>
      </c>
      <c r="L191" s="69" t="n">
        <v>0.8</v>
      </c>
      <c r="M191" s="69"/>
      <c r="N191" s="69"/>
      <c r="O191" s="43" t="n">
        <v>4</v>
      </c>
      <c r="P191" s="43" t="n">
        <f aca="false">0.35*0.325</f>
        <v>0.11375</v>
      </c>
      <c r="Q191" s="41" t="n">
        <v>69.3</v>
      </c>
      <c r="R191" s="48" t="n">
        <v>150000000</v>
      </c>
      <c r="S191" s="41" t="n">
        <v>64</v>
      </c>
      <c r="W191" s="43" t="n">
        <v>73.6</v>
      </c>
      <c r="X191" s="49" t="n">
        <f aca="false">+IF(ISNUMBER($S191),$S191,MIN($V191,$T191,$U191,$W191))</f>
        <v>64</v>
      </c>
      <c r="Y191" s="48" t="n">
        <v>0.0036</v>
      </c>
      <c r="Z191" s="71" t="n">
        <v>303000000</v>
      </c>
      <c r="AA191" s="50" t="n">
        <v>1</v>
      </c>
      <c r="AB191" s="48" t="n">
        <f aca="false">Z191/AA191</f>
        <v>303000000</v>
      </c>
      <c r="AC191" s="114"/>
      <c r="AD191" s="107" t="n">
        <f aca="false">Y191/AB191*1000000000000</f>
        <v>11.8811881188119</v>
      </c>
      <c r="AE191" s="49" t="n">
        <f aca="false">IF(ISNUMBER($Q191),$AD191*1000/2^(($Q191-1.76)/6.02), "")</f>
        <v>4.98337240315637</v>
      </c>
      <c r="AF191" s="49" t="n">
        <f aca="false">$AD191*1000/2^(($X191-1.76)/6.02)</f>
        <v>9.17381020750175</v>
      </c>
      <c r="AG191" s="49" t="n">
        <f aca="false">IF(ISNUMBER($Q191), $Q191+10*LOG10($AB191/2/$Y191), "")</f>
        <v>175.54110132071</v>
      </c>
      <c r="AH191" s="49" t="n">
        <f aca="false">$X191+10*LOG10($AB191/2/$Y191)</f>
        <v>170.24110132071</v>
      </c>
      <c r="AI191" s="48" t="n">
        <f aca="false">AF191/AB191</f>
        <v>3.02766013448903E-008</v>
      </c>
      <c r="AJ191" s="41" t="n">
        <f aca="false">AH191+10*LOG10(AB191)</f>
        <v>255.055527605733</v>
      </c>
    </row>
    <row r="192" customFormat="false" ht="12.75" hidden="false" customHeight="false" outlineLevel="0" collapsed="false">
      <c r="A192" s="43" t="n">
        <v>2017</v>
      </c>
      <c r="B192" s="45" t="n">
        <v>8.2</v>
      </c>
      <c r="C192" s="43" t="s">
        <v>111</v>
      </c>
      <c r="D192" s="43" t="s">
        <v>133</v>
      </c>
      <c r="E192" s="43" t="n">
        <v>0.028</v>
      </c>
      <c r="F192" s="45" t="s">
        <v>2677</v>
      </c>
      <c r="G192" s="45" t="s">
        <v>2678</v>
      </c>
      <c r="H192" s="45" t="s">
        <v>2679</v>
      </c>
      <c r="I192" s="45" t="s">
        <v>2680</v>
      </c>
      <c r="J192" s="113" t="str">
        <f aca="false">IF(I192&lt;&gt;"?", HYPERLINK(CONCATENATE("https://doi.org/",I192)), "")</f>
        <v>https://doi.org/10.23919/VLSIC.2017.8008560</v>
      </c>
      <c r="K192" s="45" t="s">
        <v>117</v>
      </c>
      <c r="L192" s="69" t="n">
        <v>1</v>
      </c>
      <c r="M192" s="69"/>
      <c r="N192" s="69"/>
      <c r="O192" s="43" t="n">
        <v>0.256</v>
      </c>
      <c r="P192" s="43" t="n">
        <v>0.015</v>
      </c>
      <c r="Q192" s="41" t="n">
        <v>56.7</v>
      </c>
      <c r="R192" s="48" t="n">
        <v>251000000</v>
      </c>
      <c r="S192" s="41" t="n">
        <v>56.6</v>
      </c>
      <c r="W192" s="43" t="n">
        <v>69.2</v>
      </c>
      <c r="X192" s="49" t="n">
        <f aca="false">+IF(ISNUMBER($S192),$S192,MIN($V192,$T192,$U192,$W192))</f>
        <v>56.6</v>
      </c>
      <c r="Y192" s="48" t="n">
        <v>0.006</v>
      </c>
      <c r="Z192" s="71" t="n">
        <v>500000000</v>
      </c>
      <c r="AA192" s="50" t="n">
        <v>1</v>
      </c>
      <c r="AB192" s="48" t="n">
        <f aca="false">Z192/AA192</f>
        <v>500000000</v>
      </c>
      <c r="AC192" s="114"/>
      <c r="AD192" s="107" t="n">
        <f aca="false">Y192/AB192*1000000000000</f>
        <v>12</v>
      </c>
      <c r="AE192" s="49" t="n">
        <f aca="false">IF(ISNUMBER($Q192),$AD192*1000/2^(($Q192-1.76)/6.02), "")</f>
        <v>21.4737304963597</v>
      </c>
      <c r="AF192" s="49" t="n">
        <f aca="false">$AD192*1000/2^(($X192-1.76)/6.02)</f>
        <v>21.722409498577</v>
      </c>
      <c r="AG192" s="49" t="n">
        <f aca="false">IF(ISNUMBER($Q192), $Q192+10*LOG10($AB192/2/$Y192), "")</f>
        <v>162.897887582884</v>
      </c>
      <c r="AH192" s="49" t="n">
        <f aca="false">$X192+10*LOG10($AB192/2/$Y192)</f>
        <v>162.797887582884</v>
      </c>
      <c r="AI192" s="48" t="n">
        <f aca="false">AF192/AB192</f>
        <v>4.3444818997154E-008</v>
      </c>
      <c r="AJ192" s="41" t="n">
        <f aca="false">AH192+10*LOG10(AB192)</f>
        <v>249.787587626244</v>
      </c>
    </row>
    <row r="193" customFormat="false" ht="12" hidden="false" customHeight="true" outlineLevel="0" collapsed="false">
      <c r="A193" s="43" t="n">
        <v>2017</v>
      </c>
      <c r="B193" s="45" t="n">
        <v>8.3</v>
      </c>
      <c r="C193" s="43" t="s">
        <v>111</v>
      </c>
      <c r="D193" s="43" t="s">
        <v>133</v>
      </c>
      <c r="E193" s="43" t="n">
        <v>0.028</v>
      </c>
      <c r="F193" s="45" t="s">
        <v>2681</v>
      </c>
      <c r="G193" s="120" t="s">
        <v>2682</v>
      </c>
      <c r="H193" s="45" t="s">
        <v>2683</v>
      </c>
      <c r="I193" s="45" t="s">
        <v>2684</v>
      </c>
      <c r="J193" s="113" t="str">
        <f aca="false">IF(I193&lt;&gt;"?", HYPERLINK(CONCATENATE("https://doi.org/",I193)), "")</f>
        <v>https://doi.org/10.23919/VLSIC.2017.8008561</v>
      </c>
      <c r="K193" s="45" t="s">
        <v>117</v>
      </c>
      <c r="L193" s="69" t="n">
        <v>0.9</v>
      </c>
      <c r="M193" s="69"/>
      <c r="N193" s="69"/>
      <c r="O193" s="43" t="n">
        <v>0.2</v>
      </c>
      <c r="P193" s="43" t="n">
        <v>0.62</v>
      </c>
      <c r="Q193" s="41" t="n">
        <v>58.1</v>
      </c>
      <c r="R193" s="48" t="n">
        <v>293000000</v>
      </c>
      <c r="S193" s="41" t="n">
        <v>56.3</v>
      </c>
      <c r="W193" s="43" t="n">
        <v>69.2</v>
      </c>
      <c r="X193" s="49" t="n">
        <f aca="false">+IF(ISNUMBER($S193),$S193,MIN($V193,$T193,$U193,$W193))</f>
        <v>56.3</v>
      </c>
      <c r="Y193" s="48" t="n">
        <v>0.0142</v>
      </c>
      <c r="Z193" s="71" t="n">
        <v>600000000</v>
      </c>
      <c r="AA193" s="50" t="n">
        <v>1</v>
      </c>
      <c r="AB193" s="48" t="n">
        <f aca="false">Z193/AA193</f>
        <v>600000000</v>
      </c>
      <c r="AC193" s="114"/>
      <c r="AD193" s="107" t="n">
        <f aca="false">Y193/AB193*1000000000000</f>
        <v>23.6666666666667</v>
      </c>
      <c r="AE193" s="49" t="n">
        <f aca="false">IF(ISNUMBER($Q193),$AD193*1000/2^(($Q193-1.76)/6.02), "")</f>
        <v>36.0459412444496</v>
      </c>
      <c r="AF193" s="49" t="n">
        <f aca="false">$AD193*1000/2^(($X193-1.76)/6.02)</f>
        <v>44.3471116495112</v>
      </c>
      <c r="AG193" s="49" t="n">
        <f aca="false">IF(ISNUMBER($Q193), $Q193+10*LOG10($AB193/2/$Y193), "")</f>
        <v>161.348329103366</v>
      </c>
      <c r="AH193" s="49" t="n">
        <f aca="false">$X193+10*LOG10($AB193/2/$Y193)</f>
        <v>159.548329103366</v>
      </c>
      <c r="AI193" s="48" t="n">
        <f aca="false">AF193/AB193</f>
        <v>7.39118527491854E-008</v>
      </c>
      <c r="AJ193" s="41" t="n">
        <f aca="false">AH193+10*LOG10(AB193)</f>
        <v>247.329841607202</v>
      </c>
    </row>
    <row r="194" customFormat="false" ht="12.75" hidden="false" customHeight="false" outlineLevel="0" collapsed="false">
      <c r="A194" s="43" t="n">
        <v>2017</v>
      </c>
      <c r="B194" s="45" t="n">
        <v>8.4</v>
      </c>
      <c r="C194" s="43" t="s">
        <v>111</v>
      </c>
      <c r="D194" s="43" t="s">
        <v>994</v>
      </c>
      <c r="E194" s="43" t="n">
        <v>0.04</v>
      </c>
      <c r="F194" s="45" t="s">
        <v>2685</v>
      </c>
      <c r="G194" s="45" t="s">
        <v>2686</v>
      </c>
      <c r="H194" s="45" t="s">
        <v>2687</v>
      </c>
      <c r="I194" s="45" t="s">
        <v>2688</v>
      </c>
      <c r="J194" s="113" t="str">
        <f aca="false">IF(I194&lt;&gt;"?", HYPERLINK(CONCATENATE("https://doi.org/",I194)), "")</f>
        <v>https://doi.org/10.23919/VLSIC.2017.8008562</v>
      </c>
      <c r="K194" s="45" t="s">
        <v>117</v>
      </c>
      <c r="L194" s="69" t="n">
        <v>1.1</v>
      </c>
      <c r="M194" s="69"/>
      <c r="N194" s="69"/>
      <c r="O194" s="43" t="n">
        <f aca="false">128*0.032</f>
        <v>4.096</v>
      </c>
      <c r="P194" s="43" t="n">
        <v>0.068</v>
      </c>
      <c r="Q194" s="41"/>
      <c r="R194" s="48" t="n">
        <v>5900000</v>
      </c>
      <c r="S194" s="41" t="n">
        <v>73.2</v>
      </c>
      <c r="T194" s="43" t="n">
        <v>73.3</v>
      </c>
      <c r="W194" s="43" t="n">
        <v>90.4</v>
      </c>
      <c r="X194" s="49" t="n">
        <f aca="false">+IF(ISNUMBER($S194),$S194,MIN($V194,$T194,$U194,$W194))</f>
        <v>73.2</v>
      </c>
      <c r="Y194" s="48" t="n">
        <v>0.0023</v>
      </c>
      <c r="Z194" s="71" t="n">
        <v>100000000</v>
      </c>
      <c r="AA194" s="50" t="n">
        <v>1</v>
      </c>
      <c r="AB194" s="48" t="n">
        <f aca="false">Z194/AA194</f>
        <v>100000000</v>
      </c>
      <c r="AC194" s="114"/>
      <c r="AD194" s="107" t="n">
        <f aca="false">Y194/AB194*1000000000000</f>
        <v>23</v>
      </c>
      <c r="AE194" s="49" t="str">
        <f aca="false">IF(ISNUMBER($Q194),$AD194*1000/2^(($Q194-1.76)/6.02), "")</f>
        <v/>
      </c>
      <c r="AF194" s="49" t="n">
        <f aca="false">$AD194*1000/2^(($X194-1.76)/6.02)</f>
        <v>6.15703857001364</v>
      </c>
      <c r="AG194" s="49" t="str">
        <f aca="false">IF(ISNUMBER($Q194), $Q194+10*LOG10($AB194/2/$Y194), "")</f>
        <v/>
      </c>
      <c r="AH194" s="49" t="n">
        <f aca="false">$X194+10*LOG10($AB194/2/$Y194)</f>
        <v>176.572421683184</v>
      </c>
      <c r="AI194" s="48" t="n">
        <f aca="false">AF194/AB194</f>
        <v>6.15703857001364E-008</v>
      </c>
      <c r="AJ194" s="41" t="n">
        <f aca="false">AH194+10*LOG10(AB194)</f>
        <v>256.572421683184</v>
      </c>
    </row>
    <row r="195" customFormat="false" ht="12.75" hidden="false" customHeight="false" outlineLevel="0" collapsed="false">
      <c r="A195" s="43" t="n">
        <v>2017</v>
      </c>
      <c r="B195" s="45" t="n">
        <v>18.1</v>
      </c>
      <c r="C195" s="43" t="s">
        <v>139</v>
      </c>
      <c r="D195" s="43" t="s">
        <v>112</v>
      </c>
      <c r="E195" s="43" t="n">
        <v>0.014</v>
      </c>
      <c r="F195" s="45" t="s">
        <v>2689</v>
      </c>
      <c r="G195" s="45" t="s">
        <v>2690</v>
      </c>
      <c r="H195" s="45" t="s">
        <v>2691</v>
      </c>
      <c r="I195" s="45" t="s">
        <v>2692</v>
      </c>
      <c r="J195" s="113" t="str">
        <f aca="false">IF(I195&lt;&gt;"?", HYPERLINK(CONCATENATE("https://doi.org/",I195)), "")</f>
        <v>https://doi.org/10.23919/VLSIC.2017.8008491</v>
      </c>
      <c r="K195" s="45" t="s">
        <v>117</v>
      </c>
      <c r="L195" s="69" t="n">
        <v>1</v>
      </c>
      <c r="M195" s="69"/>
      <c r="N195" s="69"/>
      <c r="O195" s="43"/>
      <c r="P195" s="43" t="n">
        <v>0.0043</v>
      </c>
      <c r="Q195" s="41"/>
      <c r="R195" s="48" t="n">
        <v>20000000</v>
      </c>
      <c r="S195" s="41" t="n">
        <v>69.1</v>
      </c>
      <c r="U195" s="43" t="n">
        <v>72</v>
      </c>
      <c r="W195" s="43" t="n">
        <v>78</v>
      </c>
      <c r="X195" s="49" t="n">
        <f aca="false">+IF(ISNUMBER($S195),$S195,MIN($V195,$T195,$U195,$W195))</f>
        <v>69.1</v>
      </c>
      <c r="Y195" s="48" t="n">
        <v>0.0024</v>
      </c>
      <c r="Z195" s="71" t="n">
        <v>300000000</v>
      </c>
      <c r="AA195" s="50" t="n">
        <v>6</v>
      </c>
      <c r="AB195" s="48" t="n">
        <f aca="false">Z195/AA195</f>
        <v>50000000</v>
      </c>
      <c r="AC195" s="114"/>
      <c r="AD195" s="107" t="n">
        <f aca="false">Y195/AB195*1000000000000</f>
        <v>48</v>
      </c>
      <c r="AE195" s="49" t="str">
        <f aca="false">IF(ISNUMBER($Q195),$AD195*1000/2^(($Q195-1.76)/6.02), "")</f>
        <v/>
      </c>
      <c r="AF195" s="49" t="n">
        <f aca="false">$AD195*1000/2^(($X195-1.76)/6.02)</f>
        <v>20.6018255075929</v>
      </c>
      <c r="AG195" s="49" t="str">
        <f aca="false">IF(ISNUMBER($Q195), $Q195+10*LOG10($AB195/2/$Y195), "")</f>
        <v/>
      </c>
      <c r="AH195" s="49" t="n">
        <f aca="false">$X195+10*LOG10($AB195/2/$Y195)</f>
        <v>169.277287669604</v>
      </c>
      <c r="AI195" s="48" t="n">
        <f aca="false">AF195/AB195</f>
        <v>4.12036510151858E-007</v>
      </c>
      <c r="AJ195" s="41" t="n">
        <f aca="false">AH195+10*LOG10(AB195)</f>
        <v>246.266987712964</v>
      </c>
    </row>
    <row r="196" customFormat="false" ht="12.75" hidden="false" customHeight="false" outlineLevel="0" collapsed="false">
      <c r="A196" s="43" t="n">
        <v>2017</v>
      </c>
      <c r="B196" s="45" t="n">
        <v>18.2</v>
      </c>
      <c r="C196" s="43" t="s">
        <v>139</v>
      </c>
      <c r="D196" s="43" t="s">
        <v>112</v>
      </c>
      <c r="E196" s="43" t="n">
        <v>0.04</v>
      </c>
      <c r="F196" s="45" t="s">
        <v>2693</v>
      </c>
      <c r="G196" s="45" t="s">
        <v>2694</v>
      </c>
      <c r="H196" s="45" t="s">
        <v>2695</v>
      </c>
      <c r="I196" s="45" t="s">
        <v>2696</v>
      </c>
      <c r="J196" s="113" t="str">
        <f aca="false">IF(I196&lt;&gt;"?", HYPERLINK(CONCATENATE("https://doi.org/",I196)), "")</f>
        <v>https://doi.org/10.23919/VLSIC.2017.8008492</v>
      </c>
      <c r="K196" s="45" t="s">
        <v>117</v>
      </c>
      <c r="L196" s="69" t="n">
        <v>1.1</v>
      </c>
      <c r="M196" s="69"/>
      <c r="N196" s="69"/>
      <c r="O196" s="43"/>
      <c r="P196" s="43" t="n">
        <v>0.04</v>
      </c>
      <c r="Q196" s="41"/>
      <c r="R196" s="48" t="n">
        <v>262000</v>
      </c>
      <c r="S196" s="41" t="n">
        <v>80</v>
      </c>
      <c r="T196" s="43" t="n">
        <v>83</v>
      </c>
      <c r="X196" s="49" t="n">
        <f aca="false">+IF(ISNUMBER($S196),$S196,MIN($V196,$T196,$U196,$W196))</f>
        <v>80</v>
      </c>
      <c r="Y196" s="48" t="n">
        <v>0.000143</v>
      </c>
      <c r="Z196" s="71" t="n">
        <v>8400000</v>
      </c>
      <c r="AA196" s="50" t="n">
        <v>16</v>
      </c>
      <c r="AB196" s="48" t="n">
        <f aca="false">Z196/AA196</f>
        <v>525000</v>
      </c>
      <c r="AC196" s="114"/>
      <c r="AD196" s="107" t="n">
        <f aca="false">Y196/AB196*1000000000000</f>
        <v>272.380952380952</v>
      </c>
      <c r="AE196" s="49" t="str">
        <f aca="false">IF(ISNUMBER($Q196),$AD196*1000/2^(($Q196-1.76)/6.02), "")</f>
        <v/>
      </c>
      <c r="AF196" s="49" t="n">
        <f aca="false">$AD196*1000/2^(($X196-1.76)/6.02)</f>
        <v>33.3262839317374</v>
      </c>
      <c r="AG196" s="49" t="str">
        <f aca="false">IF(ISNUMBER($Q196), $Q196+10*LOG10($AB196/2/$Y196), "")</f>
        <v/>
      </c>
      <c r="AH196" s="49" t="n">
        <f aca="false">$X196+10*LOG10($AB196/2/$Y196)</f>
        <v>172.637932702769</v>
      </c>
      <c r="AI196" s="48" t="n">
        <f aca="false">AF196/AB196</f>
        <v>6.34786360604523E-005</v>
      </c>
      <c r="AJ196" s="41" t="n">
        <f aca="false">AH196+10*LOG10(AB196)</f>
        <v>229.839525736829</v>
      </c>
    </row>
    <row r="197" customFormat="false" ht="12.75" hidden="false" customHeight="false" outlineLevel="0" collapsed="false">
      <c r="A197" s="43" t="n">
        <v>2017</v>
      </c>
      <c r="B197" s="45" t="n">
        <v>18.3</v>
      </c>
      <c r="C197" s="43" t="s">
        <v>111</v>
      </c>
      <c r="D197" s="43" t="s">
        <v>112</v>
      </c>
      <c r="E197" s="43" t="n">
        <v>0.04</v>
      </c>
      <c r="F197" s="45" t="s">
        <v>2697</v>
      </c>
      <c r="G197" s="45" t="s">
        <v>2698</v>
      </c>
      <c r="H197" s="45" t="s">
        <v>2699</v>
      </c>
      <c r="I197" s="45" t="s">
        <v>2700</v>
      </c>
      <c r="J197" s="113" t="str">
        <f aca="false">IF(I197&lt;&gt;"?", HYPERLINK(CONCATENATE("https://doi.org/",I197)), "")</f>
        <v>https://doi.org/10.23919/VLSIC.2017.8008493</v>
      </c>
      <c r="K197" s="45" t="s">
        <v>117</v>
      </c>
      <c r="L197" s="69" t="n">
        <v>0.7</v>
      </c>
      <c r="M197" s="69"/>
      <c r="N197" s="69"/>
      <c r="O197" s="43"/>
      <c r="P197" s="43" t="n">
        <v>0.014</v>
      </c>
      <c r="Q197" s="41"/>
      <c r="R197" s="48" t="n">
        <v>100000</v>
      </c>
      <c r="S197" s="41" t="n">
        <v>69.1</v>
      </c>
      <c r="T197" s="43" t="n">
        <v>70.56</v>
      </c>
      <c r="V197" s="43" t="n">
        <v>74.43</v>
      </c>
      <c r="W197" s="43" t="n">
        <v>69.1</v>
      </c>
      <c r="X197" s="49" t="n">
        <f aca="false">+IF(ISNUMBER($S197),$S197,MIN($V197,$T197,$U197,$W197))</f>
        <v>69.1</v>
      </c>
      <c r="Y197" s="48" t="n">
        <v>5.1E-007</v>
      </c>
      <c r="Z197" s="71" t="n">
        <v>200000</v>
      </c>
      <c r="AA197" s="50" t="n">
        <v>1</v>
      </c>
      <c r="AB197" s="48" t="n">
        <f aca="false">Z197/AA197</f>
        <v>200000</v>
      </c>
      <c r="AC197" s="114"/>
      <c r="AD197" s="107" t="n">
        <f aca="false">Y197/AB197*1000000000000</f>
        <v>2.55</v>
      </c>
      <c r="AE197" s="49" t="str">
        <f aca="false">IF(ISNUMBER($Q197),$AD197*1000/2^(($Q197-1.76)/6.02), "")</f>
        <v/>
      </c>
      <c r="AF197" s="49" t="n">
        <f aca="false">$AD197*1000/2^(($X197-1.76)/6.02)</f>
        <v>1.09447198009087</v>
      </c>
      <c r="AG197" s="49" t="str">
        <f aca="false">IF(ISNUMBER($Q197), $Q197+10*LOG10($AB197/2/$Y197), "")</f>
        <v/>
      </c>
      <c r="AH197" s="49" t="n">
        <f aca="false">$X197+10*LOG10($AB197/2/$Y197)</f>
        <v>182.024298239021</v>
      </c>
      <c r="AI197" s="48" t="n">
        <f aca="false">AF197/AB197</f>
        <v>5.47235990045436E-006</v>
      </c>
      <c r="AJ197" s="41" t="n">
        <f aca="false">AH197+10*LOG10(AB197)</f>
        <v>235.03459819566</v>
      </c>
    </row>
    <row r="198" customFormat="false" ht="12.75" hidden="false" customHeight="false" outlineLevel="0" collapsed="false">
      <c r="A198" s="43" t="n">
        <v>2017</v>
      </c>
      <c r="B198" s="45" t="n">
        <v>18.4</v>
      </c>
      <c r="C198" s="43" t="s">
        <v>111</v>
      </c>
      <c r="D198" s="43" t="s">
        <v>112</v>
      </c>
      <c r="E198" s="43" t="n">
        <v>0.04</v>
      </c>
      <c r="F198" s="45" t="s">
        <v>2701</v>
      </c>
      <c r="G198" s="45" t="s">
        <v>2702</v>
      </c>
      <c r="H198" s="45" t="s">
        <v>2703</v>
      </c>
      <c r="I198" s="45" t="s">
        <v>2704</v>
      </c>
      <c r="J198" s="113" t="str">
        <f aca="false">IF(I198&lt;&gt;"?", HYPERLINK(CONCATENATE("https://doi.org/",I198)), "")</f>
        <v>https://doi.org/10.23919/VLSIC.2017.8008494</v>
      </c>
      <c r="K198" s="45" t="s">
        <v>117</v>
      </c>
      <c r="L198" s="69" t="n">
        <v>2.5</v>
      </c>
      <c r="M198" s="69" t="n">
        <v>1.1</v>
      </c>
      <c r="N198" s="69"/>
      <c r="O198" s="43"/>
      <c r="P198" s="43" t="n">
        <v>0.074</v>
      </c>
      <c r="Q198" s="41"/>
      <c r="R198" s="48" t="n">
        <v>20000</v>
      </c>
      <c r="S198" s="41" t="n">
        <v>84.8</v>
      </c>
      <c r="W198" s="43" t="n">
        <v>107</v>
      </c>
      <c r="X198" s="49" t="n">
        <f aca="false">+IF(ISNUMBER($S198),$S198,MIN($V198,$T198,$U198,$W198))</f>
        <v>84.8</v>
      </c>
      <c r="Y198" s="48" t="n">
        <v>0.000101</v>
      </c>
      <c r="Z198" s="71" t="n">
        <v>80000</v>
      </c>
      <c r="AA198" s="50" t="n">
        <v>1</v>
      </c>
      <c r="AB198" s="48" t="n">
        <f aca="false">Z198/AA198</f>
        <v>80000</v>
      </c>
      <c r="AC198" s="114"/>
      <c r="AD198" s="107" t="n">
        <f aca="false">Y198/AB198*1000000000000</f>
        <v>1262.5</v>
      </c>
      <c r="AE198" s="49" t="str">
        <f aca="false">IF(ISNUMBER($Q198),$AD198*1000/2^(($Q198-1.76)/6.02), "")</f>
        <v/>
      </c>
      <c r="AF198" s="49" t="n">
        <f aca="false">$AD198*1000/2^(($X198-1.76)/6.02)</f>
        <v>88.8827792560876</v>
      </c>
      <c r="AG198" s="49" t="str">
        <f aca="false">IF(ISNUMBER($Q198), $Q198+10*LOG10($AB198/2/$Y198), "")</f>
        <v/>
      </c>
      <c r="AH198" s="49" t="n">
        <f aca="false">$X198+10*LOG10($AB198/2/$Y198)</f>
        <v>170.777386175453</v>
      </c>
      <c r="AI198" s="48" t="n">
        <f aca="false">AF198/AB198</f>
        <v>0.00111103474070109</v>
      </c>
      <c r="AJ198" s="41" t="n">
        <f aca="false">AH198+10*LOG10(AB198)</f>
        <v>219.808286045373</v>
      </c>
    </row>
    <row r="199" customFormat="false" ht="12.75" hidden="false" customHeight="false" outlineLevel="0" collapsed="false">
      <c r="A199" s="43" t="n">
        <v>2017</v>
      </c>
      <c r="B199" s="45" t="n">
        <v>21.1</v>
      </c>
      <c r="C199" s="43" t="s">
        <v>111</v>
      </c>
      <c r="D199" s="43" t="s">
        <v>112</v>
      </c>
      <c r="E199" s="43" t="n">
        <v>0.014</v>
      </c>
      <c r="F199" s="45" t="s">
        <v>2705</v>
      </c>
      <c r="G199" s="45" t="s">
        <v>2706</v>
      </c>
      <c r="H199" s="45" t="s">
        <v>2707</v>
      </c>
      <c r="I199" s="45" t="s">
        <v>2708</v>
      </c>
      <c r="J199" s="113" t="str">
        <f aca="false">IF(I199&lt;&gt;"?", HYPERLINK(CONCATENATE("https://doi.org/",I199)), "")</f>
        <v>https://doi.org/10.23919/VLSIC.2017.8008506</v>
      </c>
      <c r="K199" s="45" t="s">
        <v>117</v>
      </c>
      <c r="L199" s="69" t="n">
        <v>0.85</v>
      </c>
      <c r="M199" s="69"/>
      <c r="N199" s="69"/>
      <c r="O199" s="43"/>
      <c r="P199" s="43" t="n">
        <v>0.006</v>
      </c>
      <c r="Q199" s="41" t="n">
        <v>61.6</v>
      </c>
      <c r="R199" s="48" t="n">
        <v>146190000</v>
      </c>
      <c r="S199" s="41" t="n">
        <v>60.45</v>
      </c>
      <c r="V199" s="43" t="n">
        <v>75.16</v>
      </c>
      <c r="W199" s="43" t="n">
        <v>78.72</v>
      </c>
      <c r="X199" s="49" t="n">
        <f aca="false">+IF(ISNUMBER($S199),$S199,MIN($V199,$T199,$U199,$W199))</f>
        <v>60.45</v>
      </c>
      <c r="Y199" s="48" t="n">
        <v>0.0033</v>
      </c>
      <c r="Z199" s="71" t="n">
        <v>300000000</v>
      </c>
      <c r="AA199" s="50" t="n">
        <v>1</v>
      </c>
      <c r="AB199" s="48" t="n">
        <f aca="false">Z199/AA199</f>
        <v>300000000</v>
      </c>
      <c r="AC199" s="114"/>
      <c r="AD199" s="107" t="n">
        <f aca="false">Y199/AB199*1000000000000</f>
        <v>11</v>
      </c>
      <c r="AE199" s="49" t="n">
        <f aca="false">IF(ISNUMBER($Q199),$AD199*1000/2^(($Q199-1.76)/6.02), "")</f>
        <v>11.1968155070213</v>
      </c>
      <c r="AF199" s="49" t="n">
        <f aca="false">$AD199*1000/2^(($X199-1.76)/6.02)</f>
        <v>12.7820423561835</v>
      </c>
      <c r="AG199" s="49" t="n">
        <f aca="false">IF(ISNUMBER($Q199), $Q199+10*LOG10($AB199/2/$Y199), "")</f>
        <v>168.175773191778</v>
      </c>
      <c r="AH199" s="49" t="n">
        <f aca="false">$X199+10*LOG10($AB199/2/$Y199)</f>
        <v>167.025773191778</v>
      </c>
      <c r="AI199" s="48" t="n">
        <f aca="false">AF199/AB199</f>
        <v>4.2606807853945E-008</v>
      </c>
      <c r="AJ199" s="41" t="n">
        <f aca="false">AH199+10*LOG10(AB199)</f>
        <v>251.796985738975</v>
      </c>
    </row>
    <row r="200" customFormat="false" ht="12.75" hidden="false" customHeight="false" outlineLevel="0" collapsed="false">
      <c r="A200" s="43" t="n">
        <v>2017</v>
      </c>
      <c r="B200" s="45" t="n">
        <v>21.2</v>
      </c>
      <c r="C200" s="43" t="s">
        <v>111</v>
      </c>
      <c r="D200" s="43" t="s">
        <v>548</v>
      </c>
      <c r="E200" s="43" t="n">
        <v>0.016</v>
      </c>
      <c r="F200" s="45" t="s">
        <v>2709</v>
      </c>
      <c r="G200" s="45" t="s">
        <v>2710</v>
      </c>
      <c r="H200" s="45" t="s">
        <v>2711</v>
      </c>
      <c r="I200" s="45" t="s">
        <v>2712</v>
      </c>
      <c r="J200" s="113" t="str">
        <f aca="false">IF(I200&lt;&gt;"?", HYPERLINK(CONCATENATE("https://doi.org/",I200)), "")</f>
        <v>https://doi.org/10.23919/VLSIC.2017.8008507</v>
      </c>
      <c r="K200" s="45" t="s">
        <v>117</v>
      </c>
      <c r="L200" s="69" t="n">
        <v>1.5</v>
      </c>
      <c r="M200" s="69" t="n">
        <v>0.85</v>
      </c>
      <c r="N200" s="69"/>
      <c r="O200" s="43"/>
      <c r="P200" s="43" t="n">
        <v>0.014</v>
      </c>
      <c r="Q200" s="41" t="n">
        <v>54.5</v>
      </c>
      <c r="R200" s="48" t="n">
        <v>1000000000</v>
      </c>
      <c r="S200" s="41" t="n">
        <v>50.1</v>
      </c>
      <c r="W200" s="43" t="n">
        <v>56</v>
      </c>
      <c r="X200" s="49" t="n">
        <f aca="false">+IF(ISNUMBER($S200),$S200,MIN($V200,$T200,$U200,$W200))</f>
        <v>50.1</v>
      </c>
      <c r="Y200" s="48" t="n">
        <v>0.0104</v>
      </c>
      <c r="Z200" s="71" t="n">
        <v>2000000000</v>
      </c>
      <c r="AA200" s="50" t="n">
        <v>1</v>
      </c>
      <c r="AB200" s="48" t="n">
        <f aca="false">Z200/AA200</f>
        <v>2000000000</v>
      </c>
      <c r="AC200" s="114"/>
      <c r="AD200" s="107" t="n">
        <f aca="false">Y200/AB200*1000000000000</f>
        <v>5.2</v>
      </c>
      <c r="AE200" s="49" t="n">
        <f aca="false">IF(ISNUMBER($Q200),$AD200*1000/2^(($Q200-1.76)/6.02), "")</f>
        <v>11.9878295068835</v>
      </c>
      <c r="AF200" s="49" t="n">
        <f aca="false">$AD200*1000/2^(($X200-1.76)/6.02)</f>
        <v>19.895849240793</v>
      </c>
      <c r="AG200" s="49" t="n">
        <f aca="false">IF(ISNUMBER($Q200), $Q200+10*LOG10($AB200/2/$Y200), "")</f>
        <v>164.329666607012</v>
      </c>
      <c r="AH200" s="49" t="n">
        <f aca="false">$X200+10*LOG10($AB200/2/$Y200)</f>
        <v>159.929666607012</v>
      </c>
      <c r="AI200" s="48" t="n">
        <f aca="false">AF200/AB200</f>
        <v>9.94792462039649E-009</v>
      </c>
      <c r="AJ200" s="41" t="n">
        <f aca="false">AH200+10*LOG10(AB200)</f>
        <v>252.939966563652</v>
      </c>
    </row>
    <row r="201" customFormat="false" ht="12.75" hidden="false" customHeight="false" outlineLevel="0" collapsed="false">
      <c r="A201" s="43" t="n">
        <v>2017</v>
      </c>
      <c r="B201" s="45" t="n">
        <v>21.3</v>
      </c>
      <c r="C201" s="43" t="s">
        <v>111</v>
      </c>
      <c r="D201" s="43" t="s">
        <v>1506</v>
      </c>
      <c r="E201" s="43" t="n">
        <v>0.18</v>
      </c>
      <c r="F201" s="45" t="s">
        <v>2713</v>
      </c>
      <c r="G201" s="45" t="s">
        <v>2714</v>
      </c>
      <c r="H201" s="45" t="s">
        <v>2715</v>
      </c>
      <c r="I201" s="45" t="s">
        <v>2716</v>
      </c>
      <c r="J201" s="113" t="str">
        <f aca="false">IF(I201&lt;&gt;"?", HYPERLINK(CONCATENATE("https://doi.org/",I201)), "")</f>
        <v>https://doi.org/10.23919/VLSIC.2017.8008508</v>
      </c>
      <c r="K201" s="45" t="s">
        <v>2717</v>
      </c>
      <c r="L201" s="69" t="n">
        <v>5</v>
      </c>
      <c r="M201" s="69" t="n">
        <v>1.8</v>
      </c>
      <c r="N201" s="69"/>
      <c r="O201" s="43" t="s">
        <v>117</v>
      </c>
      <c r="P201" s="69" t="n">
        <f aca="false">1.695*2.285</f>
        <v>3.873075</v>
      </c>
      <c r="Q201" s="41"/>
      <c r="R201" s="48" t="n">
        <v>100000</v>
      </c>
      <c r="S201" s="41"/>
      <c r="T201" s="43" t="n">
        <v>100</v>
      </c>
      <c r="U201" s="43" t="n">
        <v>100.5</v>
      </c>
      <c r="X201" s="49" t="n">
        <f aca="false">+IF(ISNUMBER($S201),$S201,MIN($V201,$T201,$U201,$W201))</f>
        <v>100</v>
      </c>
      <c r="Y201" s="48" t="n">
        <v>0.01135</v>
      </c>
      <c r="Z201" s="71" t="n">
        <v>2000000</v>
      </c>
      <c r="AA201" s="50" t="n">
        <v>1</v>
      </c>
      <c r="AB201" s="48" t="n">
        <f aca="false">Z201/AA201</f>
        <v>2000000</v>
      </c>
      <c r="AC201" s="114"/>
      <c r="AD201" s="107" t="n">
        <f aca="false">Y201/AB201*1000000000000</f>
        <v>5675</v>
      </c>
      <c r="AE201" s="49" t="str">
        <f aca="false">IF(ISNUMBER($Q201),$AD201*1000/2^(($Q201-1.76)/6.02), "")</f>
        <v/>
      </c>
      <c r="AF201" s="49" t="n">
        <f aca="false">$AD201*1000/2^(($X201-1.76)/6.02)</f>
        <v>69.4186827552845</v>
      </c>
      <c r="AG201" s="49" t="str">
        <f aca="false">IF(ISNUMBER($Q201), $Q201+10*LOG10($AB201/2/$Y201), "")</f>
        <v/>
      </c>
      <c r="AH201" s="49" t="n">
        <f aca="false">$X201+10*LOG10($AB201/2/$Y201)</f>
        <v>179.450041384709</v>
      </c>
      <c r="AI201" s="48" t="n">
        <f aca="false">AF201/AB201</f>
        <v>3.47093413776422E-005</v>
      </c>
      <c r="AJ201" s="41" t="n">
        <f aca="false">AH201+10*LOG10(AB201)</f>
        <v>242.460341341348</v>
      </c>
    </row>
    <row r="202" customFormat="false" ht="12.75" hidden="false" customHeight="false" outlineLevel="0" collapsed="false">
      <c r="A202" s="43" t="n">
        <v>2017</v>
      </c>
      <c r="B202" s="45" t="n">
        <v>21.4</v>
      </c>
      <c r="C202" s="43" t="s">
        <v>111</v>
      </c>
      <c r="D202" s="43" t="s">
        <v>112</v>
      </c>
      <c r="E202" s="43" t="n">
        <v>0.055</v>
      </c>
      <c r="F202" s="45" t="s">
        <v>2718</v>
      </c>
      <c r="G202" s="45" t="s">
        <v>2719</v>
      </c>
      <c r="H202" s="45" t="s">
        <v>2720</v>
      </c>
      <c r="I202" s="45" t="s">
        <v>2721</v>
      </c>
      <c r="J202" s="113" t="str">
        <f aca="false">IF(I202&lt;&gt;"?", HYPERLINK(CONCATENATE("https://doi.org/",I202)), "")</f>
        <v>https://doi.org/10.23919/VLSIC.2017.8008509</v>
      </c>
      <c r="K202" s="45" t="s">
        <v>117</v>
      </c>
      <c r="L202" s="69" t="n">
        <v>3.3</v>
      </c>
      <c r="M202" s="69" t="n">
        <v>1.2</v>
      </c>
      <c r="N202" s="69"/>
      <c r="O202" s="43" t="n">
        <v>1</v>
      </c>
      <c r="P202" s="43" t="n">
        <v>0.55</v>
      </c>
      <c r="Q202" s="41"/>
      <c r="R202" s="48" t="n">
        <v>100000</v>
      </c>
      <c r="S202" s="41" t="n">
        <v>78</v>
      </c>
      <c r="W202" s="43" t="n">
        <v>98</v>
      </c>
      <c r="X202" s="49" t="n">
        <f aca="false">+IF(ISNUMBER($S202),$S202,MIN($V202,$T202,$U202,$W202))</f>
        <v>78</v>
      </c>
      <c r="Y202" s="48" t="n">
        <v>0.0163</v>
      </c>
      <c r="Z202" s="71" t="n">
        <v>16000000</v>
      </c>
      <c r="AA202" s="50" t="n">
        <v>1</v>
      </c>
      <c r="AB202" s="48" t="n">
        <f aca="false">Z202/AA202</f>
        <v>16000000</v>
      </c>
      <c r="AC202" s="114"/>
      <c r="AD202" s="107" t="n">
        <f aca="false">Y202/AB202*1000000000000</f>
        <v>1018.75</v>
      </c>
      <c r="AE202" s="49" t="str">
        <f aca="false">IF(ISNUMBER($Q202),$AD202*1000/2^(($Q202-1.76)/6.02), "")</f>
        <v/>
      </c>
      <c r="AF202" s="49" t="n">
        <f aca="false">$AD202*1000/2^(($X202-1.76)/6.02)</f>
        <v>156.923412231971</v>
      </c>
      <c r="AG202" s="49" t="str">
        <f aca="false">IF(ISNUMBER($Q202), $Q202+10*LOG10($AB202/2/$Y202), "")</f>
        <v/>
      </c>
      <c r="AH202" s="49" t="n">
        <f aca="false">$X202+10*LOG10($AB202/2/$Y202)</f>
        <v>164.90902382588</v>
      </c>
      <c r="AI202" s="48" t="n">
        <f aca="false">AF202/AB202</f>
        <v>9.80771326449818E-006</v>
      </c>
      <c r="AJ202" s="41" t="n">
        <f aca="false">AH202+10*LOG10(AB202)</f>
        <v>236.950223652439</v>
      </c>
    </row>
    <row r="203" customFormat="false" ht="12.75" hidden="false" customHeight="false" outlineLevel="0" collapsed="false">
      <c r="A203" s="43" t="n">
        <v>2017</v>
      </c>
      <c r="B203" s="45" t="n">
        <v>21.5</v>
      </c>
      <c r="C203" s="43" t="s">
        <v>111</v>
      </c>
      <c r="D203" s="43" t="s">
        <v>208</v>
      </c>
      <c r="E203" s="43" t="n">
        <v>0.065</v>
      </c>
      <c r="F203" s="45" t="s">
        <v>2722</v>
      </c>
      <c r="G203" s="45" t="s">
        <v>2723</v>
      </c>
      <c r="H203" s="45" t="s">
        <v>2724</v>
      </c>
      <c r="I203" s="45" t="s">
        <v>2725</v>
      </c>
      <c r="J203" s="113" t="str">
        <f aca="false">IF(I203&lt;&gt;"?", HYPERLINK(CONCATENATE("https://doi.org/",I203)), "")</f>
        <v>https://doi.org/10.23919/VLSIC.2017.8008510</v>
      </c>
      <c r="K203" s="45" t="s">
        <v>117</v>
      </c>
      <c r="L203" s="69" t="n">
        <v>1.3</v>
      </c>
      <c r="M203" s="69" t="n">
        <v>1.2</v>
      </c>
      <c r="N203" s="69"/>
      <c r="O203" s="43" t="n">
        <v>0.064</v>
      </c>
      <c r="P203" s="43" t="n">
        <v>0.08</v>
      </c>
      <c r="Q203" s="41" t="n">
        <v>41.4</v>
      </c>
      <c r="R203" s="48" t="n">
        <v>1000000000</v>
      </c>
      <c r="S203" s="43" t="n">
        <v>40.7</v>
      </c>
      <c r="V203" s="43" t="n">
        <v>47</v>
      </c>
      <c r="W203" s="43" t="n">
        <v>49</v>
      </c>
      <c r="X203" s="49" t="n">
        <f aca="false">+IF(ISNUMBER($S203),$S203,MIN($V203,$T203,$U203,$W203))</f>
        <v>40.7</v>
      </c>
      <c r="Y203" s="48" t="n">
        <v>0.021</v>
      </c>
      <c r="Z203" s="71" t="n">
        <v>2000000000</v>
      </c>
      <c r="AA203" s="43" t="n">
        <v>1</v>
      </c>
      <c r="AB203" s="48" t="n">
        <f aca="false">Z203/AA203</f>
        <v>2000000000</v>
      </c>
      <c r="AC203" s="114"/>
      <c r="AD203" s="107" t="n">
        <f aca="false">Y203/AB203*1000000000000</f>
        <v>10.5</v>
      </c>
      <c r="AE203" s="49" t="n">
        <f aca="false">IF(ISNUMBER($Q203),$AD203*1000/2^(($Q203-1.76)/6.02), "")</f>
        <v>109.393567623093</v>
      </c>
      <c r="AF203" s="49" t="n">
        <f aca="false">$AD203*1000/2^(($X203-1.76)/6.02)</f>
        <v>118.575584457521</v>
      </c>
      <c r="AG203" s="49" t="n">
        <f aca="false">IF(ISNUMBER($Q203), $Q203+10*LOG10($AB203/2/$Y203), "")</f>
        <v>148.177807052661</v>
      </c>
      <c r="AH203" s="49" t="n">
        <f aca="false">$X203+10*LOG10($AB203/2/$Y203)</f>
        <v>147.477807052661</v>
      </c>
      <c r="AI203" s="48" t="n">
        <f aca="false">AF203/AB203</f>
        <v>5.92877922287603E-008</v>
      </c>
      <c r="AJ203" s="41" t="n">
        <f aca="false">AH203+10*LOG10(AB203)</f>
        <v>240.488107009301</v>
      </c>
    </row>
    <row r="204" customFormat="false" ht="12.75" hidden="false" customHeight="false" outlineLevel="0" collapsed="false">
      <c r="A204" s="39" t="n">
        <v>2018</v>
      </c>
      <c r="B204" s="45" t="n">
        <v>9.1</v>
      </c>
      <c r="C204" s="43" t="s">
        <v>111</v>
      </c>
      <c r="D204" s="43" t="s">
        <v>112</v>
      </c>
      <c r="E204" s="43" t="n">
        <v>0.04</v>
      </c>
      <c r="F204" s="45" t="s">
        <v>2726</v>
      </c>
      <c r="G204" s="45" t="s">
        <v>2727</v>
      </c>
      <c r="H204" s="45" t="s">
        <v>2728</v>
      </c>
      <c r="I204" s="45" t="s">
        <v>2729</v>
      </c>
      <c r="J204" s="113" t="str">
        <f aca="false">IF(I204&lt;&gt;"?", HYPERLINK(CONCATENATE("https://doi.org/",I204)), "")</f>
        <v>https://doi.org/10.1109/VLSIC.2018.8502325</v>
      </c>
      <c r="K204" s="45" t="s">
        <v>2730</v>
      </c>
      <c r="L204" s="69" t="n">
        <v>1.1</v>
      </c>
      <c r="M204" s="69" t="n">
        <v>0.9</v>
      </c>
      <c r="N204" s="69"/>
      <c r="O204" s="43" t="n">
        <v>0.256</v>
      </c>
      <c r="P204" s="43" t="n">
        <v>0.073</v>
      </c>
      <c r="Q204" s="41" t="n">
        <v>68.1</v>
      </c>
      <c r="R204" s="48" t="n">
        <v>500000</v>
      </c>
      <c r="S204" s="43" t="n">
        <v>66.6</v>
      </c>
      <c r="T204" s="43" t="n">
        <v>68.2</v>
      </c>
      <c r="W204" s="43" t="n">
        <v>100.4</v>
      </c>
      <c r="X204" s="49" t="n">
        <f aca="false">+IF(ISNUMBER($S204),$S204,MIN($V204,$T204,$U204,$W204))</f>
        <v>66.6</v>
      </c>
      <c r="Y204" s="48" t="n">
        <v>3.1E-005</v>
      </c>
      <c r="Z204" s="71" t="n">
        <v>1000000</v>
      </c>
      <c r="AA204" s="43" t="n">
        <v>1</v>
      </c>
      <c r="AB204" s="48" t="n">
        <f aca="false">Z204/AA204</f>
        <v>1000000</v>
      </c>
      <c r="AC204" s="114"/>
      <c r="AD204" s="107" t="n">
        <f aca="false">Y204/AB204*1000000000000</f>
        <v>31</v>
      </c>
      <c r="AE204" s="49" t="n">
        <f aca="false">IF(ISNUMBER($Q204),$AD204*1000/2^(($Q204-1.76)/6.02), "")</f>
        <v>14.9290146291776</v>
      </c>
      <c r="AF204" s="49" t="n">
        <f aca="false">$AD204*1000/2^(($X204-1.76)/6.02)</f>
        <v>17.7434724943606</v>
      </c>
      <c r="AG204" s="49" t="n">
        <f aca="false">IF(ISNUMBER($Q204), $Q204+10*LOG10($AB204/2/$Y204), "")</f>
        <v>170.176083105017</v>
      </c>
      <c r="AH204" s="49" t="n">
        <f aca="false">$X204+10*LOG10($AB204/2/$Y204)</f>
        <v>168.676083105017</v>
      </c>
      <c r="AI204" s="48" t="n">
        <f aca="false">AF204/AB204</f>
        <v>1.77434724943606E-005</v>
      </c>
      <c r="AJ204" s="41" t="n">
        <f aca="false">AH204+10*LOG10(AB204)</f>
        <v>228.676083105017</v>
      </c>
    </row>
    <row r="205" customFormat="false" ht="12.75" hidden="false" customHeight="false" outlineLevel="0" collapsed="false">
      <c r="A205" s="43" t="n">
        <v>2018</v>
      </c>
      <c r="B205" s="45" t="n">
        <v>9.2</v>
      </c>
      <c r="C205" s="43" t="s">
        <v>111</v>
      </c>
      <c r="D205" s="43" t="s">
        <v>2545</v>
      </c>
      <c r="E205" s="43" t="n">
        <v>0.04</v>
      </c>
      <c r="F205" s="45" t="s">
        <v>2731</v>
      </c>
      <c r="G205" s="45" t="s">
        <v>2732</v>
      </c>
      <c r="H205" s="45" t="s">
        <v>2733</v>
      </c>
      <c r="I205" s="45" t="s">
        <v>2734</v>
      </c>
      <c r="J205" s="113" t="str">
        <f aca="false">IF(I205&lt;&gt;"?", HYPERLINK(CONCATENATE("https://doi.org/",I205)), "")</f>
        <v>https://doi.org/10.1109/VLSIC.2018.8502440</v>
      </c>
      <c r="K205" s="45" t="s">
        <v>117</v>
      </c>
      <c r="L205" s="69" t="n">
        <v>0.5</v>
      </c>
      <c r="M205" s="69"/>
      <c r="N205" s="69"/>
      <c r="O205" s="43"/>
      <c r="P205" s="43" t="n">
        <v>0.00975</v>
      </c>
      <c r="Q205" s="41"/>
      <c r="R205" s="48" t="n">
        <v>10000</v>
      </c>
      <c r="S205" s="43" t="n">
        <v>54.56</v>
      </c>
      <c r="W205" s="43" t="n">
        <v>71.3</v>
      </c>
      <c r="X205" s="49" t="n">
        <f aca="false">+IF(ISNUMBER($S205),$S205,MIN($V205,$T205,$U205,$W205))</f>
        <v>54.56</v>
      </c>
      <c r="Y205" s="48" t="n">
        <v>2.1E-008</v>
      </c>
      <c r="Z205" s="71" t="n">
        <v>20000</v>
      </c>
      <c r="AA205" s="43" t="n">
        <v>1</v>
      </c>
      <c r="AB205" s="48" t="n">
        <f aca="false">Z205/AA205</f>
        <v>20000</v>
      </c>
      <c r="AC205" s="114"/>
      <c r="AD205" s="107" t="n">
        <f aca="false">Y205/AB205*1000000000000</f>
        <v>1.05</v>
      </c>
      <c r="AE205" s="49" t="str">
        <f aca="false">IF(ISNUMBER($Q205),$AD205*1000/2^(($Q205-1.76)/6.02), "")</f>
        <v/>
      </c>
      <c r="AF205" s="49" t="n">
        <f aca="false">$AD205*1000/2^(($X205-1.76)/6.02)</f>
        <v>2.40395433794562</v>
      </c>
      <c r="AG205" s="49" t="str">
        <f aca="false">IF(ISNUMBER($Q205), $Q205+10*LOG10($AB205/2/$Y205), "")</f>
        <v/>
      </c>
      <c r="AH205" s="49" t="n">
        <f aca="false">$X205+10*LOG10($AB205/2/$Y205)</f>
        <v>171.337807052661</v>
      </c>
      <c r="AI205" s="48" t="n">
        <f aca="false">AF205/AB205</f>
        <v>0.000120197716897281</v>
      </c>
      <c r="AJ205" s="41" t="n">
        <f aca="false">AH205+10*LOG10(AB205)</f>
        <v>214.348107009301</v>
      </c>
    </row>
    <row r="206" customFormat="false" ht="12.75" hidden="false" customHeight="false" outlineLevel="0" collapsed="false">
      <c r="A206" s="43" t="n">
        <v>2018</v>
      </c>
      <c r="B206" s="45" t="n">
        <v>9.3</v>
      </c>
      <c r="C206" s="43" t="s">
        <v>111</v>
      </c>
      <c r="D206" s="43" t="s">
        <v>2735</v>
      </c>
      <c r="E206" s="43" t="n">
        <v>0.065</v>
      </c>
      <c r="F206" s="45" t="s">
        <v>2736</v>
      </c>
      <c r="G206" s="45" t="s">
        <v>2737</v>
      </c>
      <c r="H206" s="45" t="s">
        <v>2738</v>
      </c>
      <c r="I206" s="45" t="s">
        <v>2739</v>
      </c>
      <c r="J206" s="113" t="str">
        <f aca="false">IF(I206&lt;&gt;"?", HYPERLINK(CONCATENATE("https://doi.org/",I206)), "")</f>
        <v>https://doi.org/10.1109/VLSIC.2018.8502316</v>
      </c>
      <c r="K206" s="45" t="s">
        <v>117</v>
      </c>
      <c r="L206" s="69" t="n">
        <v>1</v>
      </c>
      <c r="M206" s="69"/>
      <c r="N206" s="69"/>
      <c r="O206" s="43"/>
      <c r="P206" s="43" t="n">
        <v>0.007</v>
      </c>
      <c r="Q206" s="41" t="n">
        <v>45.4</v>
      </c>
      <c r="R206" s="48" t="n">
        <v>475000000</v>
      </c>
      <c r="S206" s="41" t="n">
        <v>45</v>
      </c>
      <c r="W206" s="43" t="n">
        <v>62.1</v>
      </c>
      <c r="X206" s="49" t="n">
        <f aca="false">+IF(ISNUMBER($S206),$S206,MIN($V206,$T206,$U206,$W206))</f>
        <v>45</v>
      </c>
      <c r="Y206" s="48" t="n">
        <v>0.0023</v>
      </c>
      <c r="Z206" s="71" t="n">
        <v>950000000</v>
      </c>
      <c r="AA206" s="43" t="n">
        <v>1</v>
      </c>
      <c r="AB206" s="48" t="n">
        <f aca="false">Z206/AA206</f>
        <v>950000000</v>
      </c>
      <c r="AC206" s="114"/>
      <c r="AD206" s="107" t="n">
        <f aca="false">Y206/AB206*1000000000000</f>
        <v>2.42105263157895</v>
      </c>
      <c r="AE206" s="49" t="n">
        <f aca="false">IF(ISNUMBER($Q206),$AD206*1000/2^(($Q206-1.76)/6.02), "")</f>
        <v>15.9142723852122</v>
      </c>
      <c r="AF206" s="49" t="n">
        <f aca="false">$AD206*1000/2^(($X206-1.76)/6.02)</f>
        <v>16.6643654120644</v>
      </c>
      <c r="AG206" s="49" t="n">
        <f aca="false">IF(ISNUMBER($Q206), $Q206+10*LOG10($AB206/2/$Y206), "")</f>
        <v>158.549657736073</v>
      </c>
      <c r="AH206" s="49" t="n">
        <f aca="false">$X206+10*LOG10($AB206/2/$Y206)</f>
        <v>158.149657736073</v>
      </c>
      <c r="AI206" s="48" t="n">
        <f aca="false">AF206/AB206</f>
        <v>1.75414372758573E-008</v>
      </c>
      <c r="AJ206" s="41" t="n">
        <f aca="false">AH206+10*LOG10(AB206)</f>
        <v>247.926893788961</v>
      </c>
    </row>
    <row r="207" customFormat="false" ht="12.75" hidden="false" customHeight="false" outlineLevel="0" collapsed="false">
      <c r="A207" s="43" t="n">
        <v>2018</v>
      </c>
      <c r="B207" s="45" t="n">
        <v>9.4</v>
      </c>
      <c r="C207" s="43" t="s">
        <v>111</v>
      </c>
      <c r="D207" s="43" t="s">
        <v>2740</v>
      </c>
      <c r="E207" s="43" t="n">
        <v>0.04</v>
      </c>
      <c r="F207" s="45" t="s">
        <v>2741</v>
      </c>
      <c r="G207" s="45" t="s">
        <v>2742</v>
      </c>
      <c r="H207" s="45" t="s">
        <v>2743</v>
      </c>
      <c r="I207" s="45" t="s">
        <v>2744</v>
      </c>
      <c r="J207" s="113" t="str">
        <f aca="false">IF(I207&lt;&gt;"?", HYPERLINK(CONCATENATE("https://doi.org/",I207)), "")</f>
        <v>https://doi.org/10.1109/VLSIC.2018.8502370</v>
      </c>
      <c r="K207" s="45" t="s">
        <v>117</v>
      </c>
      <c r="L207" s="69" t="n">
        <v>1.2</v>
      </c>
      <c r="M207" s="69"/>
      <c r="N207" s="69"/>
      <c r="O207" s="43"/>
      <c r="P207" s="43" t="n">
        <v>0.00165</v>
      </c>
      <c r="Q207" s="41"/>
      <c r="R207" s="48" t="n">
        <f aca="false">550000000</f>
        <v>550000000</v>
      </c>
      <c r="S207" s="41" t="n">
        <v>45</v>
      </c>
      <c r="W207" s="43" t="n">
        <v>66</v>
      </c>
      <c r="X207" s="49" t="n">
        <f aca="false">+IF(ISNUMBER($S207),$S207,MIN($V207,$T207,$U207,$W207))</f>
        <v>45</v>
      </c>
      <c r="Y207" s="48" t="n">
        <v>0.004</v>
      </c>
      <c r="Z207" s="71" t="n">
        <v>1100000000</v>
      </c>
      <c r="AA207" s="43" t="n">
        <v>1</v>
      </c>
      <c r="AB207" s="48" t="n">
        <f aca="false">Z207/AA207</f>
        <v>1100000000</v>
      </c>
      <c r="AC207" s="114"/>
      <c r="AD207" s="107" t="n">
        <f aca="false">Y207/AB207*1000000000000</f>
        <v>3.63636363636364</v>
      </c>
      <c r="AE207" s="49" t="str">
        <f aca="false">IF(ISNUMBER($Q207),$AD207*1000/2^(($Q207-1.76)/6.02), "")</f>
        <v/>
      </c>
      <c r="AF207" s="49" t="n">
        <f aca="false">$AD207*1000/2^(($X207-1.76)/6.02)</f>
        <v>25.0294816465789</v>
      </c>
      <c r="AG207" s="49" t="str">
        <f aca="false">IF(ISNUMBER($Q207), $Q207+10*LOG10($AB207/2/$Y207), "")</f>
        <v/>
      </c>
      <c r="AH207" s="49" t="n">
        <f aca="false">$X207+10*LOG10($AB207/2/$Y207)</f>
        <v>156.383026981663</v>
      </c>
      <c r="AI207" s="48" t="n">
        <f aca="false">AF207/AB207</f>
        <v>2.27540742241627E-008</v>
      </c>
      <c r="AJ207" s="41" t="n">
        <f aca="false">AH207+10*LOG10(AB207)</f>
        <v>246.796953833245</v>
      </c>
    </row>
    <row r="208" customFormat="false" ht="12.75" hidden="false" customHeight="false" outlineLevel="0" collapsed="false">
      <c r="A208" s="43" t="n">
        <v>2018</v>
      </c>
      <c r="B208" s="45" t="n">
        <v>9.5</v>
      </c>
      <c r="C208" s="43" t="s">
        <v>111</v>
      </c>
      <c r="D208" s="43" t="s">
        <v>548</v>
      </c>
      <c r="E208" s="43" t="n">
        <v>0.016</v>
      </c>
      <c r="F208" s="45" t="s">
        <v>2745</v>
      </c>
      <c r="G208" s="45" t="s">
        <v>2746</v>
      </c>
      <c r="H208" s="45" t="s">
        <v>2747</v>
      </c>
      <c r="I208" s="45" t="s">
        <v>2748</v>
      </c>
      <c r="J208" s="113" t="str">
        <f aca="false">IF(I208&lt;&gt;"?", HYPERLINK(CONCATENATE("https://doi.org/",I208)), "")</f>
        <v>https://doi.org/10.1109/VLSIC.2018.8502306</v>
      </c>
      <c r="K208" s="45" t="s">
        <v>2749</v>
      </c>
      <c r="L208" s="69"/>
      <c r="M208" s="69"/>
      <c r="N208" s="69"/>
      <c r="O208" s="43"/>
      <c r="P208" s="43" t="n">
        <v>1.1</v>
      </c>
      <c r="Q208" s="41" t="n">
        <v>60</v>
      </c>
      <c r="R208" s="48" t="n">
        <v>2500000000</v>
      </c>
      <c r="S208" s="41" t="n">
        <v>57</v>
      </c>
      <c r="W208" s="43" t="n">
        <v>61.9</v>
      </c>
      <c r="X208" s="49" t="n">
        <f aca="false">+IF(ISNUMBER($S208),$S208,MIN($V208,$T208,$U208,$W208))</f>
        <v>57</v>
      </c>
      <c r="Y208" s="48" t="n">
        <v>0.641</v>
      </c>
      <c r="Z208" s="71" t="n">
        <v>5000000000</v>
      </c>
      <c r="AA208" s="43" t="n">
        <v>1</v>
      </c>
      <c r="AB208" s="48" t="n">
        <f aca="false">Z208/AA208</f>
        <v>5000000000</v>
      </c>
      <c r="AC208" s="114"/>
      <c r="AD208" s="107" t="n">
        <f aca="false">Y208/AB208*1000000000000</f>
        <v>128.2</v>
      </c>
      <c r="AE208" s="49" t="n">
        <f aca="false">IF(ISNUMBER($Q208),$AD208*1000/2^(($Q208-1.76)/6.02), "")</f>
        <v>156.890928988166</v>
      </c>
      <c r="AF208" s="49" t="n">
        <f aca="false">$AD208*1000/2^(($X208-1.76)/6.02)</f>
        <v>221.62195549335</v>
      </c>
      <c r="AG208" s="49" t="n">
        <f aca="false">IF(ISNUMBER($Q208), $Q208+10*LOG10($AB208/2/$Y208), "")</f>
        <v>155.910819791532</v>
      </c>
      <c r="AH208" s="49" t="n">
        <f aca="false">$X208+10*LOG10($AB208/2/$Y208)</f>
        <v>152.910819791532</v>
      </c>
      <c r="AI208" s="48" t="n">
        <f aca="false">AF208/AB208</f>
        <v>4.43243910986699E-008</v>
      </c>
      <c r="AJ208" s="41" t="n">
        <f aca="false">AH208+10*LOG10(AB208)</f>
        <v>249.900519834892</v>
      </c>
    </row>
    <row r="209" customFormat="false" ht="12.75" hidden="false" customHeight="false" outlineLevel="0" collapsed="false">
      <c r="A209" s="43" t="n">
        <v>2018</v>
      </c>
      <c r="B209" s="45" t="n">
        <v>19.1</v>
      </c>
      <c r="C209" s="43" t="s">
        <v>139</v>
      </c>
      <c r="D209" s="43" t="s">
        <v>173</v>
      </c>
      <c r="E209" s="43" t="n">
        <v>0.065</v>
      </c>
      <c r="F209" s="45" t="s">
        <v>2750</v>
      </c>
      <c r="G209" s="45" t="s">
        <v>2751</v>
      </c>
      <c r="H209" s="45" t="s">
        <v>2752</v>
      </c>
      <c r="I209" s="45" t="s">
        <v>2753</v>
      </c>
      <c r="J209" s="113" t="str">
        <f aca="false">IF(I209&lt;&gt;"?", HYPERLINK(CONCATENATE("https://doi.org/",I209)), "")</f>
        <v>https://doi.org/10.1109/VLSIC.2018.8502318</v>
      </c>
      <c r="K209" s="45" t="s">
        <v>117</v>
      </c>
      <c r="L209" s="69" t="n">
        <v>1.2</v>
      </c>
      <c r="M209" s="69"/>
      <c r="N209" s="69"/>
      <c r="P209" s="43" t="n">
        <v>0.14</v>
      </c>
      <c r="Q209" s="41"/>
      <c r="R209" s="48" t="n">
        <v>24000</v>
      </c>
      <c r="S209" s="41" t="n">
        <v>94.1</v>
      </c>
      <c r="T209" s="43" t="n">
        <v>94.8</v>
      </c>
      <c r="U209" s="43" t="n">
        <v>98.2</v>
      </c>
      <c r="W209" s="43" t="n">
        <v>107</v>
      </c>
      <c r="X209" s="49" t="n">
        <f aca="false">+IF(ISNUMBER($S209),$S209,MIN($V209,$T209,$U209,$W209))</f>
        <v>94.1</v>
      </c>
      <c r="Y209" s="48" t="n">
        <v>6.8E-005</v>
      </c>
      <c r="Z209" s="71" t="n">
        <v>6144000</v>
      </c>
      <c r="AA209" s="43" t="n">
        <v>128</v>
      </c>
      <c r="AB209" s="48" t="n">
        <f aca="false">Z209/AA209</f>
        <v>48000</v>
      </c>
      <c r="AC209" s="114"/>
      <c r="AD209" s="107" t="n">
        <f aca="false">Y209/AB209*1000000000000</f>
        <v>1416.66666666667</v>
      </c>
      <c r="AE209" s="49" t="str">
        <f aca="false">IF(ISNUMBER($Q209),$AD209*1000/2^(($Q209-1.76)/6.02), "")</f>
        <v/>
      </c>
      <c r="AF209" s="49" t="n">
        <f aca="false">$AD209*1000/2^(($X209-1.76)/6.02)</f>
        <v>34.1827954129352</v>
      </c>
      <c r="AG209" s="49" t="str">
        <f aca="false">IF(ISNUMBER($Q209), $Q209+10*LOG10($AB209/2/$Y209), "")</f>
        <v/>
      </c>
      <c r="AH209" s="49" t="n">
        <f aca="false">$X209+10*LOG10($AB209/2/$Y209)</f>
        <v>179.577023290054</v>
      </c>
      <c r="AI209" s="48" t="n">
        <f aca="false">AF209/AB209</f>
        <v>0.000712141571102816</v>
      </c>
      <c r="AJ209" s="41" t="n">
        <f aca="false">AH209+10*LOG10(AB209)</f>
        <v>226.38943566381</v>
      </c>
    </row>
    <row r="210" customFormat="false" ht="12.75" hidden="false" customHeight="false" outlineLevel="0" collapsed="false">
      <c r="A210" s="43" t="n">
        <v>2018</v>
      </c>
      <c r="B210" s="45" t="n">
        <v>19.2</v>
      </c>
      <c r="C210" s="43" t="s">
        <v>139</v>
      </c>
      <c r="D210" s="43" t="s">
        <v>173</v>
      </c>
      <c r="E210" s="43" t="n">
        <v>0.04</v>
      </c>
      <c r="F210" s="45" t="s">
        <v>2754</v>
      </c>
      <c r="G210" s="45" t="s">
        <v>2755</v>
      </c>
      <c r="H210" s="45" t="s">
        <v>2756</v>
      </c>
      <c r="I210" s="45" t="s">
        <v>2757</v>
      </c>
      <c r="J210" s="113" t="str">
        <f aca="false">IF(I210&lt;&gt;"?", HYPERLINK(CONCATENATE("https://doi.org/",I210)), "")</f>
        <v>https://doi.org/10.1109/VLSIC.2018.8502424</v>
      </c>
      <c r="K210" s="45" t="s">
        <v>117</v>
      </c>
      <c r="L210" s="69"/>
      <c r="M210" s="69"/>
      <c r="N210" s="69"/>
      <c r="P210" s="43" t="n">
        <v>0.029</v>
      </c>
      <c r="Q210" s="41"/>
      <c r="R210" s="48" t="n">
        <v>12500000</v>
      </c>
      <c r="S210" s="41" t="n">
        <v>70.4</v>
      </c>
      <c r="U210" s="43" t="n">
        <v>73</v>
      </c>
      <c r="W210" s="43" t="n">
        <v>85.6</v>
      </c>
      <c r="X210" s="49" t="n">
        <f aca="false">+IF(ISNUMBER($S210),$S210,MIN($V210,$T210,$U210,$W210))</f>
        <v>70.4</v>
      </c>
      <c r="Y210" s="48" t="n">
        <v>0.00116</v>
      </c>
      <c r="Z210" s="71" t="n">
        <v>500000000</v>
      </c>
      <c r="AA210" s="43" t="n">
        <v>20</v>
      </c>
      <c r="AB210" s="48" t="n">
        <f aca="false">Z210/AA210</f>
        <v>25000000</v>
      </c>
      <c r="AC210" s="114"/>
      <c r="AD210" s="107" t="n">
        <f aca="false">Y210/AB210*1000000000000</f>
        <v>46.4</v>
      </c>
      <c r="AE210" s="49" t="str">
        <f aca="false">IF(ISNUMBER($Q210),$AD210*1000/2^(($Q210-1.76)/6.02), "")</f>
        <v/>
      </c>
      <c r="AF210" s="49" t="n">
        <f aca="false">$AD210*1000/2^(($X210-1.76)/6.02)</f>
        <v>17.1465192031846</v>
      </c>
      <c r="AG210" s="49" t="str">
        <f aca="false">IF(ISNUMBER($Q210), $Q210+10*LOG10($AB210/2/$Y210), "")</f>
        <v/>
      </c>
      <c r="AH210" s="49" t="n">
        <f aca="false">$X210+10*LOG10($AB210/2/$Y210)</f>
        <v>170.724520237811</v>
      </c>
      <c r="AI210" s="48" t="n">
        <f aca="false">AF210/AB210</f>
        <v>6.85860768127383E-007</v>
      </c>
      <c r="AJ210" s="41" t="n">
        <f aca="false">AH210+10*LOG10(AB210)</f>
        <v>244.703920324532</v>
      </c>
    </row>
    <row r="211" customFormat="false" ht="12.75" hidden="false" customHeight="false" outlineLevel="0" collapsed="false">
      <c r="A211" s="43" t="n">
        <v>2018</v>
      </c>
      <c r="B211" s="45" t="n">
        <v>19.3</v>
      </c>
      <c r="C211" s="43" t="s">
        <v>139</v>
      </c>
      <c r="D211" s="43" t="s">
        <v>2758</v>
      </c>
      <c r="E211" s="43" t="n">
        <v>0.065</v>
      </c>
      <c r="F211" s="45" t="s">
        <v>2759</v>
      </c>
      <c r="G211" s="45" t="s">
        <v>2760</v>
      </c>
      <c r="H211" s="45" t="s">
        <v>2761</v>
      </c>
      <c r="I211" s="45" t="s">
        <v>2762</v>
      </c>
      <c r="J211" s="113" t="str">
        <f aca="false">IF(I211&lt;&gt;"?", HYPERLINK(CONCATENATE("https://doi.org/",I211)), "")</f>
        <v>https://doi.org/10.1109/VLSIC.2018.8502382</v>
      </c>
      <c r="K211" s="45" t="s">
        <v>117</v>
      </c>
      <c r="L211" s="69" t="n">
        <v>1.2</v>
      </c>
      <c r="M211" s="69"/>
      <c r="N211" s="69"/>
      <c r="P211" s="43" t="n">
        <v>0.014</v>
      </c>
      <c r="Q211" s="41"/>
      <c r="R211" s="48" t="n">
        <v>12500000</v>
      </c>
      <c r="S211" s="41" t="n">
        <v>77.1</v>
      </c>
      <c r="U211" s="43" t="n">
        <v>78.5</v>
      </c>
      <c r="W211" s="43" t="n">
        <v>90.7</v>
      </c>
      <c r="X211" s="49" t="n">
        <f aca="false">+IF(ISNUMBER($S211),$S211,MIN($V211,$T211,$U211,$W211))</f>
        <v>77.1</v>
      </c>
      <c r="Y211" s="48" t="n">
        <v>0.0045</v>
      </c>
      <c r="Z211" s="71" t="n">
        <v>200000000</v>
      </c>
      <c r="AA211" s="43" t="n">
        <v>8</v>
      </c>
      <c r="AB211" s="48" t="n">
        <f aca="false">Z211/AA211</f>
        <v>25000000</v>
      </c>
      <c r="AC211" s="114"/>
      <c r="AD211" s="107" t="n">
        <f aca="false">Y211/AB211*1000000000000</f>
        <v>180</v>
      </c>
      <c r="AE211" s="49" t="str">
        <f aca="false">IF(ISNUMBER($Q211),$AD211*1000/2^(($Q211-1.76)/6.02), "")</f>
        <v/>
      </c>
      <c r="AF211" s="49" t="n">
        <f aca="false">$AD211*1000/2^(($X211-1.76)/6.02)</f>
        <v>30.7536813991115</v>
      </c>
      <c r="AG211" s="49" t="str">
        <f aca="false">IF(ISNUMBER($Q211), $Q211+10*LOG10($AB211/2/$Y211), "")</f>
        <v/>
      </c>
      <c r="AH211" s="49" t="n">
        <f aca="false">$X211+10*LOG10($AB211/2/$Y211)</f>
        <v>171.536974992327</v>
      </c>
      <c r="AI211" s="48" t="n">
        <f aca="false">AF211/AB211</f>
        <v>1.23014725596446E-006</v>
      </c>
      <c r="AJ211" s="41" t="n">
        <f aca="false">AH211+10*LOG10(AB211)</f>
        <v>245.516375079047</v>
      </c>
    </row>
    <row r="212" customFormat="false" ht="12.75" hidden="false" customHeight="false" outlineLevel="0" collapsed="false">
      <c r="A212" s="43" t="n">
        <v>2018</v>
      </c>
      <c r="B212" s="45" t="n">
        <v>19.4</v>
      </c>
      <c r="C212" s="43" t="s">
        <v>139</v>
      </c>
      <c r="D212" s="43" t="s">
        <v>2763</v>
      </c>
      <c r="E212" s="43" t="n">
        <v>0.18</v>
      </c>
      <c r="F212" s="45" t="s">
        <v>2764</v>
      </c>
      <c r="G212" s="45" t="s">
        <v>2765</v>
      </c>
      <c r="H212" s="45" t="s">
        <v>2766</v>
      </c>
      <c r="I212" s="45" t="s">
        <v>2767</v>
      </c>
      <c r="J212" s="113" t="str">
        <f aca="false">IF(I212&lt;&gt;"?", HYPERLINK(CONCATENATE("https://doi.org/",I212)), "")</f>
        <v>https://doi.org/10.1109/VLSIC.2018.8502298</v>
      </c>
      <c r="K212" s="45" t="s">
        <v>117</v>
      </c>
      <c r="L212" s="69" t="n">
        <v>3</v>
      </c>
      <c r="M212" s="69"/>
      <c r="N212" s="69"/>
      <c r="P212" s="43" t="n">
        <v>0.72</v>
      </c>
      <c r="Q212" s="41"/>
      <c r="R212" s="48" t="n">
        <v>625000</v>
      </c>
      <c r="S212" s="41" t="n">
        <v>96.6</v>
      </c>
      <c r="U212" s="43" t="n">
        <v>100.1</v>
      </c>
      <c r="W212" s="43" t="n">
        <v>110.4</v>
      </c>
      <c r="X212" s="49" t="n">
        <f aca="false">+IF(ISNUMBER($S212),$S212,MIN($V212,$T212,$U212,$W212))</f>
        <v>96.6</v>
      </c>
      <c r="Y212" s="48" t="n">
        <v>0.0277</v>
      </c>
      <c r="Z212" s="71" t="n">
        <v>55000000</v>
      </c>
      <c r="AA212" s="50" t="n">
        <f aca="false">55/2/0.625</f>
        <v>44</v>
      </c>
      <c r="AB212" s="48" t="n">
        <f aca="false">Z212/AA212</f>
        <v>1250000</v>
      </c>
      <c r="AC212" s="114"/>
      <c r="AD212" s="107" t="n">
        <f aca="false">Y212/AB212*1000000000000</f>
        <v>22160</v>
      </c>
      <c r="AE212" s="49" t="str">
        <f aca="false">IF(ISNUMBER($Q212),$AD212*1000/2^(($Q212-1.76)/6.02), "")</f>
        <v/>
      </c>
      <c r="AF212" s="49" t="n">
        <f aca="false">$AD212*1000/2^(($X212-1.76)/6.02)</f>
        <v>400.95644595636</v>
      </c>
      <c r="AG212" s="49" t="str">
        <f aca="false">IF(ISNUMBER($Q212), $Q212+10*LOG10($AB212/2/$Y212), "")</f>
        <v/>
      </c>
      <c r="AH212" s="49" t="n">
        <f aca="false">$X212+10*LOG10($AB212/2/$Y212)</f>
        <v>170.134002482796</v>
      </c>
      <c r="AI212" s="48" t="n">
        <f aca="false">AF212/AB212</f>
        <v>0.000320765156765088</v>
      </c>
      <c r="AJ212" s="41" t="n">
        <f aca="false">AH212+10*LOG10(AB212)</f>
        <v>231.103102612877</v>
      </c>
    </row>
    <row r="213" customFormat="false" ht="12.75" hidden="false" customHeight="true" outlineLevel="0" collapsed="false">
      <c r="A213" s="43" t="n">
        <v>2018</v>
      </c>
      <c r="B213" s="45" t="n">
        <v>19.5</v>
      </c>
      <c r="C213" s="43" t="s">
        <v>139</v>
      </c>
      <c r="D213" s="43" t="s">
        <v>2768</v>
      </c>
      <c r="E213" s="43" t="n">
        <v>0.065</v>
      </c>
      <c r="F213" s="45" t="s">
        <v>2769</v>
      </c>
      <c r="G213" s="120" t="s">
        <v>2770</v>
      </c>
      <c r="H213" s="45" t="s">
        <v>2771</v>
      </c>
      <c r="I213" s="45" t="s">
        <v>2772</v>
      </c>
      <c r="J213" s="113" t="str">
        <f aca="false">IF(I213&lt;&gt;"?", HYPERLINK(CONCATENATE("https://doi.org/",I213)), "")</f>
        <v>https://doi.org/10.1109/VLSIC.2018.8502384</v>
      </c>
      <c r="K213" s="45" t="s">
        <v>117</v>
      </c>
      <c r="L213" s="69" t="n">
        <v>1.2</v>
      </c>
      <c r="M213" s="69"/>
      <c r="N213" s="69"/>
      <c r="P213" s="43" t="n">
        <v>0.134</v>
      </c>
      <c r="Q213" s="41"/>
      <c r="R213" s="48" t="n">
        <v>20000</v>
      </c>
      <c r="S213" s="41" t="n">
        <v>100.8</v>
      </c>
      <c r="U213" s="43" t="n">
        <v>101.8</v>
      </c>
      <c r="X213" s="49" t="n">
        <f aca="false">+IF(ISNUMBER($S213),$S213,MIN($V213,$T213,$U213,$W213))</f>
        <v>100.8</v>
      </c>
      <c r="Y213" s="48" t="n">
        <v>0.00055</v>
      </c>
      <c r="Z213" s="71" t="n">
        <v>10240000</v>
      </c>
      <c r="AA213" s="50" t="n">
        <f aca="false">Z213/2/20000</f>
        <v>256</v>
      </c>
      <c r="AB213" s="48" t="n">
        <f aca="false">Z213/AA213</f>
        <v>40000</v>
      </c>
      <c r="AC213" s="114"/>
      <c r="AD213" s="107" t="n">
        <f aca="false">Y213/AB213*1000000000000</f>
        <v>13750</v>
      </c>
      <c r="AE213" s="49" t="str">
        <f aca="false">IF(ISNUMBER($Q213),$AD213*1000/2^(($Q213-1.76)/6.02), "")</f>
        <v/>
      </c>
      <c r="AF213" s="49" t="n">
        <f aca="false">$AD213*1000/2^(($X213-1.76)/6.02)</f>
        <v>153.394297449991</v>
      </c>
      <c r="AG213" s="49" t="str">
        <f aca="false">IF(ISNUMBER($Q213), $Q213+10*LOG10($AB213/2/$Y213), "")</f>
        <v/>
      </c>
      <c r="AH213" s="49" t="n">
        <f aca="false">$X213+10*LOG10($AB213/2/$Y213)</f>
        <v>176.406673061697</v>
      </c>
      <c r="AI213" s="48" t="n">
        <f aca="false">AF213/AB213</f>
        <v>0.00383485743624977</v>
      </c>
      <c r="AJ213" s="41" t="n">
        <f aca="false">AH213+10*LOG10(AB213)</f>
        <v>222.427272974977</v>
      </c>
    </row>
    <row r="214" customFormat="false" ht="12.75" hidden="false" customHeight="false" outlineLevel="0" collapsed="false">
      <c r="A214" s="43" t="n">
        <v>2018</v>
      </c>
      <c r="B214" s="45" t="n">
        <v>22.3</v>
      </c>
      <c r="C214" s="43" t="s">
        <v>139</v>
      </c>
      <c r="D214" s="43" t="s">
        <v>173</v>
      </c>
      <c r="E214" s="43" t="n">
        <v>0.18</v>
      </c>
      <c r="F214" s="45" t="s">
        <v>2773</v>
      </c>
      <c r="G214" s="45" t="s">
        <v>2774</v>
      </c>
      <c r="H214" s="45" t="s">
        <v>2775</v>
      </c>
      <c r="I214" s="45" t="s">
        <v>2776</v>
      </c>
      <c r="J214" s="113" t="str">
        <f aca="false">IF(I214&lt;&gt;"?", HYPERLINK(CONCATENATE("https://doi.org/",I214)), "")</f>
        <v>https://doi.org/10.1109/VLSIC.2018.8502264</v>
      </c>
      <c r="K214" s="45" t="s">
        <v>117</v>
      </c>
      <c r="L214" s="69" t="n">
        <v>1</v>
      </c>
      <c r="M214" s="69"/>
      <c r="N214" s="69"/>
      <c r="P214" s="43" t="n">
        <v>0.55</v>
      </c>
      <c r="Q214" s="41"/>
      <c r="R214" s="48" t="n">
        <v>10000</v>
      </c>
      <c r="S214" s="41" t="n">
        <v>91.3</v>
      </c>
      <c r="W214" s="43" t="n">
        <v>104.7</v>
      </c>
      <c r="X214" s="49" t="n">
        <f aca="false">+IF(ISNUMBER($S214),$S214,MIN($V214,$T214,$U214,$W214))</f>
        <v>91.3</v>
      </c>
      <c r="Y214" s="48" t="n">
        <v>6.5E-006</v>
      </c>
      <c r="Z214" s="71" t="n">
        <v>12800</v>
      </c>
      <c r="AA214" s="43" t="n">
        <v>64</v>
      </c>
      <c r="AB214" s="48" t="n">
        <f aca="false">Z214/AA214</f>
        <v>200</v>
      </c>
      <c r="AC214" s="114"/>
      <c r="AD214" s="107" t="n">
        <f aca="false">Y214/AB214*1000000000000</f>
        <v>32500</v>
      </c>
      <c r="AE214" s="49" t="str">
        <f aca="false">IF(ISNUMBER($Q214),$AD214*1000/2^(($Q214-1.76)/6.02), "")</f>
        <v/>
      </c>
      <c r="AF214" s="49" t="n">
        <f aca="false">$AD214*1000/2^(($X214-1.76)/6.02)</f>
        <v>1082.52320044452</v>
      </c>
      <c r="AG214" s="49" t="str">
        <f aca="false">IF(ISNUMBER($Q214), $Q214+10*LOG10($AB214/2/$Y214), "")</f>
        <v/>
      </c>
      <c r="AH214" s="49" t="n">
        <f aca="false">$X214+10*LOG10($AB214/2/$Y214)</f>
        <v>163.170866433571</v>
      </c>
      <c r="AI214" s="48" t="n">
        <f aca="false">AF214/AB214</f>
        <v>5.4126160022226</v>
      </c>
      <c r="AJ214" s="41" t="n">
        <f aca="false">AH214+10*LOG10(AB214)</f>
        <v>186.181166390211</v>
      </c>
    </row>
    <row r="215" customFormat="false" ht="12.75" hidden="false" customHeight="false" outlineLevel="0" collapsed="false">
      <c r="A215" s="43" t="n">
        <v>2018</v>
      </c>
      <c r="B215" s="45" t="n">
        <v>25.5</v>
      </c>
      <c r="C215" s="43" t="s">
        <v>111</v>
      </c>
      <c r="D215" s="43" t="s">
        <v>548</v>
      </c>
      <c r="E215" s="43" t="n">
        <v>0.014</v>
      </c>
      <c r="F215" s="45" t="s">
        <v>2777</v>
      </c>
      <c r="G215" s="45" t="s">
        <v>2778</v>
      </c>
      <c r="H215" s="45" t="s">
        <v>2779</v>
      </c>
      <c r="I215" s="45" t="s">
        <v>2780</v>
      </c>
      <c r="J215" s="113" t="str">
        <f aca="false">IF(I215&lt;&gt;"?", HYPERLINK(CONCATENATE("https://doi.org/",I215)), "")</f>
        <v>https://doi.org/10.1109/VLSIC.2018.8502268</v>
      </c>
      <c r="K215" s="45" t="s">
        <v>117</v>
      </c>
      <c r="L215" s="69" t="n">
        <v>0.95</v>
      </c>
      <c r="M215" s="69" t="n">
        <v>0.8</v>
      </c>
      <c r="N215" s="69"/>
      <c r="P215" s="43" t="n">
        <v>0.16</v>
      </c>
      <c r="Q215" s="41" t="n">
        <v>47.3</v>
      </c>
      <c r="R215" s="48" t="n">
        <v>39800000000</v>
      </c>
      <c r="S215" s="41" t="n">
        <v>37.8</v>
      </c>
      <c r="X215" s="49" t="n">
        <f aca="false">+IF(ISNUMBER($S215),$S215,MIN($V215,$T215,$U215,$W215))</f>
        <v>37.8</v>
      </c>
      <c r="Y215" s="48" t="n">
        <v>0.199</v>
      </c>
      <c r="Z215" s="71" t="n">
        <v>32000000000</v>
      </c>
      <c r="AA215" s="43" t="n">
        <v>1</v>
      </c>
      <c r="AB215" s="48" t="n">
        <f aca="false">Z215/AA215</f>
        <v>32000000000</v>
      </c>
      <c r="AC215" s="114"/>
      <c r="AD215" s="107" t="n">
        <f aca="false">Y215/AB215*1000000000000</f>
        <v>6.21875</v>
      </c>
      <c r="AE215" s="49" t="n">
        <f aca="false">IF(ISNUMBER($Q215),$AD215*1000/2^(($Q215-1.76)/6.02), "")</f>
        <v>32.845523440893</v>
      </c>
      <c r="AF215" s="49" t="n">
        <f aca="false">$AD215*1000/2^(($X215-1.76)/6.02)</f>
        <v>98.0671429051934</v>
      </c>
      <c r="AG215" s="49" t="n">
        <f aca="false">IF(ISNUMBER($Q215), $Q215+10*LOG10($AB215/2/$Y215), "")</f>
        <v>156.352669062462</v>
      </c>
      <c r="AH215" s="49" t="n">
        <f aca="false">$X215+10*LOG10($AB215/2/$Y215)</f>
        <v>146.852669062462</v>
      </c>
      <c r="AI215" s="48" t="n">
        <f aca="false">AF215/AB215</f>
        <v>3.06459821578729E-009</v>
      </c>
      <c r="AJ215" s="41" t="n">
        <f aca="false">AH215+10*LOG10(AB215)</f>
        <v>251.904168845661</v>
      </c>
    </row>
    <row r="216" customFormat="false" ht="12.75" hidden="false" customHeight="false" outlineLevel="0" collapsed="false">
      <c r="A216" s="39" t="n">
        <v>2019</v>
      </c>
      <c r="B216" s="45" t="n">
        <v>7.1</v>
      </c>
      <c r="C216" s="43" t="s">
        <v>139</v>
      </c>
      <c r="D216" s="43" t="s">
        <v>1506</v>
      </c>
      <c r="E216" s="43" t="n">
        <v>0.04</v>
      </c>
      <c r="F216" s="45" t="s">
        <v>2781</v>
      </c>
      <c r="G216" s="45" t="s">
        <v>2782</v>
      </c>
      <c r="H216" s="45" t="s">
        <v>2783</v>
      </c>
      <c r="I216" s="45" t="s">
        <v>2784</v>
      </c>
      <c r="J216" s="113" t="str">
        <f aca="false">IF(I216&lt;&gt;"?", HYPERLINK(CONCATENATE("https://doi.org/",I216)), "")</f>
        <v>https://doi.org/10.23919/VLSIC.2019.8778032</v>
      </c>
      <c r="K216" s="45" t="s">
        <v>117</v>
      </c>
      <c r="L216" s="69" t="n">
        <v>1</v>
      </c>
      <c r="M216" s="69"/>
      <c r="N216" s="69"/>
      <c r="O216" s="43" t="n">
        <v>1</v>
      </c>
      <c r="P216" s="43" t="n">
        <v>0.061</v>
      </c>
      <c r="R216" s="48" t="n">
        <v>12500000</v>
      </c>
      <c r="S216" s="43" t="n">
        <v>75.8</v>
      </c>
      <c r="U216" s="43" t="n">
        <v>76.8</v>
      </c>
      <c r="W216" s="43" t="n">
        <v>92.9</v>
      </c>
      <c r="X216" s="49" t="n">
        <f aca="false">+IF(ISNUMBER($S216),$S216,MIN($V216,$T216,$U216,$W216))</f>
        <v>75.8</v>
      </c>
      <c r="Y216" s="48" t="n">
        <v>0.00154</v>
      </c>
      <c r="Z216" s="71" t="n">
        <v>100000000</v>
      </c>
      <c r="AA216" s="43" t="n">
        <v>4</v>
      </c>
      <c r="AB216" s="48" t="n">
        <f aca="false">Z216/AA216</f>
        <v>25000000</v>
      </c>
      <c r="AC216" s="114"/>
      <c r="AD216" s="107" t="n">
        <f aca="false">Y216/AB216*1000000000000</f>
        <v>61.6</v>
      </c>
      <c r="AE216" s="49" t="str">
        <f aca="false">IF(ISNUMBER($Q216),$AD216*1000/2^(($Q216-1.76)/6.02), "")</f>
        <v/>
      </c>
      <c r="AF216" s="49" t="n">
        <f aca="false">$AD216*1000/2^(($X216-1.76)/6.02)</f>
        <v>12.22395648968</v>
      </c>
      <c r="AG216" s="49" t="str">
        <f aca="false">IF(ISNUMBER($Q216), $Q216+10*LOG10($AB216/2/$Y216), "")</f>
        <v/>
      </c>
      <c r="AH216" s="49" t="n">
        <f aca="false">$X216+10*LOG10($AB216/2/$Y216)</f>
        <v>174.893892921716</v>
      </c>
      <c r="AI216" s="48" t="n">
        <f aca="false">AF216/AB216</f>
        <v>4.889582595872E-007</v>
      </c>
      <c r="AJ216" s="41" t="n">
        <f aca="false">AH216+10*LOG10(AB216)</f>
        <v>248.873293008436</v>
      </c>
    </row>
    <row r="217" customFormat="false" ht="12.75" hidden="false" customHeight="false" outlineLevel="0" collapsed="false">
      <c r="A217" s="43" t="n">
        <v>2019</v>
      </c>
      <c r="B217" s="45" t="n">
        <v>7.2</v>
      </c>
      <c r="C217" s="43" t="s">
        <v>139</v>
      </c>
      <c r="D217" s="43" t="s">
        <v>112</v>
      </c>
      <c r="E217" s="43" t="n">
        <v>0.055</v>
      </c>
      <c r="F217" s="45" t="s">
        <v>2785</v>
      </c>
      <c r="G217" s="45" t="s">
        <v>2786</v>
      </c>
      <c r="H217" s="45" t="s">
        <v>2787</v>
      </c>
      <c r="I217" s="45" t="s">
        <v>2788</v>
      </c>
      <c r="J217" s="113" t="str">
        <f aca="false">IF(I217&lt;&gt;"?", HYPERLINK(CONCATENATE("https://doi.org/",I217)), "")</f>
        <v>https://doi.org/10.23919/VLSIC.2019.8777944</v>
      </c>
      <c r="K217" s="45" t="s">
        <v>117</v>
      </c>
      <c r="L217" s="69" t="n">
        <v>2.5</v>
      </c>
      <c r="M217" s="69" t="n">
        <v>1.2</v>
      </c>
      <c r="N217" s="69"/>
      <c r="O217" s="43"/>
      <c r="P217" s="43" t="n">
        <v>0.068</v>
      </c>
      <c r="Q217" s="41"/>
      <c r="R217" s="48" t="n">
        <v>250</v>
      </c>
      <c r="S217" s="41" t="n">
        <v>103</v>
      </c>
      <c r="U217" s="43" t="n">
        <v>109.4</v>
      </c>
      <c r="W217" s="43" t="n">
        <v>106.3</v>
      </c>
      <c r="X217" s="49" t="n">
        <f aca="false">+IF(ISNUMBER($S217),$S217,MIN($V217,$T217,$U217,$W217))</f>
        <v>103</v>
      </c>
      <c r="Y217" s="48" t="n">
        <v>2.8E-005</v>
      </c>
      <c r="Z217" s="71" t="n">
        <v>512000</v>
      </c>
      <c r="AA217" s="43" t="n">
        <v>1024</v>
      </c>
      <c r="AB217" s="48" t="n">
        <f aca="false">Z217/AA217</f>
        <v>500</v>
      </c>
      <c r="AC217" s="114"/>
      <c r="AD217" s="107" t="n">
        <f aca="false">Y217/AB217*1000000000000</f>
        <v>56000</v>
      </c>
      <c r="AE217" s="49" t="str">
        <f aca="false">IF(ISNUMBER($Q217),$AD217*1000/2^(($Q217-1.76)/6.02), "")</f>
        <v/>
      </c>
      <c r="AF217" s="49" t="n">
        <f aca="false">$AD217*1000/2^(($X217-1.76)/6.02)</f>
        <v>484.93505735692</v>
      </c>
      <c r="AG217" s="49" t="str">
        <f aca="false">IF(ISNUMBER($Q217), $Q217+10*LOG10($AB217/2/$Y217), "")</f>
        <v/>
      </c>
      <c r="AH217" s="49" t="n">
        <f aca="false">$X217+10*LOG10($AB217/2/$Y217)</f>
        <v>172.507819773298</v>
      </c>
      <c r="AI217" s="48" t="n">
        <f aca="false">AF217/AB217</f>
        <v>0.969870114713839</v>
      </c>
      <c r="AJ217" s="41" t="n">
        <f aca="false">AH217+10*LOG10(AB217)</f>
        <v>199.497519816658</v>
      </c>
    </row>
    <row r="218" customFormat="false" ht="12.75" hidden="false" customHeight="false" outlineLevel="0" collapsed="false">
      <c r="A218" s="43" t="n">
        <v>2019</v>
      </c>
      <c r="B218" s="45" t="n">
        <v>7.3</v>
      </c>
      <c r="C218" s="43" t="s">
        <v>111</v>
      </c>
      <c r="D218" s="43" t="s">
        <v>1506</v>
      </c>
      <c r="E218" s="43" t="n">
        <v>0.04</v>
      </c>
      <c r="F218" s="45" t="s">
        <v>2789</v>
      </c>
      <c r="G218" s="45" t="s">
        <v>2790</v>
      </c>
      <c r="H218" s="45" t="s">
        <v>2791</v>
      </c>
      <c r="I218" s="45" t="s">
        <v>2792</v>
      </c>
      <c r="J218" s="113" t="str">
        <f aca="false">IF(I218&lt;&gt;"?", HYPERLINK(CONCATENATE("https://doi.org/",I218)), "")</f>
        <v>https://doi.org/10.23919/VLSIC.2019.8778005</v>
      </c>
      <c r="K218" s="45" t="s">
        <v>117</v>
      </c>
      <c r="L218" s="69" t="n">
        <v>0.9</v>
      </c>
      <c r="M218" s="69"/>
      <c r="N218" s="69"/>
      <c r="O218" s="43"/>
      <c r="P218" s="43" t="n">
        <v>0.026</v>
      </c>
      <c r="Q218" s="41"/>
      <c r="R218" s="48" t="n">
        <v>100000000</v>
      </c>
      <c r="S218" s="41" t="n">
        <v>62.1</v>
      </c>
      <c r="W218" s="43" t="n">
        <v>67.1</v>
      </c>
      <c r="X218" s="49" t="n">
        <f aca="false">+IF(ISNUMBER($S218),$S218,MIN($V218,$T218,$U218,$W218))</f>
        <v>62.1</v>
      </c>
      <c r="Y218" s="48" t="n">
        <v>0.0039</v>
      </c>
      <c r="Z218" s="71" t="n">
        <v>200000000</v>
      </c>
      <c r="AA218" s="43" t="n">
        <v>1</v>
      </c>
      <c r="AB218" s="48" t="n">
        <f aca="false">Z218/AA218</f>
        <v>200000000</v>
      </c>
      <c r="AC218" s="114"/>
      <c r="AD218" s="107" t="n">
        <f aca="false">Y218/AB218*1000000000000</f>
        <v>19.5</v>
      </c>
      <c r="AE218" s="49" t="str">
        <f aca="false">IF(ISNUMBER($Q218),$AD218*1000/2^(($Q218-1.76)/6.02), "")</f>
        <v/>
      </c>
      <c r="AF218" s="49" t="n">
        <f aca="false">$AD218*1000/2^(($X218-1.76)/6.02)</f>
        <v>18.7384626384972</v>
      </c>
      <c r="AG218" s="49" t="str">
        <f aca="false">IF(ISNUMBER($Q218), $Q218+10*LOG10($AB218/2/$Y218), "")</f>
        <v/>
      </c>
      <c r="AH218" s="49" t="n">
        <f aca="false">$X218+10*LOG10($AB218/2/$Y218)</f>
        <v>166.189353929735</v>
      </c>
      <c r="AI218" s="48" t="n">
        <f aca="false">AF218/AB218</f>
        <v>9.36923131924859E-008</v>
      </c>
      <c r="AJ218" s="41" t="n">
        <f aca="false">AH218+10*LOG10(AB218)</f>
        <v>249.199653886375</v>
      </c>
    </row>
    <row r="219" customFormat="false" ht="12.75" hidden="false" customHeight="false" outlineLevel="0" collapsed="false">
      <c r="A219" s="43" t="n">
        <v>2019</v>
      </c>
      <c r="B219" s="45" t="n">
        <v>7.4</v>
      </c>
      <c r="C219" s="43" t="s">
        <v>111</v>
      </c>
      <c r="D219" s="43" t="s">
        <v>112</v>
      </c>
      <c r="E219" s="43" t="n">
        <v>0.065</v>
      </c>
      <c r="F219" s="45" t="s">
        <v>2793</v>
      </c>
      <c r="G219" s="45" t="s">
        <v>2794</v>
      </c>
      <c r="H219" s="45" t="s">
        <v>2795</v>
      </c>
      <c r="I219" s="45" t="s">
        <v>2796</v>
      </c>
      <c r="J219" s="113" t="str">
        <f aca="false">IF(I219&lt;&gt;"?", HYPERLINK(CONCATENATE("https://doi.org/",I219)), "")</f>
        <v>https://doi.org/10.23919/VLSIC.2019.8778093</v>
      </c>
      <c r="K219" s="45" t="s">
        <v>117</v>
      </c>
      <c r="L219" s="69" t="n">
        <v>0.7</v>
      </c>
      <c r="M219" s="69"/>
      <c r="N219" s="69"/>
      <c r="O219" s="43"/>
      <c r="P219" s="43" t="n">
        <v>0.04</v>
      </c>
      <c r="Q219" s="41"/>
      <c r="R219" s="48" t="n">
        <v>100000</v>
      </c>
      <c r="S219" s="41" t="n">
        <f aca="false">9.07*6.02+1.76</f>
        <v>56.3614</v>
      </c>
      <c r="W219" s="41" t="n">
        <v>66</v>
      </c>
      <c r="X219" s="49" t="n">
        <f aca="false">+IF(ISNUMBER($S219),$S219,MIN($V219,$T219,$U219,$W219))</f>
        <v>56.3614</v>
      </c>
      <c r="Y219" s="48" t="n">
        <f aca="false">0.00000000000019*200000</f>
        <v>3.8E-008</v>
      </c>
      <c r="Z219" s="71" t="n">
        <v>200000</v>
      </c>
      <c r="AA219" s="43" t="n">
        <v>1</v>
      </c>
      <c r="AB219" s="48" t="n">
        <f aca="false">Z219/AA219</f>
        <v>200000</v>
      </c>
      <c r="AC219" s="114"/>
      <c r="AD219" s="107" t="n">
        <f aca="false">Y219/AB219*1000000000000</f>
        <v>0.19</v>
      </c>
      <c r="AE219" s="49" t="str">
        <f aca="false">IF(ISNUMBER($Q219),$AD219*1000/2^(($Q219-1.76)/6.02), "")</f>
        <v/>
      </c>
      <c r="AF219" s="121" t="n">
        <f aca="false">$AD219*1000/2^(($X219-1.76)/6.02)</f>
        <v>0.353518007086617</v>
      </c>
      <c r="AG219" s="49" t="str">
        <f aca="false">IF(ISNUMBER($Q219), $Q219+10*LOG10($AB219/2/$Y219), "")</f>
        <v/>
      </c>
      <c r="AH219" s="49" t="n">
        <f aca="false">$X219+10*LOG10($AB219/2/$Y219)</f>
        <v>180.563564033832</v>
      </c>
      <c r="AI219" s="48" t="n">
        <f aca="false">AF219/AB219</f>
        <v>1.76759003543309E-006</v>
      </c>
      <c r="AJ219" s="41" t="n">
        <f aca="false">AH219+10*LOG10(AB219)</f>
        <v>233.573863990472</v>
      </c>
    </row>
    <row r="220" customFormat="false" ht="12.75" hidden="false" customHeight="false" outlineLevel="0" collapsed="false">
      <c r="A220" s="43" t="n">
        <v>2019</v>
      </c>
      <c r="B220" s="45" t="n">
        <v>7.5</v>
      </c>
      <c r="C220" s="43" t="s">
        <v>111</v>
      </c>
      <c r="D220" s="43" t="s">
        <v>548</v>
      </c>
      <c r="E220" s="43" t="n">
        <v>0.028</v>
      </c>
      <c r="F220" s="45" t="s">
        <v>2797</v>
      </c>
      <c r="G220" s="45" t="s">
        <v>2798</v>
      </c>
      <c r="H220" s="45" t="s">
        <v>2799</v>
      </c>
      <c r="I220" s="45" t="s">
        <v>2800</v>
      </c>
      <c r="J220" s="113" t="str">
        <f aca="false">IF(I220&lt;&gt;"?", HYPERLINK(CONCATENATE("https://doi.org/",I220)), "")</f>
        <v>https://doi.org/10.23919/VLSIC.2019.8778077</v>
      </c>
      <c r="K220" s="45" t="s">
        <v>117</v>
      </c>
      <c r="L220" s="69" t="n">
        <v>1</v>
      </c>
      <c r="M220" s="69" t="n">
        <v>0.85</v>
      </c>
      <c r="N220" s="69"/>
      <c r="O220" s="43"/>
      <c r="P220" s="43" t="n">
        <v>0.103</v>
      </c>
      <c r="Q220" s="41" t="n">
        <v>50</v>
      </c>
      <c r="R220" s="48" t="n">
        <v>2500000000</v>
      </c>
      <c r="S220" s="41" t="n">
        <v>48.5</v>
      </c>
      <c r="W220" s="43" t="n">
        <v>59.6</v>
      </c>
      <c r="X220" s="49" t="n">
        <f aca="false">+IF(ISNUMBER($S220),$S220,MIN($V220,$T220,$U220,$W220))</f>
        <v>48.5</v>
      </c>
      <c r="Y220" s="48" t="n">
        <v>0.029</v>
      </c>
      <c r="Z220" s="71" t="n">
        <v>5000000000</v>
      </c>
      <c r="AA220" s="43" t="n">
        <v>1</v>
      </c>
      <c r="AB220" s="48" t="n">
        <f aca="false">Z220/AA220</f>
        <v>5000000000</v>
      </c>
      <c r="AC220" s="114"/>
      <c r="AD220" s="107" t="n">
        <f aca="false">Y220/AB220*1000000000000</f>
        <v>5.8</v>
      </c>
      <c r="AE220" s="49" t="n">
        <f aca="false">IF(ISNUMBER($Q220),$AD220*1000/2^(($Q220-1.76)/6.02), "")</f>
        <v>22.4485156472893</v>
      </c>
      <c r="AF220" s="49" t="n">
        <f aca="false">$AD220*1000/2^(($X220-1.76)/6.02)</f>
        <v>26.6805700054995</v>
      </c>
      <c r="AG220" s="49" t="n">
        <f aca="false">IF(ISNUMBER($Q220), $Q220+10*LOG10($AB220/2/$Y220), "")</f>
        <v>159.355420107731</v>
      </c>
      <c r="AH220" s="49" t="n">
        <f aca="false">$X220+10*LOG10($AB220/2/$Y220)</f>
        <v>157.855420107731</v>
      </c>
      <c r="AI220" s="48" t="n">
        <f aca="false">AF220/AB220</f>
        <v>5.3361140010999E-009</v>
      </c>
      <c r="AJ220" s="41" t="n">
        <f aca="false">AH220+10*LOG10(AB220)</f>
        <v>254.845120151091</v>
      </c>
    </row>
    <row r="221" customFormat="false" ht="12.75" hidden="false" customHeight="false" outlineLevel="0" collapsed="false">
      <c r="A221" s="43" t="n">
        <v>2019</v>
      </c>
      <c r="B221" s="45" t="n">
        <v>18.4</v>
      </c>
      <c r="C221" s="43" t="s">
        <v>111</v>
      </c>
      <c r="D221" s="43" t="s">
        <v>2801</v>
      </c>
      <c r="E221" s="43" t="n">
        <v>0.18</v>
      </c>
      <c r="F221" s="45" t="s">
        <v>2802</v>
      </c>
      <c r="G221" s="45" t="s">
        <v>2803</v>
      </c>
      <c r="H221" s="45" t="s">
        <v>2804</v>
      </c>
      <c r="I221" s="45" t="s">
        <v>2805</v>
      </c>
      <c r="J221" s="113" t="str">
        <f aca="false">IF(I221&lt;&gt;"?", HYPERLINK(CONCATENATE("https://doi.org/",I221)), "")</f>
        <v>https://doi.org/10.23919/VLSIC.2019.8778200</v>
      </c>
      <c r="K221" s="45" t="s">
        <v>2806</v>
      </c>
      <c r="L221" s="69"/>
      <c r="M221" s="69"/>
      <c r="N221" s="69"/>
      <c r="O221" s="43"/>
      <c r="P221" s="43" t="n">
        <v>0.023</v>
      </c>
      <c r="Q221" s="41"/>
      <c r="R221" s="48" t="n">
        <v>5000000</v>
      </c>
      <c r="S221" s="41" t="n">
        <v>49.8</v>
      </c>
      <c r="X221" s="49" t="n">
        <f aca="false">+IF(ISNUMBER($S221),$S221,MIN($V221,$T221,$U221,$W221))</f>
        <v>49.8</v>
      </c>
      <c r="Y221" s="48" t="n">
        <v>0.00114</v>
      </c>
      <c r="Z221" s="71" t="n">
        <v>30000000</v>
      </c>
      <c r="AA221" s="43" t="n">
        <v>1</v>
      </c>
      <c r="AB221" s="48" t="n">
        <f aca="false">Z221/AA221</f>
        <v>30000000</v>
      </c>
      <c r="AC221" s="114"/>
      <c r="AD221" s="107" t="n">
        <f aca="false">Y221/AB221*1000000000000</f>
        <v>38</v>
      </c>
      <c r="AE221" s="49" t="str">
        <f aca="false">IF(ISNUMBER($Q221),$AD221*1000/2^(($Q221-1.76)/6.02), "")</f>
        <v/>
      </c>
      <c r="AF221" s="49" t="n">
        <f aca="false">$AD221*1000/2^(($X221-1.76)/6.02)</f>
        <v>150.50267852654</v>
      </c>
      <c r="AG221" s="49" t="str">
        <f aca="false">IF(ISNUMBER($Q221), $Q221+10*LOG10($AB221/2/$Y221), "")</f>
        <v/>
      </c>
      <c r="AH221" s="49" t="n">
        <f aca="false">$X221+10*LOG10($AB221/2/$Y221)</f>
        <v>150.991864077192</v>
      </c>
      <c r="AI221" s="48" t="n">
        <f aca="false">AF221/AB221</f>
        <v>5.01675595088465E-006</v>
      </c>
      <c r="AJ221" s="41" t="n">
        <f aca="false">AH221+10*LOG10(AB221)</f>
        <v>225.763076624389</v>
      </c>
    </row>
    <row r="222" customFormat="false" ht="12.75" hidden="false" customHeight="false" outlineLevel="0" collapsed="false">
      <c r="A222" s="43" t="n">
        <v>2019</v>
      </c>
      <c r="B222" s="45" t="n">
        <v>19.1</v>
      </c>
      <c r="C222" s="43" t="s">
        <v>139</v>
      </c>
      <c r="D222" s="43" t="s">
        <v>173</v>
      </c>
      <c r="E222" s="43" t="n">
        <v>0.16</v>
      </c>
      <c r="F222" s="45" t="s">
        <v>2807</v>
      </c>
      <c r="G222" s="45" t="s">
        <v>2808</v>
      </c>
      <c r="H222" s="45" t="s">
        <v>2809</v>
      </c>
      <c r="I222" s="45" t="s">
        <v>2810</v>
      </c>
      <c r="J222" s="113" t="str">
        <f aca="false">IF(I222&lt;&gt;"?", HYPERLINK(CONCATENATE("https://doi.org/",I222)), "")</f>
        <v>https://doi.org/10.23919/VLSIC.2019.8778021</v>
      </c>
      <c r="K222" s="45" t="s">
        <v>117</v>
      </c>
      <c r="L222" s="69" t="n">
        <v>1.8</v>
      </c>
      <c r="M222" s="69"/>
      <c r="N222" s="69"/>
      <c r="O222" s="43"/>
      <c r="P222" s="43" t="n">
        <v>0.27</v>
      </c>
      <c r="Q222" s="41"/>
      <c r="R222" s="48" t="n">
        <v>20000</v>
      </c>
      <c r="S222" s="41" t="n">
        <v>106.4</v>
      </c>
      <c r="T222" s="43" t="n">
        <v>108.1</v>
      </c>
      <c r="U222" s="43" t="n">
        <v>108.5</v>
      </c>
      <c r="X222" s="49" t="n">
        <f aca="false">+IF(ISNUMBER($S222),$S222,MIN($V222,$T222,$U222,$W222))</f>
        <v>106.4</v>
      </c>
      <c r="Y222" s="48" t="n">
        <v>0.000618</v>
      </c>
      <c r="Z222" s="71" t="n">
        <v>5120000</v>
      </c>
      <c r="AA222" s="43" t="n">
        <v>128</v>
      </c>
      <c r="AB222" s="48" t="n">
        <f aca="false">Z222/AA222</f>
        <v>40000</v>
      </c>
      <c r="AC222" s="114"/>
      <c r="AD222" s="107" t="n">
        <f aca="false">Y222/AB222*1000000000000</f>
        <v>15450</v>
      </c>
      <c r="AE222" s="49" t="str">
        <f aca="false">IF(ISNUMBER($Q222),$AD222*1000/2^(($Q222-1.76)/6.02), "")</f>
        <v/>
      </c>
      <c r="AF222" s="49" t="n">
        <f aca="false">$AD222*1000/2^(($X222-1.76)/6.02)</f>
        <v>90.4496930414226</v>
      </c>
      <c r="AG222" s="49" t="str">
        <f aca="false">IF(ISNUMBER($Q222), $Q222+10*LOG10($AB222/2/$Y222), "")</f>
        <v/>
      </c>
      <c r="AH222" s="49" t="n">
        <f aca="false">$X222+10*LOG10($AB222/2/$Y222)</f>
        <v>181.500415205752</v>
      </c>
      <c r="AI222" s="48" t="n">
        <f aca="false">AF222/AB222</f>
        <v>0.00226124232603556</v>
      </c>
      <c r="AJ222" s="41" t="n">
        <f aca="false">AH222+10*LOG10(AB222)</f>
        <v>227.521015119031</v>
      </c>
    </row>
    <row r="223" customFormat="false" ht="12.75" hidden="false" customHeight="false" outlineLevel="0" collapsed="false">
      <c r="A223" s="43" t="n">
        <v>2019</v>
      </c>
      <c r="B223" s="45" t="n">
        <v>19.2</v>
      </c>
      <c r="C223" s="43" t="s">
        <v>139</v>
      </c>
      <c r="D223" s="43" t="s">
        <v>173</v>
      </c>
      <c r="E223" s="43" t="n">
        <v>0.18</v>
      </c>
      <c r="F223" s="45" t="s">
        <v>2811</v>
      </c>
      <c r="G223" s="45" t="s">
        <v>2812</v>
      </c>
      <c r="H223" s="45" t="s">
        <v>2813</v>
      </c>
      <c r="I223" s="45" t="s">
        <v>2814</v>
      </c>
      <c r="J223" s="113" t="str">
        <f aca="false">IF(I223&lt;&gt;"?", HYPERLINK(CONCATENATE("https://doi.org/",I223)), "")</f>
        <v>https://doi.org/10.23919/VLSIC.2019.8778026</v>
      </c>
      <c r="K223" s="45" t="s">
        <v>117</v>
      </c>
      <c r="L223" s="69"/>
      <c r="M223" s="69"/>
      <c r="N223" s="69"/>
      <c r="O223" s="43"/>
      <c r="P223" s="43" t="n">
        <v>2.85</v>
      </c>
      <c r="Q223" s="41"/>
      <c r="R223" s="48" t="n">
        <v>250000</v>
      </c>
      <c r="S223" s="41" t="n">
        <v>103.5</v>
      </c>
      <c r="T223" s="43" t="n">
        <v>108.2</v>
      </c>
      <c r="U223" s="43" t="n">
        <v>107.5</v>
      </c>
      <c r="X223" s="49" t="n">
        <f aca="false">+IF(ISNUMBER($S223),$S223,MIN($V223,$T223,$U223,$W223))</f>
        <v>103.5</v>
      </c>
      <c r="Y223" s="48" t="n">
        <v>0.024</v>
      </c>
      <c r="Z223" s="71" t="n">
        <v>32000000</v>
      </c>
      <c r="AA223" s="43" t="n">
        <v>64</v>
      </c>
      <c r="AB223" s="48" t="n">
        <f aca="false">Z223/AA223</f>
        <v>500000</v>
      </c>
      <c r="AC223" s="114"/>
      <c r="AD223" s="107" t="n">
        <f aca="false">Y223/AB223*1000000000000</f>
        <v>48000</v>
      </c>
      <c r="AE223" s="49" t="str">
        <f aca="false">IF(ISNUMBER($Q223),$AD223*1000/2^(($Q223-1.76)/6.02), "")</f>
        <v/>
      </c>
      <c r="AF223" s="49" t="n">
        <f aca="false">$AD223*1000/2^(($X223-1.76)/6.02)</f>
        <v>392.404790551465</v>
      </c>
      <c r="AG223" s="49" t="str">
        <f aca="false">IF(ISNUMBER($Q223), $Q223+10*LOG10($AB223/2/$Y223), "")</f>
        <v/>
      </c>
      <c r="AH223" s="49" t="n">
        <f aca="false">$X223+10*LOG10($AB223/2/$Y223)</f>
        <v>173.677287669604</v>
      </c>
      <c r="AI223" s="48" t="n">
        <f aca="false">AF223/AB223</f>
        <v>0.000784809581102929</v>
      </c>
      <c r="AJ223" s="41" t="n">
        <f aca="false">AH223+10*LOG10(AB223)</f>
        <v>230.666987712964</v>
      </c>
    </row>
    <row r="224" customFormat="false" ht="12.75" hidden="false" customHeight="false" outlineLevel="0" collapsed="false">
      <c r="A224" s="43" t="n">
        <v>2019</v>
      </c>
      <c r="B224" s="45" t="n">
        <v>19.3</v>
      </c>
      <c r="C224" s="43" t="s">
        <v>139</v>
      </c>
      <c r="D224" s="43" t="s">
        <v>173</v>
      </c>
      <c r="E224" s="43" t="n">
        <v>0.012</v>
      </c>
      <c r="F224" s="45" t="s">
        <v>2815</v>
      </c>
      <c r="G224" s="120" t="s">
        <v>2816</v>
      </c>
      <c r="H224" s="45" t="s">
        <v>2817</v>
      </c>
      <c r="I224" s="45" t="s">
        <v>2818</v>
      </c>
      <c r="J224" s="113" t="str">
        <f aca="false">IF(I224&lt;&gt;"?", HYPERLINK(CONCATENATE("https://doi.org/",I224)), "")</f>
        <v>https://doi.org/10.23919/VLSIC.2019.8777949</v>
      </c>
      <c r="K224" s="45" t="s">
        <v>117</v>
      </c>
      <c r="L224" s="69" t="n">
        <v>1.5</v>
      </c>
      <c r="M224" s="69" t="n">
        <v>0.8</v>
      </c>
      <c r="N224" s="69"/>
      <c r="O224" s="43"/>
      <c r="P224" s="43" t="n">
        <f aca="false">0.45*0.13</f>
        <v>0.0585</v>
      </c>
      <c r="Q224" s="41"/>
      <c r="R224" s="48" t="n">
        <v>30000000</v>
      </c>
      <c r="S224" s="41" t="n">
        <v>71.4</v>
      </c>
      <c r="U224" s="43" t="n">
        <v>74.5</v>
      </c>
      <c r="X224" s="49" t="n">
        <f aca="false">+IF(ISNUMBER($S224),$S224,MIN($V224,$T224,$U224,$W224))</f>
        <v>71.4</v>
      </c>
      <c r="Y224" s="48" t="n">
        <v>0.0032</v>
      </c>
      <c r="Z224" s="71" t="n">
        <v>832000000</v>
      </c>
      <c r="AA224" s="69" t="n">
        <f aca="false">832/60</f>
        <v>13.8666666666667</v>
      </c>
      <c r="AB224" s="48" t="n">
        <f aca="false">Z224/AA224</f>
        <v>60000000</v>
      </c>
      <c r="AC224" s="114"/>
      <c r="AD224" s="107" t="n">
        <f aca="false">Y224/AB224*1000000000000</f>
        <v>53.3333333333333</v>
      </c>
      <c r="AE224" s="49" t="str">
        <f aca="false">IF(ISNUMBER($Q224),$AD224*1000/2^(($Q224-1.76)/6.02), "")</f>
        <v/>
      </c>
      <c r="AF224" s="49" t="n">
        <f aca="false">$AD224*1000/2^(($X224-1.76)/6.02)</f>
        <v>17.565144824846</v>
      </c>
      <c r="AG224" s="49" t="str">
        <f aca="false">IF(ISNUMBER($Q224), $Q224+10*LOG10($AB224/2/$Y224), "")</f>
        <v/>
      </c>
      <c r="AH224" s="49" t="n">
        <f aca="false">$X224+10*LOG10($AB224/2/$Y224)</f>
        <v>171.119712763998</v>
      </c>
      <c r="AI224" s="48" t="n">
        <f aca="false">AF224/AB224</f>
        <v>2.92752413747433E-007</v>
      </c>
      <c r="AJ224" s="41" t="n">
        <f aca="false">AH224+10*LOG10(AB224)</f>
        <v>248.901225267834</v>
      </c>
    </row>
    <row r="225" customFormat="false" ht="12.75" hidden="false" customHeight="false" outlineLevel="0" collapsed="false">
      <c r="A225" s="43" t="n">
        <v>2019</v>
      </c>
      <c r="B225" s="45" t="n">
        <v>19.4</v>
      </c>
      <c r="C225" s="43" t="s">
        <v>139</v>
      </c>
      <c r="D225" s="43" t="s">
        <v>173</v>
      </c>
      <c r="E225" s="43" t="n">
        <v>0.028</v>
      </c>
      <c r="F225" s="45" t="s">
        <v>2819</v>
      </c>
      <c r="G225" s="45" t="s">
        <v>2820</v>
      </c>
      <c r="H225" s="45" t="s">
        <v>2821</v>
      </c>
      <c r="I225" s="45" t="s">
        <v>2822</v>
      </c>
      <c r="J225" s="113" t="str">
        <f aca="false">IF(I225&lt;&gt;"?", HYPERLINK(CONCATENATE("https://doi.org/",I225)), "")</f>
        <v>https://doi.org/10.23919/VLSIC.2019.8778176</v>
      </c>
      <c r="K225" s="45" t="s">
        <v>117</v>
      </c>
      <c r="L225" s="69" t="n">
        <v>0.9</v>
      </c>
      <c r="M225" s="69"/>
      <c r="N225" s="69"/>
      <c r="O225" s="43"/>
      <c r="P225" s="43" t="n">
        <v>0.025</v>
      </c>
      <c r="Q225" s="41"/>
      <c r="R225" s="48" t="n">
        <v>40000000</v>
      </c>
      <c r="S225" s="41" t="n">
        <v>77.5</v>
      </c>
      <c r="U225" s="43" t="n">
        <v>78.2</v>
      </c>
      <c r="X225" s="49" t="n">
        <f aca="false">+IF(ISNUMBER($S225),$S225,MIN($V225,$T225,$U225,$W225))</f>
        <v>77.5</v>
      </c>
      <c r="Y225" s="48" t="n">
        <v>0.0032</v>
      </c>
      <c r="Z225" s="71" t="n">
        <v>2400000000</v>
      </c>
      <c r="AA225" s="43" t="n">
        <v>30</v>
      </c>
      <c r="AB225" s="48" t="n">
        <f aca="false">Z225/AA225</f>
        <v>80000000</v>
      </c>
      <c r="AC225" s="114"/>
      <c r="AD225" s="107" t="n">
        <f aca="false">Y225/AB225*1000000000000</f>
        <v>40</v>
      </c>
      <c r="AE225" s="49" t="str">
        <f aca="false">IF(ISNUMBER($Q225),$AD225*1000/2^(($Q225-1.76)/6.02), "")</f>
        <v/>
      </c>
      <c r="AF225" s="49" t="n">
        <f aca="false">$AD225*1000/2^(($X225-1.76)/6.02)</f>
        <v>6.52653398809586</v>
      </c>
      <c r="AG225" s="49" t="str">
        <f aca="false">IF(ISNUMBER($Q225), $Q225+10*LOG10($AB225/2/$Y225), "")</f>
        <v/>
      </c>
      <c r="AH225" s="49" t="n">
        <f aca="false">$X225+10*LOG10($AB225/2/$Y225)</f>
        <v>178.469100130081</v>
      </c>
      <c r="AI225" s="48" t="n">
        <f aca="false">AF225/AB225</f>
        <v>8.15816748511982E-008</v>
      </c>
      <c r="AJ225" s="41" t="n">
        <f aca="false">AH225+10*LOG10(AB225)</f>
        <v>257.5</v>
      </c>
    </row>
    <row r="226" customFormat="false" ht="12.75" hidden="false" customHeight="false" outlineLevel="0" collapsed="false">
      <c r="A226" s="43" t="n">
        <v>2019</v>
      </c>
      <c r="B226" s="45" t="n">
        <v>22.3</v>
      </c>
      <c r="C226" s="43" t="s">
        <v>111</v>
      </c>
      <c r="D226" s="43" t="s">
        <v>548</v>
      </c>
      <c r="E226" s="43" t="n">
        <v>0.007</v>
      </c>
      <c r="F226" s="45" t="s">
        <v>2823</v>
      </c>
      <c r="G226" s="120" t="s">
        <v>2824</v>
      </c>
      <c r="H226" s="45" t="s">
        <v>2825</v>
      </c>
      <c r="I226" s="45" t="s">
        <v>2826</v>
      </c>
      <c r="J226" s="113" t="str">
        <f aca="false">IF(I226&lt;&gt;"?", HYPERLINK(CONCATENATE("https://doi.org/",I226)), "")</f>
        <v>https://doi.org/10.23919/VLSIC.2019.8778051</v>
      </c>
      <c r="K226" s="45" t="s">
        <v>117</v>
      </c>
      <c r="L226" s="69"/>
      <c r="M226" s="69"/>
      <c r="N226" s="69"/>
      <c r="O226" s="43" t="n">
        <v>0.037</v>
      </c>
      <c r="P226" s="43" t="n">
        <v>0.09</v>
      </c>
      <c r="Q226" s="41" t="n">
        <v>34.9</v>
      </c>
      <c r="R226" s="48" t="n">
        <v>13477000000</v>
      </c>
      <c r="S226" s="43" t="n">
        <v>29.4</v>
      </c>
      <c r="W226" s="43" t="n">
        <v>39.1</v>
      </c>
      <c r="X226" s="49" t="n">
        <f aca="false">+IF(ISNUMBER($S226),$S226,MIN($V226,$T226,$U226,$W226))</f>
        <v>29.4</v>
      </c>
      <c r="Y226" s="48" t="n">
        <v>0.15</v>
      </c>
      <c r="Z226" s="71" t="n">
        <v>28000000000</v>
      </c>
      <c r="AA226" s="43" t="n">
        <v>1</v>
      </c>
      <c r="AB226" s="48" t="n">
        <f aca="false">Z226/AA226</f>
        <v>28000000000</v>
      </c>
      <c r="AC226" s="114"/>
      <c r="AD226" s="107" t="n">
        <f aca="false">Y226/AB226*1000000000000</f>
        <v>5.35714285714286</v>
      </c>
      <c r="AE226" s="49" t="n">
        <f aca="false">IF(ISNUMBER($Q226),$AD226*1000/2^(($Q226-1.76)/6.02), "")</f>
        <v>117.969055434473</v>
      </c>
      <c r="AF226" s="49" t="n">
        <f aca="false">$AD226*1000/2^(($X226-1.76)/6.02)</f>
        <v>222.226326251297</v>
      </c>
      <c r="AG226" s="49" t="n">
        <f aca="false">IF(ISNUMBER($Q226), $Q226+10*LOG10($AB226/2/$Y226), "")</f>
        <v>144.600367766226</v>
      </c>
      <c r="AH226" s="49" t="n">
        <f aca="false">$X226+10*LOG10($AB226/2/$Y226)</f>
        <v>139.100367766226</v>
      </c>
      <c r="AI226" s="48" t="n">
        <f aca="false">AF226/AB226</f>
        <v>7.93665450897488E-009</v>
      </c>
      <c r="AJ226" s="41" t="n">
        <f aca="false">AH226+10*LOG10(AB226)</f>
        <v>243.571948079648</v>
      </c>
    </row>
    <row r="227" customFormat="false" ht="12.75" hidden="false" customHeight="false" outlineLevel="0" collapsed="false">
      <c r="A227" s="39" t="n">
        <v>2020</v>
      </c>
      <c r="B227" s="56" t="s">
        <v>2827</v>
      </c>
      <c r="C227" s="43" t="s">
        <v>111</v>
      </c>
      <c r="D227" s="43" t="s">
        <v>133</v>
      </c>
      <c r="E227" s="43" t="n">
        <v>0.016</v>
      </c>
      <c r="F227" s="45" t="s">
        <v>2828</v>
      </c>
      <c r="G227" s="45" t="s">
        <v>2829</v>
      </c>
      <c r="H227" s="45" t="s">
        <v>2830</v>
      </c>
      <c r="I227" s="45" t="s">
        <v>2831</v>
      </c>
      <c r="J227" s="113" t="str">
        <f aca="false">IF(I227&lt;&gt;"?", HYPERLINK(CONCATENATE("https://doi.org/",I227)), "")</f>
        <v>https://doi.org/10.1109/VLSICircuits18222.2020.9162788</v>
      </c>
      <c r="K227" s="45" t="s">
        <v>117</v>
      </c>
      <c r="L227" s="69" t="n">
        <v>0.9</v>
      </c>
      <c r="M227" s="69"/>
      <c r="N227" s="69"/>
      <c r="P227" s="43" t="n">
        <v>0.095</v>
      </c>
      <c r="Q227" s="41" t="n">
        <v>59.8</v>
      </c>
      <c r="R227" s="48" t="n">
        <v>500000000</v>
      </c>
      <c r="S227" s="43" t="n">
        <v>59.5</v>
      </c>
      <c r="V227" s="43" t="n">
        <v>69.9</v>
      </c>
      <c r="W227" s="43" t="n">
        <v>75.9</v>
      </c>
      <c r="X227" s="49" t="n">
        <f aca="false">+IF(ISNUMBER($S227),$S227,MIN($V227,$T227,$U227,$W227))</f>
        <v>59.5</v>
      </c>
      <c r="Y227" s="48" t="n">
        <v>0.0109</v>
      </c>
      <c r="Z227" s="71" t="n">
        <v>1000000000</v>
      </c>
      <c r="AA227" s="43" t="n">
        <v>1</v>
      </c>
      <c r="AB227" s="48" t="n">
        <f aca="false">Z227/AA227</f>
        <v>1000000000</v>
      </c>
      <c r="AC227" s="114"/>
      <c r="AD227" s="107" t="n">
        <f aca="false">Y227/AB227*1000000000000</f>
        <v>10.9</v>
      </c>
      <c r="AE227" s="49" t="n">
        <f aca="false">IF(ISNUMBER($Q227),$AD227*1000/2^(($Q227-1.76)/6.02), "")</f>
        <v>13.6501462298096</v>
      </c>
      <c r="AF227" s="49" t="n">
        <f aca="false">$AD227*1000/2^(($X227-1.76)/6.02)</f>
        <v>14.1298905774783</v>
      </c>
      <c r="AG227" s="49" t="n">
        <f aca="false">IF(ISNUMBER($Q227), $Q227+10*LOG10($AB227/2/$Y227), "")</f>
        <v>166.415435063954</v>
      </c>
      <c r="AH227" s="49" t="n">
        <f aca="false">$X227+10*LOG10($AB227/2/$Y227)</f>
        <v>166.115435063954</v>
      </c>
      <c r="AI227" s="48" t="n">
        <f aca="false">AF227/AB227</f>
        <v>1.41298905774783E-008</v>
      </c>
      <c r="AJ227" s="41" t="n">
        <f aca="false">AH227+10*LOG10(AB227)</f>
        <v>256.115435063954</v>
      </c>
    </row>
    <row r="228" customFormat="false" ht="12.75" hidden="false" customHeight="false" outlineLevel="0" collapsed="false">
      <c r="A228" s="43" t="n">
        <v>2020</v>
      </c>
      <c r="B228" s="56" t="s">
        <v>2832</v>
      </c>
      <c r="C228" s="43" t="s">
        <v>111</v>
      </c>
      <c r="D228" s="43" t="s">
        <v>112</v>
      </c>
      <c r="E228" s="43" t="n">
        <v>0.04</v>
      </c>
      <c r="F228" s="45" t="s">
        <v>2833</v>
      </c>
      <c r="G228" s="45" t="s">
        <v>2834</v>
      </c>
      <c r="H228" s="45" t="s">
        <v>2835</v>
      </c>
      <c r="I228" s="45" t="s">
        <v>2836</v>
      </c>
      <c r="J228" s="113" t="str">
        <f aca="false">IF(I228&lt;&gt;"?", HYPERLINK(CONCATENATE("https://doi.org/",I228)), "")</f>
        <v>https://doi.org/10.1109/VLSICircuits18222.2020.9162786</v>
      </c>
      <c r="K228" s="45" t="s">
        <v>117</v>
      </c>
      <c r="L228" s="69" t="n">
        <v>1.3</v>
      </c>
      <c r="M228" s="69" t="n">
        <v>1.1</v>
      </c>
      <c r="N228" s="69"/>
      <c r="P228" s="43" t="n">
        <v>0.027</v>
      </c>
      <c r="Q228" s="41" t="n">
        <v>57.9</v>
      </c>
      <c r="R228" s="48" t="n">
        <v>49000000</v>
      </c>
      <c r="S228" s="43" t="n">
        <v>56.3</v>
      </c>
      <c r="W228" s="43" t="n">
        <v>76.3</v>
      </c>
      <c r="X228" s="49" t="n">
        <f aca="false">+IF(ISNUMBER($S228),$S228,MIN($V228,$T228,$U228,$W228))</f>
        <v>56.3</v>
      </c>
      <c r="Y228" s="48" t="n">
        <v>0.0014</v>
      </c>
      <c r="Z228" s="71" t="n">
        <v>100000000</v>
      </c>
      <c r="AA228" s="43" t="n">
        <v>1</v>
      </c>
      <c r="AB228" s="48" t="n">
        <f aca="false">Z228/AA228</f>
        <v>100000000</v>
      </c>
      <c r="AC228" s="114"/>
      <c r="AD228" s="107" t="n">
        <f aca="false">Y228/AB228*1000000000000</f>
        <v>14</v>
      </c>
      <c r="AE228" s="49" t="n">
        <f aca="false">IF(ISNUMBER($Q228),$AD228*1000/2^(($Q228-1.76)/6.02), "")</f>
        <v>21.819676562882</v>
      </c>
      <c r="AF228" s="49" t="n">
        <f aca="false">$AD228*1000/2^(($X228-1.76)/6.02)</f>
        <v>26.233502665908</v>
      </c>
      <c r="AG228" s="49" t="n">
        <f aca="false">IF(ISNUMBER($Q228), $Q228+10*LOG10($AB228/2/$Y228), "")</f>
        <v>163.428419686578</v>
      </c>
      <c r="AH228" s="49" t="n">
        <f aca="false">$X228+10*LOG10($AB228/2/$Y228)</f>
        <v>161.828419686578</v>
      </c>
      <c r="AI228" s="48" t="n">
        <f aca="false">AF228/AB228</f>
        <v>2.6233502665908E-007</v>
      </c>
      <c r="AJ228" s="41" t="n">
        <f aca="false">AH228+10*LOG10(AB228)</f>
        <v>241.828419686578</v>
      </c>
    </row>
    <row r="229" customFormat="false" ht="12.75" hidden="false" customHeight="false" outlineLevel="0" collapsed="false">
      <c r="A229" s="43" t="n">
        <v>2020</v>
      </c>
      <c r="B229" s="56" t="s">
        <v>2837</v>
      </c>
      <c r="C229" s="43" t="s">
        <v>111</v>
      </c>
      <c r="D229" s="43" t="s">
        <v>2838</v>
      </c>
      <c r="E229" s="43" t="n">
        <v>0.028</v>
      </c>
      <c r="F229" s="45" t="s">
        <v>2839</v>
      </c>
      <c r="G229" s="45" t="s">
        <v>2840</v>
      </c>
      <c r="H229" s="45" t="s">
        <v>2841</v>
      </c>
      <c r="I229" s="45" t="s">
        <v>2842</v>
      </c>
      <c r="J229" s="113" t="str">
        <f aca="false">IF(I229&lt;&gt;"?", HYPERLINK(CONCATENATE("https://doi.org/",I229)), "")</f>
        <v>https://doi.org/10.1109/VLSICircuits18222.2020.9163064</v>
      </c>
      <c r="K229" s="45" t="s">
        <v>117</v>
      </c>
      <c r="L229" s="69" t="n">
        <v>1.1</v>
      </c>
      <c r="M229" s="69"/>
      <c r="N229" s="69"/>
      <c r="O229" s="43" t="n">
        <v>0.064</v>
      </c>
      <c r="P229" s="43" t="n">
        <v>0.002</v>
      </c>
      <c r="Q229" s="41"/>
      <c r="R229" s="48" t="n">
        <v>500000000</v>
      </c>
      <c r="S229" s="41" t="n">
        <f aca="false">1.76+6.02*7.26</f>
        <v>45.4652</v>
      </c>
      <c r="W229" s="41" t="n">
        <v>58</v>
      </c>
      <c r="X229" s="49" t="n">
        <f aca="false">+IF(ISNUMBER($S229),$S229,MIN($V229,$T229,$U229,$W229))</f>
        <v>45.4652</v>
      </c>
      <c r="Y229" s="48" t="n">
        <v>0.00255</v>
      </c>
      <c r="Z229" s="71" t="n">
        <v>1000000000</v>
      </c>
      <c r="AA229" s="43" t="n">
        <v>1</v>
      </c>
      <c r="AB229" s="48" t="n">
        <f aca="false">Z229/AA229</f>
        <v>1000000000</v>
      </c>
      <c r="AC229" s="114"/>
      <c r="AD229" s="107" t="n">
        <f aca="false">Y229/AB229*1000000000000</f>
        <v>2.55</v>
      </c>
      <c r="AE229" s="49" t="str">
        <f aca="false">IF(ISNUMBER($Q229),$AD229*1000/2^(($Q229-1.76)/6.02), "")</f>
        <v/>
      </c>
      <c r="AF229" s="49" t="n">
        <f aca="false">$AD229*1000/2^(($X229-1.76)/6.02)</f>
        <v>16.6365171448621</v>
      </c>
      <c r="AG229" s="49" t="str">
        <f aca="false">IF(ISNUMBER($Q229), $Q229+10*LOG10($AB229/2/$Y229), "")</f>
        <v/>
      </c>
      <c r="AH229" s="49" t="n">
        <f aca="false">$X229+10*LOG10($AB229/2/$Y229)</f>
        <v>158.389498239021</v>
      </c>
      <c r="AI229" s="48" t="n">
        <f aca="false">AF229/AB229</f>
        <v>1.6636517144862E-008</v>
      </c>
      <c r="AJ229" s="41" t="n">
        <f aca="false">AH229+10*LOG10(AB229)</f>
        <v>248.389498239021</v>
      </c>
    </row>
    <row r="230" customFormat="false" ht="12.75" hidden="false" customHeight="false" outlineLevel="0" collapsed="false">
      <c r="A230" s="43" t="n">
        <v>2020</v>
      </c>
      <c r="B230" s="56" t="s">
        <v>2843</v>
      </c>
      <c r="C230" s="43" t="s">
        <v>139</v>
      </c>
      <c r="D230" s="43" t="s">
        <v>145</v>
      </c>
      <c r="E230" s="43" t="n">
        <v>0.16</v>
      </c>
      <c r="F230" s="45" t="s">
        <v>2844</v>
      </c>
      <c r="G230" s="45" t="s">
        <v>2845</v>
      </c>
      <c r="H230" s="45" t="s">
        <v>2846</v>
      </c>
      <c r="I230" s="45" t="s">
        <v>2847</v>
      </c>
      <c r="J230" s="113" t="str">
        <f aca="false">IF(I230&lt;&gt;"?", HYPERLINK(CONCATENATE("https://doi.org/",I230)), "")</f>
        <v>https://doi.org/10.1109/VLSICircuits18222.2020.9162856</v>
      </c>
      <c r="K230" s="45" t="s">
        <v>117</v>
      </c>
      <c r="L230" s="69" t="n">
        <v>1.8</v>
      </c>
      <c r="M230" s="69"/>
      <c r="N230" s="69"/>
      <c r="O230" s="43" t="n">
        <v>13.6</v>
      </c>
      <c r="P230" s="43" t="n">
        <v>0.27</v>
      </c>
      <c r="Q230" s="41"/>
      <c r="R230" s="48" t="n">
        <v>1000</v>
      </c>
      <c r="S230" s="43" t="n">
        <v>106.5</v>
      </c>
      <c r="T230" s="43" t="n">
        <v>107.5</v>
      </c>
      <c r="U230" s="43" t="n">
        <v>109.8</v>
      </c>
      <c r="X230" s="49" t="n">
        <f aca="false">+IF(ISNUMBER($S230),$S230,MIN($V230,$T230,$U230,$W230))</f>
        <v>106.5</v>
      </c>
      <c r="Y230" s="48" t="n">
        <v>0.00044</v>
      </c>
      <c r="Z230" s="71" t="n">
        <v>3500000</v>
      </c>
      <c r="AA230" s="43" t="n">
        <f aca="false">35*2.5</f>
        <v>87.5</v>
      </c>
      <c r="AB230" s="48" t="n">
        <f aca="false">Z230/AA230</f>
        <v>40000</v>
      </c>
      <c r="AC230" s="114"/>
      <c r="AD230" s="107" t="n">
        <f aca="false">Y230/AB230*1000000000000</f>
        <v>11000</v>
      </c>
      <c r="AE230" s="49" t="str">
        <f aca="false">IF(ISNUMBER($Q230),$AD230*1000/2^(($Q230-1.76)/6.02), "")</f>
        <v/>
      </c>
      <c r="AF230" s="49" t="n">
        <f aca="false">$AD230*1000/2^(($X230-1.76)/6.02)</f>
        <v>63.660610692481</v>
      </c>
      <c r="AG230" s="49" t="str">
        <f aca="false">IF(ISNUMBER($Q230), $Q230+10*LOG10($AB230/2/$Y230), "")</f>
        <v/>
      </c>
      <c r="AH230" s="49" t="n">
        <f aca="false">$X230+10*LOG10($AB230/2/$Y230)</f>
        <v>183.075773191778</v>
      </c>
      <c r="AI230" s="48" t="n">
        <f aca="false">AF230/AB230</f>
        <v>0.00159151526731202</v>
      </c>
      <c r="AJ230" s="41" t="n">
        <f aca="false">AH230+10*LOG10(AB230)</f>
        <v>229.096373105058</v>
      </c>
    </row>
    <row r="231" customFormat="false" ht="12.75" hidden="false" customHeight="false" outlineLevel="0" collapsed="false">
      <c r="A231" s="43" t="n">
        <v>2020</v>
      </c>
      <c r="B231" s="56" t="s">
        <v>2848</v>
      </c>
      <c r="C231" s="43" t="s">
        <v>139</v>
      </c>
      <c r="D231" s="43" t="s">
        <v>674</v>
      </c>
      <c r="E231" s="43" t="n">
        <v>0.028</v>
      </c>
      <c r="F231" s="45" t="s">
        <v>2849</v>
      </c>
      <c r="G231" s="45" t="s">
        <v>2850</v>
      </c>
      <c r="H231" s="45" t="s">
        <v>2851</v>
      </c>
      <c r="I231" s="45" t="s">
        <v>2852</v>
      </c>
      <c r="J231" s="113" t="str">
        <f aca="false">IF(I231&lt;&gt;"?", HYPERLINK(CONCATENATE("https://doi.org/",I231)), "")</f>
        <v>https://doi.org/10.1109/VLSICircuits18222.2020.9162798</v>
      </c>
      <c r="K231" s="45" t="s">
        <v>117</v>
      </c>
      <c r="L231" s="69" t="n">
        <v>1.5</v>
      </c>
      <c r="M231" s="69" t="n">
        <v>1.15</v>
      </c>
      <c r="N231" s="69" t="n">
        <v>1</v>
      </c>
      <c r="O231" s="43" t="n">
        <v>4</v>
      </c>
      <c r="P231" s="43" t="n">
        <v>0.07</v>
      </c>
      <c r="Q231" s="41"/>
      <c r="R231" s="48" t="n">
        <v>1000000</v>
      </c>
      <c r="S231" s="43" t="n">
        <v>86.1</v>
      </c>
      <c r="U231" s="43" t="n">
        <v>90</v>
      </c>
      <c r="W231" s="43" t="n">
        <v>98</v>
      </c>
      <c r="X231" s="49" t="n">
        <f aca="false">+IF(ISNUMBER($S231),$S231,MIN($V231,$T231,$U231,$W231))</f>
        <v>86.1</v>
      </c>
      <c r="Y231" s="48" t="n">
        <v>0.0231</v>
      </c>
      <c r="Z231" s="71" t="n">
        <v>520000000</v>
      </c>
      <c r="AA231" s="43" t="n">
        <v>52</v>
      </c>
      <c r="AB231" s="48" t="n">
        <f aca="false">Z231/AA231</f>
        <v>10000000</v>
      </c>
      <c r="AC231" s="114"/>
      <c r="AD231" s="107" t="n">
        <f aca="false">Y231/AB231*1000000000000</f>
        <v>2310</v>
      </c>
      <c r="AE231" s="49" t="str">
        <f aca="false">IF(ISNUMBER($Q231),$AD231*1000/2^(($Q231-1.76)/6.02), "")</f>
        <v/>
      </c>
      <c r="AF231" s="49" t="n">
        <f aca="false">$AD231*1000/2^(($X231-1.76)/6.02)</f>
        <v>140.02053788081</v>
      </c>
      <c r="AG231" s="49" t="str">
        <f aca="false">IF(ISNUMBER($Q231), $Q231+10*LOG10($AB231/2/$Y231), "")</f>
        <v/>
      </c>
      <c r="AH231" s="49" t="n">
        <f aca="false">$X231+10*LOG10($AB231/2/$Y231)</f>
        <v>169.453580244439</v>
      </c>
      <c r="AI231" s="48" t="n">
        <f aca="false">AF231/AB231</f>
        <v>1.4002053788081E-005</v>
      </c>
      <c r="AJ231" s="41" t="n">
        <f aca="false">AH231+10*LOG10(AB231)</f>
        <v>239.453580244439</v>
      </c>
    </row>
    <row r="232" customFormat="false" ht="12.75" hidden="false" customHeight="false" outlineLevel="0" collapsed="false">
      <c r="A232" s="43" t="n">
        <v>2020</v>
      </c>
      <c r="B232" s="56" t="s">
        <v>2853</v>
      </c>
      <c r="C232" s="43" t="s">
        <v>139</v>
      </c>
      <c r="D232" s="43" t="s">
        <v>173</v>
      </c>
      <c r="E232" s="43" t="n">
        <v>0.028</v>
      </c>
      <c r="F232" s="45" t="s">
        <v>2854</v>
      </c>
      <c r="G232" s="45" t="s">
        <v>2855</v>
      </c>
      <c r="H232" s="45" t="s">
        <v>2856</v>
      </c>
      <c r="I232" s="45" t="s">
        <v>2857</v>
      </c>
      <c r="J232" s="113" t="str">
        <f aca="false">IF(I232&lt;&gt;"?", HYPERLINK(CONCATENATE("https://doi.org/",I232)), "")</f>
        <v>https://doi.org/10.1109/VLSICircuits18222.2020.9162797</v>
      </c>
      <c r="K232" s="45" t="s">
        <v>117</v>
      </c>
      <c r="L232" s="69" t="n">
        <v>1.5</v>
      </c>
      <c r="M232" s="69" t="n">
        <v>1</v>
      </c>
      <c r="N232" s="69"/>
      <c r="O232" s="43"/>
      <c r="P232" s="43" t="n">
        <v>0.024</v>
      </c>
      <c r="Q232" s="41"/>
      <c r="R232" s="48" t="n">
        <v>6000000</v>
      </c>
      <c r="S232" s="43" t="n">
        <v>74.4</v>
      </c>
      <c r="T232" s="43" t="n">
        <v>75.5</v>
      </c>
      <c r="U232" s="43" t="n">
        <v>80.6</v>
      </c>
      <c r="W232" s="43" t="n">
        <v>82.4</v>
      </c>
      <c r="X232" s="49" t="n">
        <f aca="false">+IF(ISNUMBER($S232),$S232,MIN($V232,$T232,$U232,$W232))</f>
        <v>74.4</v>
      </c>
      <c r="Y232" s="48" t="n">
        <v>0.0104</v>
      </c>
      <c r="Z232" s="71" t="n">
        <v>1500000000</v>
      </c>
      <c r="AA232" s="43" t="n">
        <v>15</v>
      </c>
      <c r="AB232" s="48" t="n">
        <f aca="false">Z232/AA232</f>
        <v>100000000</v>
      </c>
      <c r="AC232" s="114"/>
      <c r="AD232" s="107" t="n">
        <f aca="false">Y232/AB232*1000000000000</f>
        <v>104</v>
      </c>
      <c r="AE232" s="49" t="str">
        <f aca="false">IF(ISNUMBER($Q232),$AD232*1000/2^(($Q232-1.76)/6.02), "")</f>
        <v/>
      </c>
      <c r="AF232" s="49" t="n">
        <f aca="false">$AD232*1000/2^(($X232-1.76)/6.02)</f>
        <v>24.2477473512578</v>
      </c>
      <c r="AG232" s="49" t="str">
        <f aca="false">IF(ISNUMBER($Q232), $Q232+10*LOG10($AB232/2/$Y232), "")</f>
        <v/>
      </c>
      <c r="AH232" s="49" t="n">
        <f aca="false">$X232+10*LOG10($AB232/2/$Y232)</f>
        <v>171.219366650372</v>
      </c>
      <c r="AI232" s="48" t="n">
        <f aca="false">AF232/AB232</f>
        <v>2.42477473512578E-007</v>
      </c>
      <c r="AJ232" s="41" t="n">
        <f aca="false">AH232+10*LOG10(AB232)</f>
        <v>251.219366650372</v>
      </c>
    </row>
    <row r="233" customFormat="false" ht="12.75" hidden="false" customHeight="false" outlineLevel="0" collapsed="false">
      <c r="A233" s="43" t="n">
        <v>2020</v>
      </c>
      <c r="B233" s="56" t="s">
        <v>2858</v>
      </c>
      <c r="C233" s="43" t="s">
        <v>139</v>
      </c>
      <c r="D233" s="43" t="s">
        <v>1506</v>
      </c>
      <c r="E233" s="43" t="n">
        <v>0.028</v>
      </c>
      <c r="F233" s="45" t="s">
        <v>2859</v>
      </c>
      <c r="G233" s="45" t="s">
        <v>2860</v>
      </c>
      <c r="H233" s="45" t="s">
        <v>2861</v>
      </c>
      <c r="I233" s="45" t="s">
        <v>2862</v>
      </c>
      <c r="J233" s="113" t="str">
        <f aca="false">IF(I233&lt;&gt;"?", HYPERLINK(CONCATENATE("https://doi.org/",I233)), "")</f>
        <v>https://doi.org/10.1109/VLSICircuits18222.2020.9162805</v>
      </c>
      <c r="K233" s="45" t="s">
        <v>117</v>
      </c>
      <c r="L233" s="69" t="n">
        <v>1</v>
      </c>
      <c r="M233" s="69"/>
      <c r="N233" s="69"/>
      <c r="O233" s="43"/>
      <c r="P233" s="43" t="n">
        <v>0.018</v>
      </c>
      <c r="Q233" s="41"/>
      <c r="R233" s="48" t="n">
        <v>60000000</v>
      </c>
      <c r="S233" s="43" t="n">
        <v>63.6</v>
      </c>
      <c r="X233" s="49" t="n">
        <f aca="false">+IF(ISNUMBER($S233),$S233,MIN($V233,$T233,$U233,$W233))</f>
        <v>63.6</v>
      </c>
      <c r="Y233" s="48" t="n">
        <v>0.0023</v>
      </c>
      <c r="Z233" s="71" t="n">
        <v>1000000000</v>
      </c>
      <c r="AA233" s="43" t="n">
        <v>4</v>
      </c>
      <c r="AB233" s="48" t="n">
        <f aca="false">Z233/AA233</f>
        <v>250000000</v>
      </c>
      <c r="AC233" s="114"/>
      <c r="AD233" s="107" t="n">
        <f aca="false">Y233/AB233*1000000000000</f>
        <v>9.2</v>
      </c>
      <c r="AE233" s="49" t="str">
        <f aca="false">IF(ISNUMBER($Q233),$AD233*1000/2^(($Q233-1.76)/6.02), "")</f>
        <v/>
      </c>
      <c r="AF233" s="49" t="n">
        <f aca="false">$AD233*1000/2^(($X233-1.76)/6.02)</f>
        <v>7.43840291665939</v>
      </c>
      <c r="AG233" s="49" t="str">
        <f aca="false">IF(ISNUMBER($Q233), $Q233+10*LOG10($AB233/2/$Y233), "")</f>
        <v/>
      </c>
      <c r="AH233" s="49" t="n">
        <f aca="false">$X233+10*LOG10($AB233/2/$Y233)</f>
        <v>170.951821769905</v>
      </c>
      <c r="AI233" s="48" t="n">
        <f aca="false">AF233/AB233</f>
        <v>2.97536116666376E-008</v>
      </c>
      <c r="AJ233" s="41" t="n">
        <f aca="false">AH233+10*LOG10(AB233)</f>
        <v>254.931221856625</v>
      </c>
    </row>
    <row r="234" customFormat="false" ht="12.75" hidden="false" customHeight="false" outlineLevel="0" collapsed="false">
      <c r="A234" s="43" t="n">
        <v>2020</v>
      </c>
      <c r="B234" s="56" t="s">
        <v>2863</v>
      </c>
      <c r="C234" s="43" t="s">
        <v>111</v>
      </c>
      <c r="D234" s="43" t="s">
        <v>112</v>
      </c>
      <c r="E234" s="43" t="n">
        <v>0.04</v>
      </c>
      <c r="F234" s="45" t="s">
        <v>2864</v>
      </c>
      <c r="G234" s="45" t="s">
        <v>2865</v>
      </c>
      <c r="H234" s="45" t="s">
        <v>2866</v>
      </c>
      <c r="I234" s="45" t="s">
        <v>2867</v>
      </c>
      <c r="J234" s="113" t="str">
        <f aca="false">IF(I234&lt;&gt;"?", HYPERLINK(CONCATENATE("https://doi.org/",I234)), "")</f>
        <v>https://doi.org/10.1109/VLSICircuits18222.2020.9162846</v>
      </c>
      <c r="K234" s="45" t="s">
        <v>117</v>
      </c>
      <c r="L234" s="69"/>
      <c r="M234" s="69"/>
      <c r="N234" s="69"/>
      <c r="O234" s="43"/>
      <c r="P234" s="43" t="n">
        <v>0.018</v>
      </c>
      <c r="Q234" s="41"/>
      <c r="R234" s="48" t="n">
        <v>4000000</v>
      </c>
      <c r="S234" s="43" t="n">
        <v>59.6</v>
      </c>
      <c r="W234" s="43" t="n">
        <v>75.1</v>
      </c>
      <c r="X234" s="49" t="n">
        <f aca="false">+IF(ISNUMBER($S234),$S234,MIN($V234,$T234,$U234,$W234))</f>
        <v>59.6</v>
      </c>
      <c r="Y234" s="48" t="n">
        <v>0.000472</v>
      </c>
      <c r="Z234" s="71" t="n">
        <v>12000000</v>
      </c>
      <c r="AA234" s="43" t="n">
        <v>1</v>
      </c>
      <c r="AB234" s="48" t="n">
        <f aca="false">Z234/AA234</f>
        <v>12000000</v>
      </c>
      <c r="AC234" s="114"/>
      <c r="AD234" s="107" t="n">
        <f aca="false">Y234/AB234*1000000000000</f>
        <v>39.3333333333333</v>
      </c>
      <c r="AE234" s="49" t="str">
        <f aca="false">IF(ISNUMBER($Q234),$AD234*1000/2^(($Q234-1.76)/6.02), "")</f>
        <v/>
      </c>
      <c r="AF234" s="49" t="n">
        <f aca="false">$AD234*1000/2^(($X234-1.76)/6.02)</f>
        <v>50.4048765064021</v>
      </c>
      <c r="AG234" s="49" t="str">
        <f aca="false">IF(ISNUMBER($Q234), $Q234+10*LOG10($AB234/2/$Y234), "")</f>
        <v/>
      </c>
      <c r="AH234" s="49" t="n">
        <f aca="false">$X234+10*LOG10($AB234/2/$Y234)</f>
        <v>160.642092517496</v>
      </c>
      <c r="AI234" s="48" t="n">
        <f aca="false">AF234/AB234</f>
        <v>4.20040637553351E-006</v>
      </c>
      <c r="AJ234" s="41" t="n">
        <f aca="false">AH234+10*LOG10(AB234)</f>
        <v>231.433904977972</v>
      </c>
    </row>
    <row r="235" customFormat="false" ht="12.75" hidden="false" customHeight="false" outlineLevel="0" collapsed="false">
      <c r="A235" s="43" t="n">
        <v>2020</v>
      </c>
      <c r="B235" s="56" t="s">
        <v>2868</v>
      </c>
      <c r="C235" s="43" t="s">
        <v>111</v>
      </c>
      <c r="D235" s="43" t="s">
        <v>2869</v>
      </c>
      <c r="E235" s="43" t="n">
        <v>0.016</v>
      </c>
      <c r="F235" s="45" t="s">
        <v>2870</v>
      </c>
      <c r="G235" s="45" t="s">
        <v>2871</v>
      </c>
      <c r="H235" s="45" t="s">
        <v>2872</v>
      </c>
      <c r="I235" s="45" t="s">
        <v>2873</v>
      </c>
      <c r="J235" s="113" t="str">
        <f aca="false">IF(I235&lt;&gt;"?", HYPERLINK(CONCATENATE("https://doi.org/",I235)), "")</f>
        <v>https://doi.org/10.1109/VLSICircuits18222.2020.9162800</v>
      </c>
      <c r="K235" s="45" t="s">
        <v>117</v>
      </c>
      <c r="L235" s="69" t="n">
        <v>0.9</v>
      </c>
      <c r="M235" s="69"/>
      <c r="N235" s="69"/>
      <c r="O235" s="43"/>
      <c r="P235" s="43" t="n">
        <v>0.1</v>
      </c>
      <c r="Q235" s="41" t="n">
        <v>35</v>
      </c>
      <c r="R235" s="48" t="n">
        <v>1000000000</v>
      </c>
      <c r="S235" s="43" t="n">
        <v>32.5</v>
      </c>
      <c r="X235" s="49" t="n">
        <f aca="false">+IF(ISNUMBER($S235),$S235,MIN($V235,$T235,$U235,$W235))</f>
        <v>32.5</v>
      </c>
      <c r="Y235" s="48" t="n">
        <v>0.175</v>
      </c>
      <c r="Z235" s="71" t="n">
        <v>20000000000</v>
      </c>
      <c r="AA235" s="43" t="n">
        <v>1</v>
      </c>
      <c r="AB235" s="48" t="n">
        <f aca="false">Z235/AA235</f>
        <v>20000000000</v>
      </c>
      <c r="AC235" s="114"/>
      <c r="AD235" s="107" t="n">
        <f aca="false">Y235/AB235*1000000000000</f>
        <v>8.75</v>
      </c>
      <c r="AE235" s="49" t="n">
        <f aca="false">IF(ISNUMBER($Q235),$AD235*1000/2^(($Q235-1.76)/6.02), "")</f>
        <v>190.476950343715</v>
      </c>
      <c r="AF235" s="49" t="n">
        <f aca="false">$AD235*1000/2^(($X235-1.76)/6.02)</f>
        <v>254.012381233563</v>
      </c>
      <c r="AG235" s="49" t="n">
        <f aca="false">IF(ISNUMBER($Q235), $Q235+10*LOG10($AB235/2/$Y235), "")</f>
        <v>142.569619513137</v>
      </c>
      <c r="AH235" s="49" t="n">
        <f aca="false">$X235+10*LOG10($AB235/2/$Y235)</f>
        <v>140.069619513137</v>
      </c>
      <c r="AI235" s="48" t="n">
        <f aca="false">AF235/AB235</f>
        <v>1.27006190616781E-008</v>
      </c>
      <c r="AJ235" s="41" t="n">
        <f aca="false">AH235+10*LOG10(AB235)</f>
        <v>243.079919469777</v>
      </c>
    </row>
    <row r="236" customFormat="false" ht="12.75" hidden="false" customHeight="false" outlineLevel="0" collapsed="false">
      <c r="A236" s="39" t="n">
        <v>2021</v>
      </c>
      <c r="B236" s="56" t="s">
        <v>2874</v>
      </c>
      <c r="C236" s="43" t="s">
        <v>139</v>
      </c>
      <c r="D236" s="43" t="s">
        <v>173</v>
      </c>
      <c r="E236" s="43" t="n">
        <v>0.028</v>
      </c>
      <c r="F236" s="45" t="s">
        <v>2875</v>
      </c>
      <c r="G236" s="45" t="s">
        <v>2876</v>
      </c>
      <c r="H236" s="45" t="s">
        <v>2877</v>
      </c>
      <c r="I236" s="45" t="s">
        <v>2878</v>
      </c>
      <c r="J236" s="113" t="str">
        <f aca="false">IF(I236&lt;&gt;"?", HYPERLINK(CONCATENATE("https://doi.org/",I236)), "")</f>
        <v>https://doi.org/10.23919/VLSICircuits52068.2021.9492519</v>
      </c>
      <c r="K236" s="45" t="s">
        <v>117</v>
      </c>
      <c r="L236" s="69" t="n">
        <v>0.6</v>
      </c>
      <c r="M236" s="69"/>
      <c r="N236" s="69"/>
      <c r="P236" s="43" t="n">
        <v>0.12</v>
      </c>
      <c r="R236" s="48" t="n">
        <v>40000</v>
      </c>
      <c r="S236" s="41" t="n">
        <v>83</v>
      </c>
      <c r="T236" s="41" t="n">
        <v>84</v>
      </c>
      <c r="U236" s="43" t="n">
        <v>86.5</v>
      </c>
      <c r="X236" s="49" t="n">
        <f aca="false">+IF(ISNUMBER($S236),$S236,MIN($V236,$T236,$U236,$W236))</f>
        <v>83</v>
      </c>
      <c r="Y236" s="48" t="n">
        <v>3.36E-005</v>
      </c>
      <c r="Z236" s="71" t="n">
        <v>12800000</v>
      </c>
      <c r="AA236" s="50" t="n">
        <f aca="false">Z236/AB236</f>
        <v>160</v>
      </c>
      <c r="AB236" s="48" t="n">
        <v>80000</v>
      </c>
      <c r="AC236" s="114"/>
      <c r="AD236" s="107" t="n">
        <f aca="false">Y236/AB236*1000000000000</f>
        <v>420</v>
      </c>
      <c r="AE236" s="49" t="str">
        <f aca="false">IF(ISNUMBER($Q236),$AD236*1000/2^(($Q236-1.76)/6.02), "")</f>
        <v/>
      </c>
      <c r="AF236" s="49" t="n">
        <f aca="false">$AD236*1000/2^(($X236-1.76)/6.02)</f>
        <v>36.3784757623317</v>
      </c>
      <c r="AG236" s="49" t="str">
        <f aca="false">IF(ISNUMBER($Q236), $Q236+10*LOG10($AB236/2/$Y236), "")</f>
        <v/>
      </c>
      <c r="AH236" s="49" t="n">
        <f aca="false">$X236+10*LOG10($AB236/2/$Y236)</f>
        <v>173.757207139381</v>
      </c>
      <c r="AI236" s="48" t="n">
        <f aca="false">AF236/AB236</f>
        <v>0.000454730947029146</v>
      </c>
      <c r="AJ236" s="41" t="n">
        <f aca="false">AH236+10*LOG10(AB236)</f>
        <v>222.788107009301</v>
      </c>
    </row>
    <row r="237" customFormat="false" ht="12.75" hidden="false" customHeight="false" outlineLevel="0" collapsed="false">
      <c r="A237" s="43" t="n">
        <v>2021</v>
      </c>
      <c r="B237" s="56" t="s">
        <v>2879</v>
      </c>
      <c r="C237" s="43" t="s">
        <v>139</v>
      </c>
      <c r="D237" s="43" t="s">
        <v>2545</v>
      </c>
      <c r="E237" s="43" t="n">
        <v>0.065</v>
      </c>
      <c r="F237" s="45" t="s">
        <v>2880</v>
      </c>
      <c r="G237" s="45" t="s">
        <v>2881</v>
      </c>
      <c r="H237" s="45" t="s">
        <v>2882</v>
      </c>
      <c r="I237" s="45" t="s">
        <v>2883</v>
      </c>
      <c r="J237" s="113" t="str">
        <f aca="false">IF(I237&lt;&gt;"?", HYPERLINK(CONCATENATE("https://doi.org/",I237)), "")</f>
        <v>https://doi.org/10.23919/VLSICircuits52068.2021.9492344</v>
      </c>
      <c r="K237" s="45" t="s">
        <v>117</v>
      </c>
      <c r="L237" s="69" t="n">
        <v>1.1</v>
      </c>
      <c r="M237" s="69"/>
      <c r="N237" s="69"/>
      <c r="O237" s="43"/>
      <c r="P237" s="43" t="n">
        <v>0.04</v>
      </c>
      <c r="Q237" s="41"/>
      <c r="R237" s="48" t="n">
        <v>200000</v>
      </c>
      <c r="S237" s="43" t="n">
        <v>71.5</v>
      </c>
      <c r="U237" s="43" t="n">
        <v>75.8</v>
      </c>
      <c r="X237" s="49" t="n">
        <f aca="false">+IF(ISNUMBER($S237),$S237,MIN($V237,$T237,$U237,$W237))</f>
        <v>71.5</v>
      </c>
      <c r="Y237" s="48" t="n">
        <v>0.00016</v>
      </c>
      <c r="Z237" s="71" t="n">
        <v>24000000</v>
      </c>
      <c r="AA237" s="50" t="n">
        <f aca="false">Z237/AB237</f>
        <v>10.9090909090909</v>
      </c>
      <c r="AB237" s="48" t="n">
        <v>2200000</v>
      </c>
      <c r="AC237" s="114"/>
      <c r="AD237" s="107" t="n">
        <f aca="false">Y237/AB237*1000000000000</f>
        <v>72.7272727272727</v>
      </c>
      <c r="AE237" s="49" t="str">
        <f aca="false">IF(ISNUMBER($Q237),$AD237*1000/2^(($Q237-1.76)/6.02), "")</f>
        <v/>
      </c>
      <c r="AF237" s="49" t="n">
        <f aca="false">$AD237*1000/2^(($X237-1.76)/6.02)</f>
        <v>23.6782613902798</v>
      </c>
      <c r="AG237" s="49" t="str">
        <f aca="false">IF(ISNUMBER($Q237), $Q237+10*LOG10($AB237/2/$Y237), "")</f>
        <v/>
      </c>
      <c r="AH237" s="49" t="n">
        <f aca="false">$X237+10*LOG10($AB237/2/$Y237)</f>
        <v>169.872727025023</v>
      </c>
      <c r="AI237" s="48" t="n">
        <f aca="false">AF237/AB237</f>
        <v>1.07628460864908E-005</v>
      </c>
      <c r="AJ237" s="41" t="n">
        <f aca="false">AH237+10*LOG10(AB237)</f>
        <v>233.296953833245</v>
      </c>
    </row>
    <row r="238" customFormat="false" ht="12.75" hidden="false" customHeight="false" outlineLevel="0" collapsed="false">
      <c r="A238" s="43" t="n">
        <v>2021</v>
      </c>
      <c r="B238" s="56" t="s">
        <v>2884</v>
      </c>
      <c r="C238" s="43" t="s">
        <v>139</v>
      </c>
      <c r="D238" s="43" t="s">
        <v>156</v>
      </c>
      <c r="E238" s="43" t="n">
        <v>0.028</v>
      </c>
      <c r="F238" s="45" t="s">
        <v>2885</v>
      </c>
      <c r="G238" s="45" t="s">
        <v>2886</v>
      </c>
      <c r="H238" s="45" t="s">
        <v>2887</v>
      </c>
      <c r="I238" s="45" t="s">
        <v>2888</v>
      </c>
      <c r="J238" s="113" t="str">
        <f aca="false">IF(I238&lt;&gt;"?", HYPERLINK(CONCATENATE("https://doi.org/",I238)), "")</f>
        <v>https://doi.org/10.23919/VLSICircuits52068.2021.9492383</v>
      </c>
      <c r="K238" s="45" t="s">
        <v>2308</v>
      </c>
      <c r="L238" s="69"/>
      <c r="M238" s="69"/>
      <c r="N238" s="69"/>
      <c r="O238" s="43"/>
      <c r="P238" s="43" t="n">
        <v>0.0255</v>
      </c>
      <c r="Q238" s="41"/>
      <c r="R238" s="48" t="n">
        <v>1514000000</v>
      </c>
      <c r="S238" s="43" t="n">
        <v>37.04</v>
      </c>
      <c r="W238" s="43" t="n">
        <v>44.11</v>
      </c>
      <c r="X238" s="49" t="n">
        <f aca="false">+IF(ISNUMBER($S238),$S238,MIN($V238,$T238,$U238,$W238))</f>
        <v>37.04</v>
      </c>
      <c r="Y238" s="48" t="n">
        <v>0.038</v>
      </c>
      <c r="Z238" s="71" t="n">
        <v>6000000000</v>
      </c>
      <c r="AA238" s="43" t="n">
        <v>20</v>
      </c>
      <c r="AB238" s="48" t="n">
        <v>600000000</v>
      </c>
      <c r="AC238" s="114" t="n">
        <v>1500000000</v>
      </c>
      <c r="AD238" s="107" t="n">
        <f aca="false">Y238/AB238*1000000000000</f>
        <v>63.3333333333333</v>
      </c>
      <c r="AE238" s="49" t="str">
        <f aca="false">IF(ISNUMBER($Q238),$AD238*1000/2^(($Q238-1.76)/6.02), "")</f>
        <v/>
      </c>
      <c r="AF238" s="49" t="n">
        <f aca="false">$AD238*1000/2^(($X238-1.76)/6.02)</f>
        <v>1090.07544710552</v>
      </c>
      <c r="AG238" s="49" t="str">
        <f aca="false">IF(ISNUMBER($Q238), $Q238+10*LOG10($AB238/2/$Y238), "")</f>
        <v/>
      </c>
      <c r="AH238" s="49" t="n">
        <f aca="false">$X238+10*LOG10($AB238/2/$Y238)</f>
        <v>136.013376581029</v>
      </c>
      <c r="AI238" s="48" t="n">
        <f aca="false">AF238/AB238</f>
        <v>1.81679241184253E-006</v>
      </c>
      <c r="AJ238" s="41" t="n">
        <f aca="false">AH238+10*LOG10(AB238)</f>
        <v>223.794889084865</v>
      </c>
    </row>
    <row r="239" customFormat="false" ht="12.75" hidden="false" customHeight="false" outlineLevel="0" collapsed="false">
      <c r="A239" s="43" t="n">
        <v>2021</v>
      </c>
      <c r="B239" s="56" t="s">
        <v>2889</v>
      </c>
      <c r="C239" s="43" t="s">
        <v>111</v>
      </c>
      <c r="D239" s="43" t="s">
        <v>1506</v>
      </c>
      <c r="E239" s="43" t="n">
        <v>0.016</v>
      </c>
      <c r="F239" s="45" t="s">
        <v>2890</v>
      </c>
      <c r="G239" s="45" t="s">
        <v>2891</v>
      </c>
      <c r="H239" s="45" t="s">
        <v>2892</v>
      </c>
      <c r="I239" s="45" t="s">
        <v>2893</v>
      </c>
      <c r="J239" s="113" t="str">
        <f aca="false">IF(I239&lt;&gt;"?", HYPERLINK(CONCATENATE("https://doi.org/",I239)), "")</f>
        <v>https://doi.org/10.23919/VLSICircuits52068.2021.9492354</v>
      </c>
      <c r="K239" s="45" t="s">
        <v>117</v>
      </c>
      <c r="L239" s="69" t="n">
        <v>0.9</v>
      </c>
      <c r="M239" s="69"/>
      <c r="N239" s="69"/>
      <c r="O239" s="43"/>
      <c r="P239" s="43" t="n">
        <v>0.0084</v>
      </c>
      <c r="R239" s="48" t="n">
        <v>249000000</v>
      </c>
      <c r="S239" s="43" t="n">
        <v>62.3</v>
      </c>
      <c r="T239" s="43" t="n">
        <v>62.8</v>
      </c>
      <c r="V239" s="43" t="n">
        <v>71.8</v>
      </c>
      <c r="W239" s="43" t="n">
        <v>75.5</v>
      </c>
      <c r="X239" s="49" t="n">
        <f aca="false">+IF(ISNUMBER($S239),$S239,MIN($V239,$T239,$U239,$W239))</f>
        <v>62.3</v>
      </c>
      <c r="Y239" s="48" t="n">
        <v>0.0028</v>
      </c>
      <c r="Z239" s="71" t="n">
        <v>500000000</v>
      </c>
      <c r="AA239" s="43" t="n">
        <v>1</v>
      </c>
      <c r="AB239" s="48" t="n">
        <v>500000000</v>
      </c>
      <c r="AC239" s="114"/>
      <c r="AD239" s="107" t="n">
        <f aca="false">Y239/AB239*1000000000000</f>
        <v>5.6</v>
      </c>
      <c r="AE239" s="49" t="str">
        <f aca="false">IF(ISNUMBER($Q239),$AD239*1000/2^(($Q239-1.76)/6.02), "")</f>
        <v/>
      </c>
      <c r="AF239" s="49" t="n">
        <f aca="false">$AD239*1000/2^(($X239-1.76)/6.02)</f>
        <v>5.25879663371927</v>
      </c>
      <c r="AG239" s="49" t="str">
        <f aca="false">IF(ISNUMBER($Q239), $Q239+10*LOG10($AB239/2/$Y239), "")</f>
        <v/>
      </c>
      <c r="AH239" s="49" t="n">
        <f aca="false">$X239+10*LOG10($AB239/2/$Y239)</f>
        <v>171.807819773298</v>
      </c>
      <c r="AI239" s="48" t="n">
        <f aca="false">AF239/AB239</f>
        <v>1.05175932674385E-008</v>
      </c>
      <c r="AJ239" s="41" t="n">
        <f aca="false">AH239+10*LOG10(AB239)</f>
        <v>258.797519816658</v>
      </c>
    </row>
    <row r="240" customFormat="false" ht="12.75" hidden="false" customHeight="false" outlineLevel="0" collapsed="false">
      <c r="A240" s="43" t="n">
        <v>2021</v>
      </c>
      <c r="B240" s="56" t="s">
        <v>2894</v>
      </c>
      <c r="C240" s="43" t="s">
        <v>111</v>
      </c>
      <c r="D240" s="43" t="s">
        <v>2869</v>
      </c>
      <c r="E240" s="43" t="n">
        <v>0.065</v>
      </c>
      <c r="F240" s="45" t="s">
        <v>2895</v>
      </c>
      <c r="G240" s="45" t="s">
        <v>2896</v>
      </c>
      <c r="H240" s="45" t="s">
        <v>2897</v>
      </c>
      <c r="I240" s="45" t="s">
        <v>2898</v>
      </c>
      <c r="J240" s="113" t="str">
        <f aca="false">IF(I240&lt;&gt;"?", HYPERLINK(CONCATENATE("https://doi.org/",I240)), "")</f>
        <v>https://doi.org/10.23919/VLSICircuits52068.2021.9492436</v>
      </c>
      <c r="K240" s="45" t="s">
        <v>117</v>
      </c>
      <c r="L240" s="69" t="n">
        <v>1.2</v>
      </c>
      <c r="M240" s="69" t="n">
        <v>1</v>
      </c>
      <c r="N240" s="69"/>
      <c r="O240" s="43" t="n">
        <v>0.045</v>
      </c>
      <c r="P240" s="43" t="n">
        <v>0.22</v>
      </c>
      <c r="Q240" s="41" t="n">
        <v>41</v>
      </c>
      <c r="R240" s="48" t="n">
        <v>10000000000</v>
      </c>
      <c r="S240" s="43" t="n">
        <v>38.8</v>
      </c>
      <c r="W240" s="43" t="n">
        <v>52.5</v>
      </c>
      <c r="X240" s="49" t="n">
        <f aca="false">+IF(ISNUMBER($S240),$S240,MIN($V240,$T240,$U240,$W240))</f>
        <v>38.8</v>
      </c>
      <c r="Y240" s="48" t="n">
        <v>0.1293</v>
      </c>
      <c r="Z240" s="71" t="n">
        <v>20000000000</v>
      </c>
      <c r="AA240" s="43" t="n">
        <v>1</v>
      </c>
      <c r="AB240" s="48" t="n">
        <v>20000000000</v>
      </c>
      <c r="AC240" s="114"/>
      <c r="AD240" s="107" t="n">
        <f aca="false">Y240/AB240*1000000000000</f>
        <v>6.465</v>
      </c>
      <c r="AE240" s="49" t="n">
        <f aca="false">IF(ISNUMBER($Q240),$AD240*1000/2^(($Q240-1.76)/6.02), "")</f>
        <v>70.5298579740774</v>
      </c>
      <c r="AF240" s="49" t="n">
        <f aca="false">$AD240*1000/2^(($X240-1.76)/6.02)</f>
        <v>90.8623513110174</v>
      </c>
      <c r="AG240" s="49" t="n">
        <f aca="false">IF(ISNUMBER($Q240), $Q240+10*LOG10($AB240/2/$Y240), "")</f>
        <v>149.884014751196</v>
      </c>
      <c r="AH240" s="49" t="n">
        <f aca="false">$X240+10*LOG10($AB240/2/$Y240)</f>
        <v>147.684014751196</v>
      </c>
      <c r="AI240" s="48" t="n">
        <f aca="false">AF240/AB240</f>
        <v>4.54311756555087E-009</v>
      </c>
      <c r="AJ240" s="41" t="n">
        <f aca="false">AH240+10*LOG10(AB240)</f>
        <v>250.694314707836</v>
      </c>
    </row>
    <row r="241" customFormat="false" ht="12.75" hidden="false" customHeight="false" outlineLevel="0" collapsed="false">
      <c r="A241" s="43" t="n">
        <v>2021</v>
      </c>
      <c r="B241" s="56" t="s">
        <v>2899</v>
      </c>
      <c r="C241" s="43" t="s">
        <v>111</v>
      </c>
      <c r="D241" s="43" t="s">
        <v>548</v>
      </c>
      <c r="E241" s="43" t="n">
        <v>0.016</v>
      </c>
      <c r="F241" s="45" t="s">
        <v>2900</v>
      </c>
      <c r="G241" s="45" t="s">
        <v>2901</v>
      </c>
      <c r="H241" s="45" t="s">
        <v>2902</v>
      </c>
      <c r="I241" s="45" t="s">
        <v>2903</v>
      </c>
      <c r="J241" s="113" t="str">
        <f aca="false">IF(I241&lt;&gt;"?", HYPERLINK(CONCATENATE("https://doi.org/",I241)), "")</f>
        <v>https://doi.org/10.23919/VLSICircuits52068.2021.9492512</v>
      </c>
      <c r="K241" s="45" t="s">
        <v>117</v>
      </c>
      <c r="L241" s="69" t="n">
        <v>1.2</v>
      </c>
      <c r="M241" s="69" t="n">
        <v>0.85</v>
      </c>
      <c r="N241" s="69"/>
      <c r="O241" s="43" t="n">
        <v>0.062</v>
      </c>
      <c r="P241" s="43" t="n">
        <v>0.023</v>
      </c>
      <c r="Q241" s="41" t="n">
        <f aca="false">7.2*6.02+1.76</f>
        <v>45.104</v>
      </c>
      <c r="R241" s="48" t="n">
        <v>4000000000</v>
      </c>
      <c r="S241" s="43" t="n">
        <v>42.4</v>
      </c>
      <c r="V241" s="43" t="n">
        <v>46</v>
      </c>
      <c r="W241" s="43" t="n">
        <v>46</v>
      </c>
      <c r="X241" s="49" t="n">
        <f aca="false">+IF(ISNUMBER($S241),$S241,MIN($V241,$T241,$U241,$W241))</f>
        <v>42.4</v>
      </c>
      <c r="Y241" s="48" t="n">
        <v>0.026</v>
      </c>
      <c r="Z241" s="71" t="n">
        <v>8000000000</v>
      </c>
      <c r="AA241" s="43" t="n">
        <v>1</v>
      </c>
      <c r="AB241" s="48" t="n">
        <f aca="false">8000000000</f>
        <v>8000000000</v>
      </c>
      <c r="AC241" s="114"/>
      <c r="AD241" s="107" t="n">
        <f aca="false">Y241/AB241*1000000000000</f>
        <v>3.25</v>
      </c>
      <c r="AE241" s="49" t="n">
        <f aca="false">IF(ISNUMBER($Q241),$AD241*1000/2^(($Q241-1.76)/6.02), "")</f>
        <v>22.1038228961906</v>
      </c>
      <c r="AF241" s="49" t="n">
        <f aca="false">$AD241*1000/2^(($X241-1.76)/6.02)</f>
        <v>30.1773337016912</v>
      </c>
      <c r="AG241" s="49" t="n">
        <f aca="false">IF(ISNUMBER($Q241), $Q241+10*LOG10($AB241/2/$Y241), "")</f>
        <v>156.974866433571</v>
      </c>
      <c r="AH241" s="49" t="n">
        <f aca="false">$X241+10*LOG10($AB241/2/$Y241)</f>
        <v>154.270866433571</v>
      </c>
      <c r="AI241" s="48" t="n">
        <f aca="false">AF241/AB241</f>
        <v>3.7721667127114E-009</v>
      </c>
      <c r="AJ241" s="41" t="n">
        <f aca="false">AH241+10*LOG10(AB241)</f>
        <v>253.301766303491</v>
      </c>
    </row>
    <row r="242" customFormat="false" ht="12.75" hidden="false" customHeight="false" outlineLevel="0" collapsed="false">
      <c r="A242" s="43" t="n">
        <v>2021</v>
      </c>
      <c r="B242" s="56" t="s">
        <v>2904</v>
      </c>
      <c r="C242" s="43" t="s">
        <v>111</v>
      </c>
      <c r="D242" s="43" t="s">
        <v>1506</v>
      </c>
      <c r="E242" s="43" t="n">
        <v>0.028</v>
      </c>
      <c r="F242" s="45" t="s">
        <v>2905</v>
      </c>
      <c r="G242" s="45" t="s">
        <v>2906</v>
      </c>
      <c r="H242" s="45" t="s">
        <v>2907</v>
      </c>
      <c r="I242" s="45" t="s">
        <v>2908</v>
      </c>
      <c r="J242" s="113" t="str">
        <f aca="false">IF(I242&lt;&gt;"?", HYPERLINK(CONCATENATE("https://doi.org/",I242)), "")</f>
        <v>https://doi.org/10.23919/VLSICircuits52068.2021.9492336</v>
      </c>
      <c r="K242" s="45" t="s">
        <v>117</v>
      </c>
      <c r="L242" s="69" t="n">
        <v>1</v>
      </c>
      <c r="M242" s="69" t="n">
        <v>5</v>
      </c>
      <c r="N242" s="69"/>
      <c r="O242" s="43"/>
      <c r="P242" s="43" t="n">
        <v>0.134</v>
      </c>
      <c r="Q242" s="43" t="n">
        <v>59</v>
      </c>
      <c r="R242" s="48" t="n">
        <v>500000000</v>
      </c>
      <c r="S242" s="43" t="n">
        <v>59.28</v>
      </c>
      <c r="W242" s="43" t="n">
        <v>67.09</v>
      </c>
      <c r="X242" s="49" t="n">
        <f aca="false">+IF(ISNUMBER($S242),$S242,MIN($V242,$T242,$U242,$W242))</f>
        <v>59.28</v>
      </c>
      <c r="Y242" s="48" t="n">
        <v>0.0192</v>
      </c>
      <c r="Z242" s="71" t="n">
        <v>1000000000</v>
      </c>
      <c r="AA242" s="43" t="n">
        <v>1</v>
      </c>
      <c r="AB242" s="48" t="n">
        <v>1000000000</v>
      </c>
      <c r="AC242" s="114"/>
      <c r="AD242" s="107" t="n">
        <f aca="false">Y242/AB242*1000000000000</f>
        <v>19.2</v>
      </c>
      <c r="AE242" s="49" t="n">
        <f aca="false">IF(ISNUMBER($Q242),$AD242*1000/2^(($Q242-1.76)/6.02), "")</f>
        <v>26.3642863969179</v>
      </c>
      <c r="AF242" s="49" t="n">
        <f aca="false">$AD242*1000/2^(($X242-1.76)/6.02)</f>
        <v>25.5278727072451</v>
      </c>
      <c r="AG242" s="49" t="n">
        <f aca="false">IF(ISNUMBER($Q242), $Q242+10*LOG10($AB242/2/$Y242), "")</f>
        <v>163.156687756325</v>
      </c>
      <c r="AH242" s="49" t="n">
        <f aca="false">$X242+10*LOG10($AB242/2/$Y242)</f>
        <v>163.436687756325</v>
      </c>
      <c r="AI242" s="48" t="n">
        <f aca="false">AF242/AB242</f>
        <v>2.55278727072451E-008</v>
      </c>
      <c r="AJ242" s="41" t="n">
        <f aca="false">AH242+10*LOG10(AB242)</f>
        <v>253.436687756325</v>
      </c>
    </row>
    <row r="243" customFormat="false" ht="12.75" hidden="false" customHeight="false" outlineLevel="0" collapsed="false">
      <c r="A243" s="43" t="n">
        <v>2021</v>
      </c>
      <c r="B243" s="56" t="s">
        <v>2909</v>
      </c>
      <c r="C243" s="43" t="s">
        <v>111</v>
      </c>
      <c r="D243" s="43" t="s">
        <v>112</v>
      </c>
      <c r="E243" s="43" t="n">
        <v>0.18</v>
      </c>
      <c r="F243" s="45" t="s">
        <v>2910</v>
      </c>
      <c r="G243" s="45" t="s">
        <v>2911</v>
      </c>
      <c r="H243" s="45" t="s">
        <v>2912</v>
      </c>
      <c r="I243" s="45" t="s">
        <v>2913</v>
      </c>
      <c r="J243" s="113" t="str">
        <f aca="false">IF(I243&lt;&gt;"?", HYPERLINK(CONCATENATE("https://doi.org/",I243)), "")</f>
        <v>https://doi.org/10.23919/VLSICircuits52068.2021.9492499</v>
      </c>
      <c r="K243" s="45" t="s">
        <v>117</v>
      </c>
      <c r="L243" s="69" t="n">
        <v>1.2</v>
      </c>
      <c r="M243" s="69"/>
      <c r="N243" s="69"/>
      <c r="O243" s="43"/>
      <c r="P243" s="43" t="n">
        <v>0.05</v>
      </c>
      <c r="R243" s="48" t="n">
        <v>158</v>
      </c>
      <c r="S243" s="69" t="n">
        <f aca="false">9.3*6.02+1.76</f>
        <v>57.746</v>
      </c>
      <c r="X243" s="49" t="n">
        <f aca="false">+IF(ISNUMBER($S243),$S243,MIN($V243,$T243,$U243,$W243))</f>
        <v>57.746</v>
      </c>
      <c r="Y243" s="48" t="n">
        <v>2.04E-007</v>
      </c>
      <c r="Z243" s="71" t="n">
        <v>1000</v>
      </c>
      <c r="AA243" s="43" t="n">
        <v>1</v>
      </c>
      <c r="AB243" s="48" t="n">
        <v>1000</v>
      </c>
      <c r="AC243" s="114"/>
      <c r="AD243" s="107" t="n">
        <f aca="false">Y243/AB243*1000000000000</f>
        <v>204</v>
      </c>
      <c r="AE243" s="49" t="str">
        <f aca="false">IF(ISNUMBER($Q243),$AD243*1000/2^(($Q243-1.76)/6.02), "")</f>
        <v/>
      </c>
      <c r="AF243" s="49" t="n">
        <f aca="false">$AD243*1000/2^(($X243-1.76)/6.02)</f>
        <v>323.631814173187</v>
      </c>
      <c r="AG243" s="49" t="str">
        <f aca="false">IF(ISNUMBER($Q243), $Q243+10*LOG10($AB243/2/$Y243), "")</f>
        <v/>
      </c>
      <c r="AH243" s="49" t="n">
        <f aca="false">$X243+10*LOG10($AB243/2/$Y243)</f>
        <v>151.639398369101</v>
      </c>
      <c r="AI243" s="48" t="n">
        <f aca="false">AF243/AB243</f>
        <v>0.323631814173187</v>
      </c>
      <c r="AJ243" s="41" t="n">
        <f aca="false">AH243+10*LOG10(AB243)</f>
        <v>181.639398369101</v>
      </c>
    </row>
    <row r="244" customFormat="false" ht="12.75" hidden="false" customHeight="false" outlineLevel="0" collapsed="false">
      <c r="A244" s="39" t="n">
        <v>2022</v>
      </c>
      <c r="B244" s="56" t="s">
        <v>2914</v>
      </c>
      <c r="C244" s="43" t="s">
        <v>139</v>
      </c>
      <c r="D244" s="43" t="s">
        <v>112</v>
      </c>
      <c r="E244" s="43" t="n">
        <v>0.065</v>
      </c>
      <c r="F244" s="45" t="s">
        <v>2915</v>
      </c>
      <c r="G244" s="45" t="s">
        <v>2916</v>
      </c>
      <c r="H244" s="45" t="s">
        <v>2917</v>
      </c>
      <c r="I244" s="45" t="s">
        <v>2918</v>
      </c>
      <c r="J244" s="113" t="str">
        <f aca="false">IF(I244&lt;&gt;"?", HYPERLINK(CONCATENATE("https://doi.org/",I244)), "")</f>
        <v>https://doi.org/10.1109/VLSITechnologyandCir46769.2022.9830401</v>
      </c>
      <c r="K244" s="45" t="s">
        <v>117</v>
      </c>
      <c r="L244" s="69" t="n">
        <v>1</v>
      </c>
      <c r="M244" s="69"/>
      <c r="N244" s="69"/>
      <c r="O244" s="43" t="n">
        <v>10</v>
      </c>
      <c r="P244" s="43" t="n">
        <v>0.1292</v>
      </c>
      <c r="R244" s="48" t="n">
        <v>500</v>
      </c>
      <c r="S244" s="43" t="n">
        <v>94.5</v>
      </c>
      <c r="U244" s="43" t="n">
        <v>95.8</v>
      </c>
      <c r="X244" s="49" t="n">
        <f aca="false">+IF(ISNUMBER($S244),$S244,MIN($V244,$T244,$U244,$W244))</f>
        <v>94.5</v>
      </c>
      <c r="Y244" s="48" t="n">
        <v>5.2E-006</v>
      </c>
      <c r="Z244" s="71" t="n">
        <v>200000</v>
      </c>
      <c r="AA244" s="50" t="n">
        <f aca="false">Z244/AB244</f>
        <v>200</v>
      </c>
      <c r="AB244" s="48" t="n">
        <v>1000</v>
      </c>
      <c r="AD244" s="107" t="n">
        <f aca="false">Y244/AB244*1000000000000</f>
        <v>5200</v>
      </c>
      <c r="AE244" s="49" t="str">
        <f aca="false">IF(ISNUMBER($Q244),$AD244*1000/2^(($Q244-1.76)/6.02), "")</f>
        <v/>
      </c>
      <c r="AF244" s="49" t="n">
        <f aca="false">$AD244*1000/2^(($X244-1.76)/6.02)</f>
        <v>119.823293056796</v>
      </c>
      <c r="AG244" s="49" t="str">
        <f aca="false">IF(ISNUMBER($Q244), $Q244+10*LOG10($AB244/2/$Y244), "")</f>
        <v/>
      </c>
      <c r="AH244" s="49" t="n">
        <f aca="false">$X244+10*LOG10($AB244/2/$Y244)</f>
        <v>174.329666607012</v>
      </c>
      <c r="AI244" s="48" t="n">
        <f aca="false">AF244/AB244</f>
        <v>0.119823293056796</v>
      </c>
      <c r="AJ244" s="41" t="n">
        <f aca="false">AH244+10*LOG10(AB244)</f>
        <v>204.329666607012</v>
      </c>
    </row>
    <row r="245" customFormat="false" ht="12.75" hidden="false" customHeight="false" outlineLevel="0" collapsed="false">
      <c r="A245" s="43" t="n">
        <v>2022</v>
      </c>
      <c r="B245" s="56" t="s">
        <v>2919</v>
      </c>
      <c r="C245" s="43" t="s">
        <v>139</v>
      </c>
      <c r="D245" s="43" t="s">
        <v>173</v>
      </c>
      <c r="E245" s="43" t="n">
        <v>0.028</v>
      </c>
      <c r="F245" s="45" t="s">
        <v>2920</v>
      </c>
      <c r="G245" s="45" t="s">
        <v>2921</v>
      </c>
      <c r="H245" s="45" t="s">
        <v>2922</v>
      </c>
      <c r="I245" s="45" t="s">
        <v>2923</v>
      </c>
      <c r="J245" s="113" t="str">
        <f aca="false">IF(I245&lt;&gt;"?", HYPERLINK(CONCATENATE("https://doi.org/",I245)), "")</f>
        <v>https://doi.org/10.1109/VLSITechnologyandCir46769.2022.9830207</v>
      </c>
      <c r="K245" s="45" t="s">
        <v>117</v>
      </c>
      <c r="L245" s="69" t="n">
        <v>1.1</v>
      </c>
      <c r="M245" s="69" t="n">
        <v>1</v>
      </c>
      <c r="N245" s="69"/>
      <c r="O245" s="43"/>
      <c r="P245" s="43" t="n">
        <v>0.072</v>
      </c>
      <c r="R245" s="48" t="n">
        <v>15625000</v>
      </c>
      <c r="S245" s="43" t="n">
        <v>81.6</v>
      </c>
      <c r="U245" s="43" t="n">
        <v>84.8</v>
      </c>
      <c r="X245" s="49" t="n">
        <f aca="false">+IF(ISNUMBER($S245),$S245,MIN($V245,$T245,$U245,$W245))</f>
        <v>81.6</v>
      </c>
      <c r="Y245" s="48" t="n">
        <v>0.0064</v>
      </c>
      <c r="Z245" s="71" t="n">
        <v>500000000</v>
      </c>
      <c r="AA245" s="50" t="n">
        <f aca="false">Z245/AB245</f>
        <v>16</v>
      </c>
      <c r="AB245" s="48" t="n">
        <f aca="false">2*15625000</f>
        <v>31250000</v>
      </c>
      <c r="AD245" s="107" t="n">
        <f aca="false">Y245/AB245*1000000000000</f>
        <v>204.8</v>
      </c>
      <c r="AE245" s="49" t="str">
        <f aca="false">IF(ISNUMBER($Q245),$AD245*1000/2^(($Q245-1.76)/6.02), "")</f>
        <v/>
      </c>
      <c r="AF245" s="49" t="n">
        <f aca="false">$AD245*1000/2^(($X245-1.76)/6.02)</f>
        <v>20.8416518077633</v>
      </c>
      <c r="AG245" s="49" t="str">
        <f aca="false">IF(ISNUMBER($Q245), $Q245+10*LOG10($AB245/2/$Y245), "")</f>
        <v/>
      </c>
      <c r="AH245" s="49" t="n">
        <f aca="false">$X245+10*LOG10($AB245/2/$Y245)</f>
        <v>175.476400520322</v>
      </c>
      <c r="AI245" s="48" t="n">
        <f aca="false">AF245/AB245</f>
        <v>6.66932857848425E-007</v>
      </c>
      <c r="AJ245" s="41" t="n">
        <f aca="false">AH245+10*LOG10(AB245)</f>
        <v>250.424900737123</v>
      </c>
    </row>
    <row r="246" customFormat="false" ht="12.75" hidden="false" customHeight="false" outlineLevel="0" collapsed="false">
      <c r="A246" s="43" t="n">
        <v>2022</v>
      </c>
      <c r="B246" s="56" t="s">
        <v>2924</v>
      </c>
      <c r="C246" s="43" t="s">
        <v>139</v>
      </c>
      <c r="D246" s="43" t="s">
        <v>112</v>
      </c>
      <c r="E246" s="43" t="n">
        <v>0.04</v>
      </c>
      <c r="F246" s="45" t="s">
        <v>2925</v>
      </c>
      <c r="G246" s="45" t="s">
        <v>2926</v>
      </c>
      <c r="H246" s="45" t="s">
        <v>2927</v>
      </c>
      <c r="I246" s="45" t="s">
        <v>2928</v>
      </c>
      <c r="J246" s="113" t="str">
        <f aca="false">IF(I246&lt;&gt;"?", HYPERLINK(CONCATENATE("https://doi.org/",I246)), "")</f>
        <v>https://doi.org/10.1109/VLSITechnologyandCir46769.2022.9830166</v>
      </c>
      <c r="K246" s="45" t="s">
        <v>117</v>
      </c>
      <c r="L246" s="69" t="n">
        <v>1.1</v>
      </c>
      <c r="M246" s="69"/>
      <c r="N246" s="69"/>
      <c r="O246" s="43"/>
      <c r="P246" s="43" t="n">
        <v>0.48</v>
      </c>
      <c r="R246" s="48" t="n">
        <v>100000</v>
      </c>
      <c r="S246" s="43" t="n">
        <v>98.3</v>
      </c>
      <c r="T246" s="43" t="n">
        <v>99.3</v>
      </c>
      <c r="U246" s="43" t="n">
        <v>108.5</v>
      </c>
      <c r="X246" s="49" t="n">
        <f aca="false">+IF(ISNUMBER($S246),$S246,MIN($V246,$T246,$U246,$W246))</f>
        <v>98.3</v>
      </c>
      <c r="Y246" s="48" t="n">
        <v>0.001998</v>
      </c>
      <c r="Z246" s="71" t="n">
        <v>12800000</v>
      </c>
      <c r="AA246" s="50" t="n">
        <f aca="false">Z246/AB246</f>
        <v>64</v>
      </c>
      <c r="AB246" s="48" t="n">
        <v>200000</v>
      </c>
      <c r="AD246" s="107" t="n">
        <f aca="false">Y246/AB246*1000000000000</f>
        <v>9990</v>
      </c>
      <c r="AE246" s="49" t="str">
        <f aca="false">IF(ISNUMBER($Q246),$AD246*1000/2^(($Q246-1.76)/6.02), "")</f>
        <v/>
      </c>
      <c r="AF246" s="49" t="n">
        <f aca="false">$AD246*1000/2^(($X246-1.76)/6.02)</f>
        <v>148.622465455244</v>
      </c>
      <c r="AG246" s="49" t="str">
        <f aca="false">IF(ISNUMBER($Q246), $Q246+10*LOG10($AB246/2/$Y246), "")</f>
        <v/>
      </c>
      <c r="AH246" s="49" t="n">
        <f aca="false">$X246+10*LOG10($AB246/2/$Y246)</f>
        <v>175.2940451611</v>
      </c>
      <c r="AI246" s="48" t="n">
        <f aca="false">AF246/AB246</f>
        <v>0.000743112327276222</v>
      </c>
      <c r="AJ246" s="41" t="n">
        <f aca="false">AH246+10*LOG10(AB246)</f>
        <v>228.30434511774</v>
      </c>
    </row>
    <row r="247" customFormat="false" ht="12.75" hidden="false" customHeight="false" outlineLevel="0" collapsed="false">
      <c r="A247" s="43" t="n">
        <v>2022</v>
      </c>
      <c r="B247" s="56" t="s">
        <v>2929</v>
      </c>
      <c r="C247" s="43" t="s">
        <v>139</v>
      </c>
      <c r="D247" s="43" t="s">
        <v>2930</v>
      </c>
      <c r="E247" s="43" t="n">
        <v>0.065</v>
      </c>
      <c r="F247" s="45" t="s">
        <v>2931</v>
      </c>
      <c r="G247" s="45" t="s">
        <v>2932</v>
      </c>
      <c r="H247" s="45" t="s">
        <v>2933</v>
      </c>
      <c r="I247" s="45" t="s">
        <v>2934</v>
      </c>
      <c r="J247" s="113" t="str">
        <f aca="false">IF(I247&lt;&gt;"?", HYPERLINK(CONCATENATE("https://doi.org/",I247)), "")</f>
        <v>https://doi.org/10.1109/VLSITechnologyandCir46769.2022.9830373</v>
      </c>
      <c r="K247" s="45" t="s">
        <v>117</v>
      </c>
      <c r="L247" s="69" t="n">
        <v>1.1</v>
      </c>
      <c r="M247" s="69" t="n">
        <v>0.7</v>
      </c>
      <c r="N247" s="69"/>
      <c r="O247" s="43"/>
      <c r="P247" s="43" t="n">
        <v>0.03</v>
      </c>
      <c r="R247" s="48" t="n">
        <v>62500</v>
      </c>
      <c r="S247" s="43" t="n">
        <v>77.3</v>
      </c>
      <c r="W247" s="43" t="n">
        <v>86</v>
      </c>
      <c r="X247" s="49" t="n">
        <f aca="false">+IF(ISNUMBER($S247),$S247,MIN($V247,$T247,$U247,$W247))</f>
        <v>77.3</v>
      </c>
      <c r="Y247" s="48" t="n">
        <v>1.35E-005</v>
      </c>
      <c r="Z247" s="71" t="n">
        <v>2000000</v>
      </c>
      <c r="AA247" s="50" t="n">
        <f aca="false">Z247/AB247</f>
        <v>16</v>
      </c>
      <c r="AB247" s="48" t="n">
        <v>125000</v>
      </c>
      <c r="AD247" s="107" t="n">
        <f aca="false">Y247/AB247*1000000000000</f>
        <v>108</v>
      </c>
      <c r="AE247" s="49" t="str">
        <f aca="false">IF(ISNUMBER($Q247),$AD247*1000/2^(($Q247-1.76)/6.02), "")</f>
        <v/>
      </c>
      <c r="AF247" s="49" t="n">
        <f aca="false">$AD247*1000/2^(($X247-1.76)/6.02)</f>
        <v>18.0321439101068</v>
      </c>
      <c r="AG247" s="49" t="str">
        <f aca="false">IF(ISNUMBER($Q247), $Q247+10*LOG10($AB247/2/$Y247), "")</f>
        <v/>
      </c>
      <c r="AH247" s="49" t="n">
        <f aca="false">$X247+10*LOG10($AB247/2/$Y247)</f>
        <v>173.955462488491</v>
      </c>
      <c r="AI247" s="48" t="n">
        <f aca="false">AF247/AB247</f>
        <v>0.000144257151280855</v>
      </c>
      <c r="AJ247" s="41" t="n">
        <f aca="false">AH247+10*LOG10(AB247)</f>
        <v>224.924562618571</v>
      </c>
    </row>
    <row r="248" customFormat="false" ht="12.75" hidden="false" customHeight="false" outlineLevel="0" collapsed="false">
      <c r="A248" s="43" t="n">
        <v>2022</v>
      </c>
      <c r="B248" s="56" t="s">
        <v>2935</v>
      </c>
      <c r="C248" s="43" t="s">
        <v>111</v>
      </c>
      <c r="D248" s="43" t="s">
        <v>1506</v>
      </c>
      <c r="E248" s="43" t="n">
        <v>0.065</v>
      </c>
      <c r="F248" s="45" t="s">
        <v>2936</v>
      </c>
      <c r="G248" s="45" t="s">
        <v>2937</v>
      </c>
      <c r="H248" s="45" t="s">
        <v>2938</v>
      </c>
      <c r="I248" s="45" t="s">
        <v>2939</v>
      </c>
      <c r="J248" s="113" t="str">
        <f aca="false">IF(I248&lt;&gt;"?", HYPERLINK(CONCATENATE("https://doi.org/",I248)), "")</f>
        <v>https://doi.org/10.1109/VLSITechnologyandCir46769.2022.9830300</v>
      </c>
      <c r="K248" s="45" t="s">
        <v>117</v>
      </c>
      <c r="L248" s="69" t="n">
        <v>0.85</v>
      </c>
      <c r="M248" s="69"/>
      <c r="N248" s="69"/>
      <c r="O248" s="43"/>
      <c r="P248" s="43" t="n">
        <v>0.049</v>
      </c>
      <c r="R248" s="48" t="n">
        <v>24000000</v>
      </c>
      <c r="S248" s="41" t="n">
        <v>65</v>
      </c>
      <c r="X248" s="49" t="n">
        <f aca="false">+IF(ISNUMBER($S248),$S248,MIN($V248,$T248,$U248,$W248))</f>
        <v>65</v>
      </c>
      <c r="Y248" s="48" t="n">
        <v>0.00046</v>
      </c>
      <c r="Z248" s="71" t="n">
        <v>50000000</v>
      </c>
      <c r="AA248" s="50" t="n">
        <f aca="false">Z248/AB248</f>
        <v>1</v>
      </c>
      <c r="AB248" s="48" t="n">
        <v>50000000</v>
      </c>
      <c r="AD248" s="107" t="n">
        <f aca="false">Y248/AB248*1000000000000</f>
        <v>9.2</v>
      </c>
      <c r="AE248" s="49" t="str">
        <f aca="false">IF(ISNUMBER($Q248),$AD248*1000/2^(($Q248-1.76)/6.02), "")</f>
        <v/>
      </c>
      <c r="AF248" s="49" t="n">
        <f aca="false">$AD248*1000/2^(($X248-1.76)/6.02)</f>
        <v>6.33100597498336</v>
      </c>
      <c r="AG248" s="49" t="str">
        <f aca="false">IF(ISNUMBER($Q248), $Q248+10*LOG10($AB248/2/$Y248), "")</f>
        <v/>
      </c>
      <c r="AH248" s="49" t="n">
        <f aca="false">$X248+10*LOG10($AB248/2/$Y248)</f>
        <v>172.351821769905</v>
      </c>
      <c r="AI248" s="48" t="n">
        <f aca="false">AF248/AB248</f>
        <v>1.26620119499667E-007</v>
      </c>
      <c r="AJ248" s="41" t="n">
        <f aca="false">AH248+10*LOG10(AB248)</f>
        <v>249.341521813265</v>
      </c>
    </row>
    <row r="249" customFormat="false" ht="12.75" hidden="false" customHeight="false" outlineLevel="0" collapsed="false">
      <c r="A249" s="43" t="n">
        <v>2022</v>
      </c>
      <c r="B249" s="56" t="s">
        <v>2940</v>
      </c>
      <c r="C249" s="43" t="s">
        <v>111</v>
      </c>
      <c r="D249" s="43" t="s">
        <v>112</v>
      </c>
      <c r="E249" s="43" t="n">
        <v>0.008</v>
      </c>
      <c r="F249" s="45" t="s">
        <v>2941</v>
      </c>
      <c r="G249" s="45" t="s">
        <v>2942</v>
      </c>
      <c r="H249" s="45" t="s">
        <v>2943</v>
      </c>
      <c r="I249" s="45" t="s">
        <v>2944</v>
      </c>
      <c r="J249" s="113" t="str">
        <f aca="false">IF(I249&lt;&gt;"?", HYPERLINK(CONCATENATE("https://doi.org/",I249)), "")</f>
        <v>https://doi.org/10.1109/VLSITechnologyandCir46769.2022.9830180</v>
      </c>
      <c r="K249" s="45" t="s">
        <v>117</v>
      </c>
      <c r="L249" s="69" t="n">
        <v>0.8</v>
      </c>
      <c r="M249" s="69"/>
      <c r="N249" s="69"/>
      <c r="O249" s="43"/>
      <c r="P249" s="43" t="n">
        <v>0.0036</v>
      </c>
      <c r="Q249" s="43" t="n">
        <v>63.6</v>
      </c>
      <c r="R249" s="48" t="n">
        <v>100000000</v>
      </c>
      <c r="S249" s="41" t="n">
        <v>62</v>
      </c>
      <c r="W249" s="43" t="n">
        <v>78.1</v>
      </c>
      <c r="X249" s="49" t="n">
        <f aca="false">+IF(ISNUMBER($S249),$S249,MIN($V249,$T249,$U249,$W249))</f>
        <v>62</v>
      </c>
      <c r="Y249" s="48" t="n">
        <v>0.00056</v>
      </c>
      <c r="Z249" s="71" t="n">
        <v>250000000</v>
      </c>
      <c r="AA249" s="50" t="n">
        <f aca="false">Z249/AB249</f>
        <v>1</v>
      </c>
      <c r="AB249" s="48" t="n">
        <v>250000000</v>
      </c>
      <c r="AD249" s="107" t="n">
        <f aca="false">Y249/AB249*1000000000000</f>
        <v>2.24</v>
      </c>
      <c r="AE249" s="49" t="n">
        <f aca="false">IF(ISNUMBER($Q249),$AD249*1000/2^(($Q249-1.76)/6.02), "")</f>
        <v>1.81108940579533</v>
      </c>
      <c r="AF249" s="49" t="n">
        <f aca="false">$AD249*1000/2^(($X249-1.76)/6.02)</f>
        <v>2.17744835118006</v>
      </c>
      <c r="AG249" s="49" t="n">
        <f aca="false">IF(ISNUMBER($Q249), $Q249+10*LOG10($AB249/2/$Y249), "")</f>
        <v>177.087219860019</v>
      </c>
      <c r="AH249" s="49" t="n">
        <f aca="false">$X249+10*LOG10($AB249/2/$Y249)</f>
        <v>175.487219860019</v>
      </c>
      <c r="AI249" s="48" t="n">
        <f aca="false">AF249/AB249</f>
        <v>8.70979340472026E-009</v>
      </c>
      <c r="AJ249" s="41" t="n">
        <f aca="false">AH249+10*LOG10(AB249)</f>
        <v>259.466619946739</v>
      </c>
    </row>
    <row r="250" customFormat="false" ht="12.75" hidden="false" customHeight="false" outlineLevel="0" collapsed="false">
      <c r="A250" s="43" t="n">
        <v>2022</v>
      </c>
      <c r="B250" s="56" t="s">
        <v>2945</v>
      </c>
      <c r="C250" s="43" t="s">
        <v>111</v>
      </c>
      <c r="D250" s="43" t="s">
        <v>1884</v>
      </c>
      <c r="E250" s="43" t="n">
        <v>0.028</v>
      </c>
      <c r="F250" s="45" t="s">
        <v>2946</v>
      </c>
      <c r="G250" s="45" t="s">
        <v>2947</v>
      </c>
      <c r="H250" s="45" t="s">
        <v>2948</v>
      </c>
      <c r="I250" s="45" t="s">
        <v>2949</v>
      </c>
      <c r="J250" s="113" t="str">
        <f aca="false">IF(I250&lt;&gt;"?", HYPERLINK(CONCATENATE("https://doi.org/",I250)), "")</f>
        <v>https://doi.org/10.1109/VLSITechnologyandCir46769.2022.9830239</v>
      </c>
      <c r="K250" s="45" t="s">
        <v>117</v>
      </c>
      <c r="L250" s="69" t="n">
        <v>1</v>
      </c>
      <c r="M250" s="69"/>
      <c r="N250" s="69"/>
      <c r="O250" s="43"/>
      <c r="P250" s="43" t="n">
        <v>0.024</v>
      </c>
      <c r="Q250" s="43" t="n">
        <v>45</v>
      </c>
      <c r="R250" s="48" t="n">
        <v>1150000000</v>
      </c>
      <c r="S250" s="43" t="n">
        <v>44.8</v>
      </c>
      <c r="W250" s="43" t="n">
        <v>60.6</v>
      </c>
      <c r="X250" s="49" t="n">
        <f aca="false">+IF(ISNUMBER($S250),$S250,MIN($V250,$T250,$U250,$W250))</f>
        <v>44.8</v>
      </c>
      <c r="Y250" s="48" t="n">
        <v>0.0035</v>
      </c>
      <c r="Z250" s="71" t="n">
        <v>2500000000</v>
      </c>
      <c r="AA250" s="50" t="n">
        <f aca="false">Z250/AB250</f>
        <v>1</v>
      </c>
      <c r="AB250" s="48" t="n">
        <v>2500000000</v>
      </c>
      <c r="AD250" s="107" t="n">
        <f aca="false">Y250/AB250*1000000000000</f>
        <v>1.4</v>
      </c>
      <c r="AE250" s="49" t="n">
        <f aca="false">IF(ISNUMBER($Q250),$AD250*1000/2^(($Q250-1.76)/6.02), "")</f>
        <v>9.6363504339329</v>
      </c>
      <c r="AF250" s="49" t="n">
        <f aca="false">$AD250*1000/2^(($X250-1.76)/6.02)</f>
        <v>9.86083249688105</v>
      </c>
      <c r="AG250" s="49" t="n">
        <f aca="false">IF(ISNUMBER($Q250), $Q250+10*LOG10($AB250/2/$Y250), "")</f>
        <v>160.528419686578</v>
      </c>
      <c r="AH250" s="49" t="n">
        <f aca="false">$X250+10*LOG10($AB250/2/$Y250)</f>
        <v>160.328419686578</v>
      </c>
      <c r="AI250" s="48" t="n">
        <f aca="false">AF250/AB250</f>
        <v>3.94433299875242E-009</v>
      </c>
      <c r="AJ250" s="41" t="n">
        <f aca="false">AH250+10*LOG10(AB250)</f>
        <v>254.307819773298</v>
      </c>
    </row>
    <row r="251" customFormat="false" ht="12.75" hidden="false" customHeight="false" outlineLevel="0" collapsed="false">
      <c r="A251" s="43" t="n">
        <v>2022</v>
      </c>
      <c r="B251" s="56" t="s">
        <v>2950</v>
      </c>
      <c r="C251" s="43" t="s">
        <v>111</v>
      </c>
      <c r="D251" s="43" t="s">
        <v>112</v>
      </c>
      <c r="E251" s="43" t="n">
        <v>0.065</v>
      </c>
      <c r="F251" s="45" t="s">
        <v>2951</v>
      </c>
      <c r="G251" s="45" t="s">
        <v>2952</v>
      </c>
      <c r="H251" s="45" t="s">
        <v>2953</v>
      </c>
      <c r="I251" s="45" t="s">
        <v>2954</v>
      </c>
      <c r="J251" s="113" t="str">
        <f aca="false">IF(I251&lt;&gt;"?", HYPERLINK(CONCATENATE("https://doi.org/",I251)), "")</f>
        <v>https://doi.org/10.1109/VLSITechnologyandCir46769.2022.9830365</v>
      </c>
      <c r="K251" s="45" t="s">
        <v>117</v>
      </c>
      <c r="L251" s="69" t="n">
        <v>1.2</v>
      </c>
      <c r="M251" s="69"/>
      <c r="N251" s="69"/>
      <c r="O251" s="43"/>
      <c r="P251" s="43" t="n">
        <v>0.072</v>
      </c>
      <c r="R251" s="48" t="n">
        <v>12400000</v>
      </c>
      <c r="S251" s="43" t="n">
        <v>67.53</v>
      </c>
      <c r="W251" s="43" t="n">
        <v>86.6</v>
      </c>
      <c r="X251" s="49" t="n">
        <f aca="false">+IF(ISNUMBER($S251),$S251,MIN($V251,$T251,$U251,$W251))</f>
        <v>67.53</v>
      </c>
      <c r="Y251" s="48" t="n">
        <f aca="false">0.0000000000000113*Z251*2^10.92</f>
        <v>0.000547351112089561</v>
      </c>
      <c r="Z251" s="71" t="n">
        <v>25000000</v>
      </c>
      <c r="AA251" s="50" t="n">
        <f aca="false">Z251/AB251</f>
        <v>1</v>
      </c>
      <c r="AB251" s="48" t="n">
        <v>25000000</v>
      </c>
      <c r="AD251" s="107" t="n">
        <f aca="false">Y251/AB251*1000000000000</f>
        <v>21.8940444835824</v>
      </c>
      <c r="AE251" s="49" t="str">
        <f aca="false">IF(ISNUMBER($Q251),$AD251*1000/2^(($Q251-1.76)/6.02), "")</f>
        <v/>
      </c>
      <c r="AF251" s="49" t="n">
        <f aca="false">$AD251*1000/2^(($X251-1.76)/6.02)</f>
        <v>11.258960254708</v>
      </c>
      <c r="AG251" s="49" t="str">
        <f aca="false">IF(ISNUMBER($Q251), $Q251+10*LOG10($AB251/2/$Y251), "")</f>
        <v/>
      </c>
      <c r="AH251" s="49" t="n">
        <f aca="false">$X251+10*LOG10($AB251/2/$Y251)</f>
        <v>171.116440082019</v>
      </c>
      <c r="AI251" s="48" t="n">
        <f aca="false">AF251/AB251</f>
        <v>4.50358410188321E-007</v>
      </c>
      <c r="AJ251" s="41" t="n">
        <f aca="false">AH251+10*LOG10(AB251)</f>
        <v>245.09584016874</v>
      </c>
    </row>
    <row r="252" customFormat="false" ht="12.75" hidden="false" customHeight="false" outlineLevel="0" collapsed="false">
      <c r="A252" s="43" t="n">
        <v>2022</v>
      </c>
      <c r="B252" s="56" t="s">
        <v>2955</v>
      </c>
      <c r="C252" s="43" t="s">
        <v>111</v>
      </c>
      <c r="D252" s="43" t="s">
        <v>112</v>
      </c>
      <c r="E252" s="43" t="n">
        <v>0.065</v>
      </c>
      <c r="F252" s="45" t="s">
        <v>2956</v>
      </c>
      <c r="G252" s="45" t="s">
        <v>2957</v>
      </c>
      <c r="H252" s="45" t="s">
        <v>2958</v>
      </c>
      <c r="I252" s="45" t="s">
        <v>2959</v>
      </c>
      <c r="J252" s="113" t="str">
        <f aca="false">IF(I252&lt;&gt;"?", HYPERLINK(CONCATENATE("https://doi.org/",I252)), "")</f>
        <v>https://doi.org/10.1109/VLSITechnologyandCir46769.2022.9830235</v>
      </c>
      <c r="K252" s="45" t="s">
        <v>117</v>
      </c>
      <c r="L252" s="69"/>
      <c r="M252" s="69"/>
      <c r="N252" s="69"/>
      <c r="O252" s="43"/>
      <c r="P252" s="43" t="n">
        <v>0</v>
      </c>
      <c r="R252" s="48" t="n">
        <v>10400</v>
      </c>
      <c r="S252" s="69" t="n">
        <f aca="false">9.7*6.02+1.76</f>
        <v>60.154</v>
      </c>
      <c r="X252" s="49" t="n">
        <f aca="false">+IF(ISNUMBER($S252),$S252,MIN($V252,$T252,$U252,$W252))</f>
        <v>60.154</v>
      </c>
      <c r="Y252" s="48" t="n">
        <f aca="false">0.1*0.0000532</f>
        <v>5.32E-006</v>
      </c>
      <c r="Z252" s="71" t="n">
        <v>20800</v>
      </c>
      <c r="AA252" s="50" t="n">
        <f aca="false">Z252/AB252</f>
        <v>1</v>
      </c>
      <c r="AB252" s="48" t="n">
        <v>20800</v>
      </c>
      <c r="AD252" s="107" t="n">
        <f aca="false">Y252/AB252*1000000000000</f>
        <v>255.769230769231</v>
      </c>
      <c r="AE252" s="49" t="str">
        <f aca="false">IF(ISNUMBER($Q252),$AD252*1000/2^(($Q252-1.76)/6.02), "")</f>
        <v/>
      </c>
      <c r="AF252" s="49" t="n">
        <f aca="false">$AD252*1000/2^(($X252-1.76)/6.02)</f>
        <v>307.508651920962</v>
      </c>
      <c r="AG252" s="49" t="str">
        <f aca="false">IF(ISNUMBER($Q252), $Q252+10*LOG10($AB252/2/$Y252), "")</f>
        <v/>
      </c>
      <c r="AH252" s="49" t="n">
        <f aca="false">$X252+10*LOG10($AB252/2/$Y252)</f>
        <v>153.065217070037</v>
      </c>
      <c r="AI252" s="48" t="n">
        <f aca="false">AF252/AB252</f>
        <v>0.0147840698038924</v>
      </c>
      <c r="AJ252" s="41" t="n">
        <f aca="false">AH252+10*LOG10(AB252)</f>
        <v>196.245850419665</v>
      </c>
    </row>
    <row r="253" customFormat="false" ht="12.75" hidden="false" customHeight="false" outlineLevel="0" collapsed="false">
      <c r="A253" s="43" t="n">
        <v>2022</v>
      </c>
      <c r="B253" s="56" t="s">
        <v>2960</v>
      </c>
      <c r="C253" s="43" t="s">
        <v>111</v>
      </c>
      <c r="D253" s="43" t="s">
        <v>548</v>
      </c>
      <c r="E253" s="43" t="n">
        <v>0.004</v>
      </c>
      <c r="F253" s="45" t="s">
        <v>2961</v>
      </c>
      <c r="G253" s="45" t="s">
        <v>2962</v>
      </c>
      <c r="H253" s="45" t="s">
        <v>2963</v>
      </c>
      <c r="I253" s="45" t="s">
        <v>2964</v>
      </c>
      <c r="J253" s="113" t="str">
        <f aca="false">IF(I253&lt;&gt;"?", HYPERLINK(CONCATENATE("https://doi.org/",I253)), "")</f>
        <v>https://doi.org/10.1109/VLSITechnologyandCir46769.2022.9830308</v>
      </c>
      <c r="K253" s="45" t="s">
        <v>117</v>
      </c>
      <c r="L253" s="69" t="n">
        <v>0.8</v>
      </c>
      <c r="M253" s="69"/>
      <c r="N253" s="69"/>
      <c r="O253" s="43"/>
      <c r="P253" s="43" t="n">
        <v>0.078</v>
      </c>
      <c r="Q253" s="43" t="n">
        <v>41</v>
      </c>
      <c r="R253" s="48" t="n">
        <v>26900000000</v>
      </c>
      <c r="S253" s="41" t="n">
        <v>32.8</v>
      </c>
      <c r="V253" s="43" t="n">
        <v>40</v>
      </c>
      <c r="W253" s="43" t="n">
        <v>42</v>
      </c>
      <c r="X253" s="49" t="n">
        <f aca="false">+IF(ISNUMBER($S253),$S253,MIN($V253,$T253,$U253,$W253))</f>
        <v>32.8</v>
      </c>
      <c r="Y253" s="48" t="n">
        <v>0.24</v>
      </c>
      <c r="Z253" s="71" t="n">
        <v>56000000000</v>
      </c>
      <c r="AA253" s="50" t="n">
        <f aca="false">Z253/AB253</f>
        <v>1</v>
      </c>
      <c r="AB253" s="48" t="n">
        <v>56000000000</v>
      </c>
      <c r="AD253" s="107" t="n">
        <f aca="false">Y253/AB253*1000000000000</f>
        <v>4.28571428571429</v>
      </c>
      <c r="AE253" s="49" t="n">
        <f aca="false">IF(ISNUMBER($Q253),$AD253*1000/2^(($Q253-1.76)/6.02), "")</f>
        <v>46.7549605396602</v>
      </c>
      <c r="AF253" s="49" t="n">
        <f aca="false">$AD253*1000/2^(($X253-1.76)/6.02)</f>
        <v>120.190060193193</v>
      </c>
      <c r="AG253" s="49" t="n">
        <f aca="false">IF(ISNUMBER($Q253), $Q253+10*LOG10($AB253/2/$Y253), "")</f>
        <v>151.669467896306</v>
      </c>
      <c r="AH253" s="49" t="n">
        <f aca="false">$X253+10*LOG10($AB253/2/$Y253)</f>
        <v>143.469467896306</v>
      </c>
      <c r="AI253" s="48" t="n">
        <f aca="false">AF253/AB253</f>
        <v>2.14625107487845E-009</v>
      </c>
      <c r="AJ253" s="41" t="n">
        <f aca="false">AH253+10*LOG10(AB253)</f>
        <v>250.951348166368</v>
      </c>
    </row>
    <row r="254" customFormat="false" ht="12.75" hidden="false" customHeight="false" outlineLevel="0" collapsed="false">
      <c r="A254" s="43" t="n">
        <v>2022</v>
      </c>
      <c r="B254" s="56" t="s">
        <v>2909</v>
      </c>
      <c r="C254" s="43" t="s">
        <v>111</v>
      </c>
      <c r="D254" s="43" t="s">
        <v>548</v>
      </c>
      <c r="E254" s="43" t="n">
        <v>0.022</v>
      </c>
      <c r="F254" s="45" t="s">
        <v>2965</v>
      </c>
      <c r="G254" s="45" t="s">
        <v>2966</v>
      </c>
      <c r="H254" s="45" t="s">
        <v>2967</v>
      </c>
      <c r="I254" s="45" t="s">
        <v>2968</v>
      </c>
      <c r="J254" s="113" t="str">
        <f aca="false">IF(I254&lt;&gt;"?", HYPERLINK(CONCATENATE("https://doi.org/",I254)), "")</f>
        <v>https://doi.org/10.1109/VLSITechnologyandCir46769.2022.9830329</v>
      </c>
      <c r="K254" s="45" t="s">
        <v>117</v>
      </c>
      <c r="L254" s="69" t="n">
        <v>1.2</v>
      </c>
      <c r="M254" s="69" t="n">
        <v>1</v>
      </c>
      <c r="N254" s="69"/>
      <c r="O254" s="43"/>
      <c r="P254" s="43" t="n">
        <v>0.0045</v>
      </c>
      <c r="Q254" s="43" t="n">
        <v>38</v>
      </c>
      <c r="R254" s="48" t="n">
        <v>1900000000</v>
      </c>
      <c r="S254" s="43" t="n">
        <v>38</v>
      </c>
      <c r="W254" s="43" t="n">
        <v>50.9</v>
      </c>
      <c r="X254" s="49" t="n">
        <f aca="false">+IF(ISNUMBER($S254),$S254,MIN($V254,$T254,$U254,$W254))</f>
        <v>38</v>
      </c>
      <c r="Y254" s="48" t="n">
        <v>0.006</v>
      </c>
      <c r="Z254" s="71" t="n">
        <v>3800000000</v>
      </c>
      <c r="AA254" s="50" t="n">
        <f aca="false">Z254/AB254</f>
        <v>1</v>
      </c>
      <c r="AB254" s="48" t="n">
        <v>3800000000</v>
      </c>
      <c r="AD254" s="107" t="n">
        <f aca="false">Y254/AB254*1000000000000</f>
        <v>1.57894736842105</v>
      </c>
      <c r="AE254" s="49" t="n">
        <f aca="false">IF(ISNUMBER($Q254),$AD254*1000/2^(($Q254-1.76)/6.02), "")</f>
        <v>24.3325195993387</v>
      </c>
      <c r="AF254" s="49" t="n">
        <f aca="false">$AD254*1000/2^(($X254-1.76)/6.02)</f>
        <v>24.3325195993387</v>
      </c>
      <c r="AG254" s="49" t="n">
        <f aca="false">IF(ISNUMBER($Q254), $Q254+10*LOG10($AB254/2/$Y254), "")</f>
        <v>153.006023505692</v>
      </c>
      <c r="AH254" s="49" t="n">
        <f aca="false">$X254+10*LOG10($AB254/2/$Y254)</f>
        <v>153.006023505692</v>
      </c>
      <c r="AI254" s="48" t="n">
        <f aca="false">AF254/AB254</f>
        <v>6.40329463140492E-009</v>
      </c>
      <c r="AJ254" s="41" t="n">
        <f aca="false">AH254+10*LOG10(AB254)</f>
        <v>248.80385947186</v>
      </c>
    </row>
    <row r="255" customFormat="false" ht="12.75" hidden="false" customHeight="false" outlineLevel="0" collapsed="false">
      <c r="A255" s="43" t="n">
        <v>2022</v>
      </c>
      <c r="B255" s="56" t="s">
        <v>2969</v>
      </c>
      <c r="C255" s="43" t="s">
        <v>111</v>
      </c>
      <c r="D255" s="43" t="s">
        <v>2970</v>
      </c>
      <c r="E255" s="43" t="n">
        <v>0.005</v>
      </c>
      <c r="F255" s="45" t="s">
        <v>2971</v>
      </c>
      <c r="G255" s="45" t="s">
        <v>2972</v>
      </c>
      <c r="H255" s="45" t="s">
        <v>2973</v>
      </c>
      <c r="I255" s="45" t="s">
        <v>2974</v>
      </c>
      <c r="J255" s="113" t="str">
        <f aca="false">IF(I255&lt;&gt;"?", HYPERLINK(CONCATENATE("https://doi.org/",I255)), "")</f>
        <v>https://doi.org/10.1109/VLSITechnologyandCir46769.2022.9830208</v>
      </c>
      <c r="K255" s="45" t="s">
        <v>2975</v>
      </c>
      <c r="L255" s="69" t="n">
        <v>0.85</v>
      </c>
      <c r="M255" s="69"/>
      <c r="N255" s="69"/>
      <c r="O255" s="43"/>
      <c r="P255" s="43" t="n">
        <f aca="false">2.1/2</f>
        <v>1.05</v>
      </c>
      <c r="R255" s="48" t="n">
        <v>4800000000</v>
      </c>
      <c r="S255" s="43" t="n">
        <v>48</v>
      </c>
      <c r="W255" s="43" t="n">
        <v>61</v>
      </c>
      <c r="X255" s="49" t="n">
        <f aca="false">+IF(ISNUMBER($S255),$S255,MIN($V255,$T255,$U255,$W255))</f>
        <v>48</v>
      </c>
      <c r="Y255" s="48" t="n">
        <v>0.625</v>
      </c>
      <c r="Z255" s="71" t="n">
        <v>10000000000</v>
      </c>
      <c r="AA255" s="50" t="n">
        <f aca="false">Z255/AB255</f>
        <v>1</v>
      </c>
      <c r="AB255" s="48" t="n">
        <v>10000000000</v>
      </c>
      <c r="AD255" s="107" t="n">
        <f aca="false">Y255/AB255*1000000000000</f>
        <v>62.5</v>
      </c>
      <c r="AE255" s="49" t="str">
        <f aca="false">IF(ISNUMBER($Q255),$AD255*1000/2^(($Q255-1.76)/6.02), "")</f>
        <v/>
      </c>
      <c r="AF255" s="49" t="n">
        <f aca="false">$AD255*1000/2^(($X255-1.76)/6.02)</f>
        <v>304.543699255976</v>
      </c>
      <c r="AG255" s="49" t="str">
        <f aca="false">IF(ISNUMBER($Q255), $Q255+10*LOG10($AB255/2/$Y255), "")</f>
        <v/>
      </c>
      <c r="AH255" s="49" t="n">
        <f aca="false">$X255+10*LOG10($AB255/2/$Y255)</f>
        <v>147.030899869919</v>
      </c>
      <c r="AI255" s="48" t="n">
        <f aca="false">AF255/AB255</f>
        <v>3.04543699255976E-008</v>
      </c>
      <c r="AJ255" s="41" t="n">
        <f aca="false">AH255+10*LOG10(AB255)</f>
        <v>247.030899869919</v>
      </c>
    </row>
    <row r="256" customFormat="false" ht="12.75" hidden="false" customHeight="false" outlineLevel="0" collapsed="false">
      <c r="A256" s="43" t="n">
        <v>2022</v>
      </c>
      <c r="B256" s="56" t="s">
        <v>2976</v>
      </c>
      <c r="C256" s="43" t="s">
        <v>111</v>
      </c>
      <c r="D256" s="43" t="s">
        <v>2977</v>
      </c>
      <c r="E256" s="43" t="n">
        <v>0.028</v>
      </c>
      <c r="F256" s="45" t="s">
        <v>2978</v>
      </c>
      <c r="G256" s="45" t="s">
        <v>2979</v>
      </c>
      <c r="H256" s="45" t="s">
        <v>2980</v>
      </c>
      <c r="I256" s="45" t="s">
        <v>2981</v>
      </c>
      <c r="J256" s="113" t="str">
        <f aca="false">IF(I256&lt;&gt;"?", HYPERLINK(CONCATENATE("https://doi.org/",I256)), "")</f>
        <v>https://doi.org/10.1109/VLSITechnologyandCir46769.2022.9830416</v>
      </c>
      <c r="K256" s="45" t="s">
        <v>117</v>
      </c>
      <c r="L256" s="69" t="n">
        <v>1</v>
      </c>
      <c r="M256" s="69"/>
      <c r="N256" s="69"/>
      <c r="O256" s="43"/>
      <c r="P256" s="43" t="n">
        <v>0.15</v>
      </c>
      <c r="Q256" s="43" t="n">
        <v>52</v>
      </c>
      <c r="R256" s="48" t="n">
        <v>700000000</v>
      </c>
      <c r="S256" s="43" t="n">
        <v>48</v>
      </c>
      <c r="X256" s="49" t="n">
        <f aca="false">+IF(ISNUMBER($S256),$S256,MIN($V256,$T256,$U256,$W256))</f>
        <v>48</v>
      </c>
      <c r="Y256" s="48" t="n">
        <v>0.00986</v>
      </c>
      <c r="Z256" s="71" t="n">
        <v>1400000000</v>
      </c>
      <c r="AA256" s="50" t="n">
        <f aca="false">Z256/AB256</f>
        <v>1</v>
      </c>
      <c r="AB256" s="48" t="n">
        <v>1400000000</v>
      </c>
      <c r="AD256" s="107" t="n">
        <f aca="false">Y256/AB256*1000000000000</f>
        <v>7.04285714285714</v>
      </c>
      <c r="AE256" s="49" t="n">
        <f aca="false">IF(ISNUMBER($Q256),$AD256*1000/2^(($Q256-1.76)/6.02), "")</f>
        <v>21.6520265023289</v>
      </c>
      <c r="AF256" s="49" t="n">
        <f aca="false">$AD256*1000/2^(($X256-1.76)/6.02)</f>
        <v>34.3177242818734</v>
      </c>
      <c r="AG256" s="49" t="n">
        <f aca="false">IF(ISNUMBER($Q256), $Q256+10*LOG10($AB256/2/$Y256), "")</f>
        <v>160.51221125073</v>
      </c>
      <c r="AH256" s="49" t="n">
        <f aca="false">$X256+10*LOG10($AB256/2/$Y256)</f>
        <v>156.51221125073</v>
      </c>
      <c r="AI256" s="48" t="n">
        <f aca="false">AF256/AB256</f>
        <v>2.45126602013382E-008</v>
      </c>
      <c r="AJ256" s="41" t="n">
        <f aca="false">AH256+10*LOG10(AB256)</f>
        <v>247.973491607513</v>
      </c>
    </row>
    <row r="257" customFormat="false" ht="12.75" hidden="false" customHeight="false" outlineLevel="0" collapsed="false">
      <c r="A257" s="39" t="n">
        <v>2023</v>
      </c>
      <c r="B257" s="56" t="s">
        <v>2982</v>
      </c>
      <c r="C257" s="43" t="s">
        <v>139</v>
      </c>
      <c r="D257" s="43" t="s">
        <v>2983</v>
      </c>
      <c r="E257" s="43" t="n">
        <v>0.016</v>
      </c>
      <c r="F257" s="45" t="s">
        <v>2984</v>
      </c>
      <c r="G257" s="45" t="s">
        <v>2985</v>
      </c>
      <c r="H257" s="45" t="s">
        <v>2986</v>
      </c>
      <c r="I257" s="45" t="s">
        <v>2987</v>
      </c>
      <c r="J257" s="113" t="str">
        <f aca="false">IF(I257&lt;&gt;"?", HYPERLINK(CONCATENATE("https://doi.org/",I257)), "")</f>
        <v>https://doi.org/10.23919/VLSITechnologyandCir57934.2023.10185279</v>
      </c>
      <c r="K257" s="45" t="s">
        <v>2988</v>
      </c>
      <c r="L257" s="69"/>
      <c r="O257" s="43"/>
      <c r="P257" s="43" t="n">
        <v>0.77</v>
      </c>
      <c r="Q257" s="43" t="n">
        <v>61.7</v>
      </c>
      <c r="R257" s="48" t="n">
        <v>981000000</v>
      </c>
      <c r="S257" s="43" t="n">
        <v>60</v>
      </c>
      <c r="T257" s="43" t="n">
        <v>60</v>
      </c>
      <c r="U257" s="43" t="n">
        <v>63.7</v>
      </c>
      <c r="W257" s="43" t="n">
        <v>68</v>
      </c>
      <c r="X257" s="49" t="n">
        <f aca="false">+IF(ISNUMBER($S257),$S257,MIN($V257,$T257,$U257,$W257))</f>
        <v>60</v>
      </c>
      <c r="Y257" s="48" t="n">
        <v>0.24</v>
      </c>
      <c r="Z257" s="71" t="n">
        <v>6400000000</v>
      </c>
      <c r="AA257" s="43" t="n">
        <v>3.2</v>
      </c>
      <c r="AB257" s="48" t="n">
        <f aca="false">Z257/AA257</f>
        <v>2000000000</v>
      </c>
      <c r="AD257" s="107" t="n">
        <f aca="false">Y257/AB257*1000000000000</f>
        <v>120</v>
      </c>
      <c r="AE257" s="49" t="n">
        <f aca="false">IF(ISNUMBER($Q257),$AD257*1000/2^(($Q257-1.76)/6.02), "")</f>
        <v>120.748733680339</v>
      </c>
      <c r="AF257" s="49" t="n">
        <f aca="false">$AD257*1000/2^(($X257-1.76)/6.02)</f>
        <v>146.855783764274</v>
      </c>
      <c r="AG257" s="49" t="n">
        <f aca="false">IF(ISNUMBER($Q257), $Q257+10*LOG10($AB257/2/$Y257), "")</f>
        <v>157.897887582884</v>
      </c>
      <c r="AH257" s="49" t="n">
        <f aca="false">$X257+10*LOG10($AB257/2/$Y257)</f>
        <v>156.197887582884</v>
      </c>
      <c r="AI257" s="48" t="n">
        <f aca="false">AF257/AB257</f>
        <v>7.34278918821371E-008</v>
      </c>
      <c r="AJ257" s="41" t="n">
        <f aca="false">AH257+10*LOG10(AB257)</f>
        <v>249.208187539524</v>
      </c>
    </row>
    <row r="258" customFormat="false" ht="12.75" hidden="false" customHeight="false" outlineLevel="0" collapsed="false">
      <c r="A258" s="43" t="n">
        <v>2023</v>
      </c>
      <c r="B258" s="56" t="s">
        <v>2989</v>
      </c>
      <c r="C258" s="43" t="s">
        <v>139</v>
      </c>
      <c r="D258" s="43" t="s">
        <v>981</v>
      </c>
      <c r="E258" s="43" t="n">
        <v>0.028</v>
      </c>
      <c r="F258" s="45" t="s">
        <v>2990</v>
      </c>
      <c r="G258" s="45" t="s">
        <v>2991</v>
      </c>
      <c r="H258" s="45" t="s">
        <v>2992</v>
      </c>
      <c r="I258" s="45" t="s">
        <v>2993</v>
      </c>
      <c r="J258" s="113" t="str">
        <f aca="false">IF(I258&lt;&gt;"?", HYPERLINK(CONCATENATE("https://doi.org/",I258)), "")</f>
        <v>https://doi.org/10.23919/VLSITechnologyandCir57934.2023.10185345</v>
      </c>
      <c r="K258" s="45" t="s">
        <v>117</v>
      </c>
      <c r="L258" s="69" t="n">
        <v>1.8</v>
      </c>
      <c r="M258" s="69" t="n">
        <v>1.2</v>
      </c>
      <c r="N258" s="69" t="n">
        <v>1</v>
      </c>
      <c r="O258" s="43"/>
      <c r="P258" s="43" t="n">
        <v>0.024</v>
      </c>
      <c r="R258" s="48" t="n">
        <v>1000000</v>
      </c>
      <c r="S258" s="43" t="n">
        <v>84.2</v>
      </c>
      <c r="U258" s="43" t="n">
        <v>86.8</v>
      </c>
      <c r="X258" s="49" t="n">
        <f aca="false">+IF(ISNUMBER($S258),$S258,MIN($V258,$T258,$U258,$W258))</f>
        <v>84.2</v>
      </c>
      <c r="Y258" s="48" t="n">
        <v>0.00162</v>
      </c>
      <c r="Z258" s="71" t="n">
        <v>100000000</v>
      </c>
      <c r="AA258" s="43" t="n">
        <v>50</v>
      </c>
      <c r="AB258" s="48" t="n">
        <v>2000000</v>
      </c>
      <c r="AD258" s="107" t="n">
        <f aca="false">Y258/AB258*1000000000000</f>
        <v>810</v>
      </c>
      <c r="AE258" s="49" t="str">
        <f aca="false">IF(ISNUMBER($Q258),$AD258*1000/2^(($Q258-1.76)/6.02), "")</f>
        <v/>
      </c>
      <c r="AF258" s="49" t="n">
        <f aca="false">$AD258*1000/2^(($X258-1.76)/6.02)</f>
        <v>61.1046481479197</v>
      </c>
      <c r="AG258" s="49" t="str">
        <f aca="false">IF(ISNUMBER($Q258), $Q258+10*LOG10($AB258/2/$Y258), "")</f>
        <v/>
      </c>
      <c r="AH258" s="49" t="n">
        <f aca="false">$X258+10*LOG10($AB258/2/$Y258)</f>
        <v>172.104849854574</v>
      </c>
      <c r="AI258" s="48" t="n">
        <f aca="false">AF258/AB258</f>
        <v>3.05523240739599E-005</v>
      </c>
      <c r="AJ258" s="41" t="n">
        <f aca="false">AH258+10*LOG10(AB258)</f>
        <v>235.115149811213</v>
      </c>
    </row>
    <row r="259" customFormat="false" ht="12.75" hidden="false" customHeight="false" outlineLevel="0" collapsed="false">
      <c r="A259" s="43" t="n">
        <v>2023</v>
      </c>
      <c r="B259" s="56" t="s">
        <v>2994</v>
      </c>
      <c r="C259" s="43" t="s">
        <v>139</v>
      </c>
      <c r="D259" s="43" t="s">
        <v>173</v>
      </c>
      <c r="E259" s="43" t="n">
        <v>0.028</v>
      </c>
      <c r="F259" s="45" t="s">
        <v>2995</v>
      </c>
      <c r="G259" s="45" t="s">
        <v>2996</v>
      </c>
      <c r="H259" s="45" t="s">
        <v>2997</v>
      </c>
      <c r="I259" s="45" t="s">
        <v>2998</v>
      </c>
      <c r="J259" s="113" t="str">
        <f aca="false">IF(I259&lt;&gt;"?", HYPERLINK(CONCATENATE("https://doi.org/",I259)), "")</f>
        <v>https://doi.org/10.23919/VLSITechnologyandCir57934.2023.10185356</v>
      </c>
      <c r="K259" s="45" t="s">
        <v>2999</v>
      </c>
      <c r="L259" s="69"/>
      <c r="O259" s="43"/>
      <c r="P259" s="43" t="n">
        <v>0.15</v>
      </c>
      <c r="R259" s="48" t="n">
        <v>120000000</v>
      </c>
      <c r="S259" s="43" t="n">
        <v>72.8</v>
      </c>
      <c r="U259" s="43" t="n">
        <v>73.4</v>
      </c>
      <c r="W259" s="43" t="n">
        <v>122</v>
      </c>
      <c r="X259" s="49" t="n">
        <f aca="false">+IF(ISNUMBER($S259),$S259,MIN($V259,$T259,$U259,$W259))</f>
        <v>72.8</v>
      </c>
      <c r="Y259" s="48" t="n">
        <v>0.115</v>
      </c>
      <c r="Z259" s="71" t="n">
        <v>6000000000</v>
      </c>
      <c r="AA259" s="50" t="n">
        <f aca="false">Z259/AB259</f>
        <v>25</v>
      </c>
      <c r="AB259" s="48" t="n">
        <v>240000000</v>
      </c>
      <c r="AD259" s="107" t="n">
        <f aca="false">Y259/AB259*1000000000000</f>
        <v>479.166666666667</v>
      </c>
      <c r="AE259" s="49" t="str">
        <f aca="false">IF(ISNUMBER($Q259),$AD259*1000/2^(($Q259-1.76)/6.02), "")</f>
        <v/>
      </c>
      <c r="AF259" s="49" t="n">
        <f aca="false">$AD259*1000/2^(($X259-1.76)/6.02)</f>
        <v>134.317509286798</v>
      </c>
      <c r="AG259" s="49" t="str">
        <f aca="false">IF(ISNUMBER($Q259), $Q259+10*LOG10($AB259/2/$Y259), "")</f>
        <v/>
      </c>
      <c r="AH259" s="49" t="n">
        <f aca="false">$X259+10*LOG10($AB259/2/$Y259)</f>
        <v>162.98483405694</v>
      </c>
      <c r="AI259" s="48" t="n">
        <f aca="false">AF259/AB259</f>
        <v>5.59656288694993E-007</v>
      </c>
      <c r="AJ259" s="41" t="n">
        <f aca="false">AH259+10*LOG10(AB259)</f>
        <v>246.786946474056</v>
      </c>
    </row>
    <row r="260" customFormat="false" ht="12.75" hidden="false" customHeight="false" outlineLevel="0" collapsed="false">
      <c r="A260" s="43" t="n">
        <v>2023</v>
      </c>
      <c r="B260" s="56" t="s">
        <v>3000</v>
      </c>
      <c r="C260" s="43" t="s">
        <v>139</v>
      </c>
      <c r="D260" s="43" t="s">
        <v>173</v>
      </c>
      <c r="E260" s="43" t="n">
        <v>0.022</v>
      </c>
      <c r="F260" s="45" t="s">
        <v>3001</v>
      </c>
      <c r="G260" s="45" t="s">
        <v>3002</v>
      </c>
      <c r="H260" s="45" t="s">
        <v>3003</v>
      </c>
      <c r="I260" s="45" t="s">
        <v>3004</v>
      </c>
      <c r="J260" s="113" t="str">
        <f aca="false">IF(I260&lt;&gt;"?", HYPERLINK(CONCATENATE("https://doi.org/",I260)), "")</f>
        <v>https://doi.org/10.23919/VLSITechnologyandCir57934.2023.10185281</v>
      </c>
      <c r="K260" s="45" t="s">
        <v>117</v>
      </c>
      <c r="L260" s="69" t="n">
        <v>0.9</v>
      </c>
      <c r="M260" s="69" t="n">
        <v>-0.5</v>
      </c>
      <c r="O260" s="43"/>
      <c r="P260" s="43" t="n">
        <v>0.06</v>
      </c>
      <c r="R260" s="48" t="n">
        <v>220000000</v>
      </c>
      <c r="S260" s="41" t="n">
        <v>62</v>
      </c>
      <c r="U260" s="43" t="n">
        <v>63</v>
      </c>
      <c r="W260" s="43" t="n">
        <v>75</v>
      </c>
      <c r="X260" s="49" t="n">
        <f aca="false">+IF(ISNUMBER($S260),$S260,MIN($V260,$T260,$U260,$W260))</f>
        <v>62</v>
      </c>
      <c r="Y260" s="48" t="n">
        <v>0.022</v>
      </c>
      <c r="Z260" s="71" t="n">
        <v>4400000000</v>
      </c>
      <c r="AA260" s="50" t="n">
        <f aca="false">Z260/AB260</f>
        <v>10</v>
      </c>
      <c r="AB260" s="48" t="n">
        <v>440000000</v>
      </c>
      <c r="AD260" s="107" t="n">
        <f aca="false">Y260/AB260*1000000000000</f>
        <v>50</v>
      </c>
      <c r="AE260" s="49" t="str">
        <f aca="false">IF(ISNUMBER($Q260),$AD260*1000/2^(($Q260-1.76)/6.02), "")</f>
        <v/>
      </c>
      <c r="AF260" s="49" t="n">
        <f aca="false">$AD260*1000/2^(($X260-1.76)/6.02)</f>
        <v>48.6037578388407</v>
      </c>
      <c r="AG260" s="49" t="str">
        <f aca="false">IF(ISNUMBER($Q260), $Q260+10*LOG10($AB260/2/$Y260), "")</f>
        <v/>
      </c>
      <c r="AH260" s="49" t="n">
        <f aca="false">$X260+10*LOG10($AB260/2/$Y260)</f>
        <v>162</v>
      </c>
      <c r="AI260" s="48" t="n">
        <f aca="false">AF260/AB260</f>
        <v>1.10463085997365E-007</v>
      </c>
      <c r="AJ260" s="41" t="n">
        <f aca="false">AH260+10*LOG10(AB260)</f>
        <v>248.434526764862</v>
      </c>
    </row>
    <row r="261" customFormat="false" ht="12.75" hidden="false" customHeight="false" outlineLevel="0" collapsed="false">
      <c r="A261" s="43" t="n">
        <v>2023</v>
      </c>
      <c r="B261" s="56" t="s">
        <v>2874</v>
      </c>
      <c r="C261" s="43" t="s">
        <v>111</v>
      </c>
      <c r="D261" s="43" t="s">
        <v>548</v>
      </c>
      <c r="E261" s="43" t="n">
        <v>0.028</v>
      </c>
      <c r="F261" s="45" t="s">
        <v>3005</v>
      </c>
      <c r="G261" s="45" t="s">
        <v>3006</v>
      </c>
      <c r="H261" s="45" t="s">
        <v>3007</v>
      </c>
      <c r="I261" s="45" t="s">
        <v>3008</v>
      </c>
      <c r="J261" s="113" t="str">
        <f aca="false">IF(I261&lt;&gt;"?", HYPERLINK(CONCATENATE("https://doi.org/",I261)), "")</f>
        <v>https://doi.org/10.23919/VLSITechnologyandCir57934.2023.10185370</v>
      </c>
      <c r="K261" s="45" t="s">
        <v>3009</v>
      </c>
      <c r="L261" s="69" t="n">
        <v>1.65</v>
      </c>
      <c r="M261" s="69" t="n">
        <v>1</v>
      </c>
      <c r="N261" s="69" t="n">
        <v>-1</v>
      </c>
      <c r="O261" s="43"/>
      <c r="P261" s="43" t="n">
        <v>0.54</v>
      </c>
      <c r="R261" s="48" t="n">
        <v>918000000</v>
      </c>
      <c r="S261" s="43" t="n">
        <v>57.3</v>
      </c>
      <c r="W261" s="43" t="n">
        <v>69.9</v>
      </c>
      <c r="X261" s="49" t="n">
        <f aca="false">+IF(ISNUMBER($S261),$S261,MIN($V261,$T261,$U261,$W261))</f>
        <v>57.3</v>
      </c>
      <c r="Y261" s="48" t="n">
        <v>0.1186</v>
      </c>
      <c r="Z261" s="71" t="n">
        <v>2000000000</v>
      </c>
      <c r="AA261" s="43" t="n">
        <v>1</v>
      </c>
      <c r="AB261" s="48" t="n">
        <f aca="false">2000000000</f>
        <v>2000000000</v>
      </c>
      <c r="AD261" s="107" t="n">
        <f aca="false">Y261/AB261*1000000000000</f>
        <v>59.3</v>
      </c>
      <c r="AE261" s="49" t="str">
        <f aca="false">IF(ISNUMBER($Q261),$AD261*1000/2^(($Q261-1.76)/6.02), "")</f>
        <v/>
      </c>
      <c r="AF261" s="49" t="n">
        <f aca="false">$AD261*1000/2^(($X261-1.76)/6.02)</f>
        <v>99.0325486475779</v>
      </c>
      <c r="AG261" s="49" t="str">
        <f aca="false">IF(ISNUMBER($Q261), $Q261+10*LOG10($AB261/2/$Y261), "")</f>
        <v/>
      </c>
      <c r="AH261" s="49" t="n">
        <f aca="false">$X261+10*LOG10($AB261/2/$Y261)</f>
        <v>156.559153109718</v>
      </c>
      <c r="AI261" s="48" t="n">
        <f aca="false">AF261/AB261</f>
        <v>4.9516274323789E-008</v>
      </c>
      <c r="AJ261" s="41" t="n">
        <f aca="false">AH261+10*LOG10(AB261)</f>
        <v>249.569453066357</v>
      </c>
    </row>
    <row r="262" customFormat="false" ht="12.75" hidden="false" customHeight="false" outlineLevel="0" collapsed="false">
      <c r="A262" s="43" t="n">
        <v>2023</v>
      </c>
      <c r="B262" s="56" t="s">
        <v>2879</v>
      </c>
      <c r="C262" s="43" t="s">
        <v>111</v>
      </c>
      <c r="D262" s="43" t="s">
        <v>1506</v>
      </c>
      <c r="E262" s="43" t="n">
        <v>0.065</v>
      </c>
      <c r="F262" s="45" t="s">
        <v>3010</v>
      </c>
      <c r="G262" s="45" t="s">
        <v>3011</v>
      </c>
      <c r="H262" s="45" t="s">
        <v>3012</v>
      </c>
      <c r="I262" s="45" t="s">
        <v>3013</v>
      </c>
      <c r="J262" s="113" t="str">
        <f aca="false">IF(I262&lt;&gt;"?", HYPERLINK(CONCATENATE("https://doi.org/",I262)), "")</f>
        <v>https://doi.org/10.23919/VLSITechnologyandCir57934.2023.10185416</v>
      </c>
      <c r="K262" s="45" t="s">
        <v>117</v>
      </c>
      <c r="L262" s="69" t="n">
        <v>1.1</v>
      </c>
      <c r="O262" s="43" t="n">
        <v>8</v>
      </c>
      <c r="P262" s="43" t="n">
        <v>0.195</v>
      </c>
      <c r="Q262" s="43" t="n">
        <v>79.5</v>
      </c>
      <c r="R262" s="48" t="n">
        <v>30000000</v>
      </c>
      <c r="S262" s="43" t="n">
        <v>76.9</v>
      </c>
      <c r="W262" s="43" t="n">
        <v>87.3</v>
      </c>
      <c r="X262" s="49" t="n">
        <f aca="false">+IF(ISNUMBER($S262),$S262,MIN($V262,$T262,$U262,$W262))</f>
        <v>76.9</v>
      </c>
      <c r="Y262" s="48" t="n">
        <v>0.00155</v>
      </c>
      <c r="Z262" s="71" t="n">
        <v>60000000</v>
      </c>
      <c r="AA262" s="43" t="n">
        <v>1</v>
      </c>
      <c r="AB262" s="48" t="n">
        <v>60000000</v>
      </c>
      <c r="AD262" s="107" t="n">
        <f aca="false">Y262/AB262*1000000000000</f>
        <v>25.8333333333333</v>
      </c>
      <c r="AE262" s="49" t="n">
        <f aca="false">IF(ISNUMBER($Q262),$AD262*1000/2^(($Q262-1.76)/6.02), "")</f>
        <v>3.3480589425746</v>
      </c>
      <c r="AF262" s="49" t="n">
        <f aca="false">$AD262*1000/2^(($X262-1.76)/6.02)</f>
        <v>4.51654196800847</v>
      </c>
      <c r="AG262" s="49" t="n">
        <f aca="false">IF(ISNUMBER($Q262), $Q262+10*LOG10($AB262/2/$Y262), "")</f>
        <v>182.367895565494</v>
      </c>
      <c r="AH262" s="49" t="n">
        <f aca="false">$X262+10*LOG10($AB262/2/$Y262)</f>
        <v>179.767895565494</v>
      </c>
      <c r="AI262" s="48" t="n">
        <f aca="false">AF262/AB262</f>
        <v>7.52756994668078E-008</v>
      </c>
      <c r="AJ262" s="41" t="n">
        <f aca="false">AH262+10*LOG10(AB262)</f>
        <v>257.54940806933</v>
      </c>
    </row>
    <row r="263" customFormat="false" ht="12.75" hidden="false" customHeight="false" outlineLevel="0" collapsed="false">
      <c r="A263" s="43" t="n">
        <v>2023</v>
      </c>
      <c r="B263" s="56" t="s">
        <v>2884</v>
      </c>
      <c r="C263" s="43" t="s">
        <v>111</v>
      </c>
      <c r="D263" s="43" t="s">
        <v>1506</v>
      </c>
      <c r="E263" s="43" t="n">
        <v>0.028</v>
      </c>
      <c r="F263" s="45" t="s">
        <v>3014</v>
      </c>
      <c r="G263" s="45" t="s">
        <v>3015</v>
      </c>
      <c r="H263" s="45" t="s">
        <v>3016</v>
      </c>
      <c r="I263" s="45" t="s">
        <v>3017</v>
      </c>
      <c r="J263" s="113" t="str">
        <f aca="false">IF(I263&lt;&gt;"?", HYPERLINK(CONCATENATE("https://doi.org/",I263)), "")</f>
        <v>https://doi.org/10.23919/VLSITechnologyandCir57934.2023.10185377</v>
      </c>
      <c r="K263" s="45" t="s">
        <v>117</v>
      </c>
      <c r="L263" s="69" t="n">
        <v>1</v>
      </c>
      <c r="O263" s="43" t="n">
        <v>2.26</v>
      </c>
      <c r="P263" s="43" t="n">
        <v>0.048</v>
      </c>
      <c r="Q263" s="43" t="n">
        <v>68.6</v>
      </c>
      <c r="R263" s="48" t="n">
        <v>60000000</v>
      </c>
      <c r="S263" s="43" t="n">
        <v>67.9</v>
      </c>
      <c r="W263" s="43" t="n">
        <v>84.3</v>
      </c>
      <c r="X263" s="49" t="n">
        <f aca="false">+IF(ISNUMBER($S263),$S263,MIN($V263,$T263,$U263,$W263))</f>
        <v>67.9</v>
      </c>
      <c r="Y263" s="48" t="n">
        <v>0.00172</v>
      </c>
      <c r="Z263" s="71" t="n">
        <v>150000000</v>
      </c>
      <c r="AA263" s="43" t="n">
        <v>1</v>
      </c>
      <c r="AB263" s="48" t="n">
        <v>150000000</v>
      </c>
      <c r="AD263" s="107" t="n">
        <f aca="false">Y263/AB263*1000000000000</f>
        <v>11.4666666666667</v>
      </c>
      <c r="AE263" s="49" t="n">
        <f aca="false">IF(ISNUMBER($Q263),$AD263*1000/2^(($Q263-1.76)/6.02), "")</f>
        <v>5.21319711556612</v>
      </c>
      <c r="AF263" s="49" t="n">
        <f aca="false">$AD263*1000/2^(($X263-1.76)/6.02)</f>
        <v>5.65077004344833</v>
      </c>
      <c r="AG263" s="49" t="n">
        <f aca="false">IF(ISNUMBER($Q263), $Q263+10*LOG10($AB263/2/$Y263), "")</f>
        <v>174.995328164842</v>
      </c>
      <c r="AH263" s="49" t="n">
        <f aca="false">$X263+10*LOG10($AB263/2/$Y263)</f>
        <v>174.295328164842</v>
      </c>
      <c r="AI263" s="48" t="n">
        <f aca="false">AF263/AB263</f>
        <v>3.76718002896555E-008</v>
      </c>
      <c r="AJ263" s="41" t="n">
        <f aca="false">AH263+10*LOG10(AB263)</f>
        <v>256.056240755398</v>
      </c>
    </row>
    <row r="264" customFormat="false" ht="12.75" hidden="false" customHeight="false" outlineLevel="0" collapsed="false">
      <c r="A264" s="43" t="n">
        <v>2023</v>
      </c>
      <c r="B264" s="56" t="s">
        <v>3018</v>
      </c>
      <c r="C264" s="43" t="s">
        <v>111</v>
      </c>
      <c r="D264" s="43" t="s">
        <v>241</v>
      </c>
      <c r="E264" s="43" t="n">
        <v>0.007</v>
      </c>
      <c r="F264" s="45" t="s">
        <v>3019</v>
      </c>
      <c r="G264" s="45" t="s">
        <v>3020</v>
      </c>
      <c r="H264" s="45" t="s">
        <v>3021</v>
      </c>
      <c r="I264" s="45" t="s">
        <v>3022</v>
      </c>
      <c r="J264" s="113" t="str">
        <f aca="false">IF(I264&lt;&gt;"?", HYPERLINK(CONCATENATE("https://doi.org/",I264)), "")</f>
        <v>https://doi.org/10.23919/VLSITechnologyandCir57934.2023.10185426</v>
      </c>
      <c r="K264" s="45" t="s">
        <v>117</v>
      </c>
      <c r="L264" s="69" t="n">
        <v>1.8</v>
      </c>
      <c r="M264" s="43" t="n">
        <v>0.75</v>
      </c>
      <c r="O264" s="43"/>
      <c r="P264" s="43" t="n">
        <v>0.016</v>
      </c>
      <c r="R264" s="48" t="n">
        <v>2000000</v>
      </c>
      <c r="S264" s="43" t="n">
        <v>74</v>
      </c>
      <c r="X264" s="49" t="n">
        <f aca="false">+IF(ISNUMBER($S264),$S264,MIN($V264,$T264,$U264,$W264))</f>
        <v>74</v>
      </c>
      <c r="Y264" s="48" t="n">
        <v>0.00086</v>
      </c>
      <c r="Z264" s="71" t="n">
        <v>4000000</v>
      </c>
      <c r="AA264" s="43" t="n">
        <v>1</v>
      </c>
      <c r="AB264" s="48" t="n">
        <v>4000000</v>
      </c>
      <c r="AD264" s="107" t="n">
        <f aca="false">Y264/AB264*1000000000000</f>
        <v>215</v>
      </c>
      <c r="AE264" s="49" t="str">
        <f aca="false">IF(ISNUMBER($Q264),$AD264*1000/2^(($Q264-1.76)/6.02), "")</f>
        <v/>
      </c>
      <c r="AF264" s="49" t="n">
        <f aca="false">$AD264*1000/2^(($X264-1.76)/6.02)</f>
        <v>52.490234375</v>
      </c>
      <c r="AG264" s="49" t="str">
        <f aca="false">IF(ISNUMBER($Q264), $Q264+10*LOG10($AB264/2/$Y264), "")</f>
        <v/>
      </c>
      <c r="AH264" s="49" t="n">
        <f aca="false">$X264+10*LOG10($AB264/2/$Y264)</f>
        <v>167.665315444204</v>
      </c>
      <c r="AI264" s="48" t="n">
        <f aca="false">AF264/AB264</f>
        <v>1.312255859375E-005</v>
      </c>
      <c r="AJ264" s="41" t="n">
        <f aca="false">AH264+10*LOG10(AB264)</f>
        <v>233.685915357484</v>
      </c>
    </row>
    <row r="265" customFormat="false" ht="12.75" hidden="false" customHeight="false" outlineLevel="0" collapsed="false">
      <c r="A265" s="43" t="n">
        <v>2023</v>
      </c>
      <c r="B265" s="56" t="s">
        <v>3023</v>
      </c>
      <c r="C265" s="43" t="s">
        <v>111</v>
      </c>
      <c r="D265" s="43" t="s">
        <v>3024</v>
      </c>
      <c r="E265" s="43" t="n">
        <v>0.065</v>
      </c>
      <c r="F265" s="45" t="s">
        <v>3025</v>
      </c>
      <c r="G265" s="45" t="s">
        <v>3026</v>
      </c>
      <c r="H265" s="45" t="s">
        <v>3027</v>
      </c>
      <c r="I265" s="45" t="s">
        <v>3028</v>
      </c>
      <c r="J265" s="113" t="str">
        <f aca="false">IF(I265&lt;&gt;"?", HYPERLINK(CONCATENATE("https://doi.org/",I265)), "")</f>
        <v>https://doi.org/10.23919/VLSITechnologyandCir57934.2023.10185322</v>
      </c>
      <c r="K265" s="45" t="s">
        <v>3029</v>
      </c>
      <c r="L265" s="69" t="n">
        <v>1.2</v>
      </c>
      <c r="O265" s="43"/>
      <c r="P265" s="43" t="n">
        <v>0.005</v>
      </c>
      <c r="R265" s="48" t="n">
        <v>16000</v>
      </c>
      <c r="S265" s="43" t="n">
        <v>61.4</v>
      </c>
      <c r="X265" s="49" t="n">
        <f aca="false">+IF(ISNUMBER($S265),$S265,MIN($V265,$T265,$U265,$W265))</f>
        <v>61.4</v>
      </c>
      <c r="Y265" s="48" t="n">
        <v>9.9E-006</v>
      </c>
      <c r="Z265" s="71" t="n">
        <v>32000</v>
      </c>
      <c r="AA265" s="43" t="n">
        <v>1</v>
      </c>
      <c r="AB265" s="48" t="n">
        <v>32000</v>
      </c>
      <c r="AD265" s="107" t="n">
        <f aca="false">Y265/AB265*1000000000000</f>
        <v>309.375</v>
      </c>
      <c r="AE265" s="49" t="str">
        <f aca="false">IF(ISNUMBER($Q265),$AD265*1000/2^(($Q265-1.76)/6.02), "")</f>
        <v/>
      </c>
      <c r="AF265" s="49" t="n">
        <f aca="false">$AD265*1000/2^(($X265-1.76)/6.02)</f>
        <v>322.246381919859</v>
      </c>
      <c r="AG265" s="49" t="str">
        <f aca="false">IF(ISNUMBER($Q265), $Q265+10*LOG10($AB265/2/$Y265), "")</f>
        <v/>
      </c>
      <c r="AH265" s="49" t="n">
        <f aca="false">$X265+10*LOG10($AB265/2/$Y265)</f>
        <v>153.484847880584</v>
      </c>
      <c r="AI265" s="48" t="n">
        <f aca="false">AF265/AB265</f>
        <v>0.0100701994349956</v>
      </c>
      <c r="AJ265" s="41" t="n">
        <f aca="false">AH265+10*LOG10(AB265)</f>
        <v>198.536347663783</v>
      </c>
    </row>
    <row r="266" customFormat="false" ht="12.75" hidden="false" customHeight="false" outlineLevel="0" collapsed="false">
      <c r="A266" s="43" t="n">
        <v>2023</v>
      </c>
      <c r="B266" s="56" t="s">
        <v>3030</v>
      </c>
      <c r="C266" s="43" t="s">
        <v>139</v>
      </c>
      <c r="D266" s="43" t="s">
        <v>145</v>
      </c>
      <c r="E266" s="43" t="n">
        <v>0.022</v>
      </c>
      <c r="F266" s="45" t="s">
        <v>3031</v>
      </c>
      <c r="G266" s="45" t="s">
        <v>3032</v>
      </c>
      <c r="H266" s="45" t="s">
        <v>3033</v>
      </c>
      <c r="I266" s="45" t="s">
        <v>3034</v>
      </c>
      <c r="J266" s="113" t="str">
        <f aca="false">IF(I266&lt;&gt;"?", HYPERLINK(CONCATENATE("https://doi.org/",I266)), "")</f>
        <v>https://doi.org/10.23919/VLSITechnologyandCir57934.2023.10185310</v>
      </c>
      <c r="K266" s="45" t="s">
        <v>117</v>
      </c>
      <c r="L266" s="69" t="n">
        <v>1</v>
      </c>
      <c r="O266" s="43"/>
      <c r="P266" s="43" t="n">
        <v>0.025</v>
      </c>
      <c r="R266" s="48" t="n">
        <v>1000000</v>
      </c>
      <c r="S266" s="43" t="n">
        <v>79.9</v>
      </c>
      <c r="U266" s="43" t="n">
        <v>83.3</v>
      </c>
      <c r="X266" s="49" t="n">
        <f aca="false">+IF(ISNUMBER($S266),$S266,MIN($V266,$T266,$U266,$W266))</f>
        <v>79.9</v>
      </c>
      <c r="Y266" s="48" t="n">
        <v>0.00104</v>
      </c>
      <c r="Z266" s="71" t="n">
        <v>96000000</v>
      </c>
      <c r="AA266" s="50" t="n">
        <f aca="false">Z266/AB266</f>
        <v>24</v>
      </c>
      <c r="AB266" s="48" t="n">
        <v>4000000</v>
      </c>
      <c r="AD266" s="107" t="n">
        <f aca="false">Y266/AB266*1000000000000</f>
        <v>260</v>
      </c>
      <c r="AE266" s="49" t="str">
        <f aca="false">IF(ISNUMBER($Q266),$AD266*1000/2^(($Q266-1.76)/6.02), "")</f>
        <v/>
      </c>
      <c r="AF266" s="49" t="n">
        <f aca="false">$AD266*1000/2^(($X266-1.76)/6.02)</f>
        <v>32.1798490270561</v>
      </c>
      <c r="AG266" s="49" t="str">
        <f aca="false">IF(ISNUMBER($Q266), $Q266+10*LOG10($AB266/2/$Y266), "")</f>
        <v/>
      </c>
      <c r="AH266" s="49" t="n">
        <f aca="false">$X266+10*LOG10($AB266/2/$Y266)</f>
        <v>172.739966563652</v>
      </c>
      <c r="AI266" s="48" t="n">
        <f aca="false">AF266/AB266</f>
        <v>8.04496225676404E-006</v>
      </c>
      <c r="AJ266" s="41" t="n">
        <f aca="false">AH266+10*LOG10(AB266)</f>
        <v>238.760566476932</v>
      </c>
    </row>
    <row r="267" customFormat="false" ht="12.75" hidden="false" customHeight="false" outlineLevel="0" collapsed="false">
      <c r="A267" s="43" t="n">
        <v>2023</v>
      </c>
      <c r="B267" s="56" t="s">
        <v>3035</v>
      </c>
      <c r="C267" s="43" t="s">
        <v>139</v>
      </c>
      <c r="D267" s="43" t="s">
        <v>3036</v>
      </c>
      <c r="E267" s="43" t="n">
        <v>0.028</v>
      </c>
      <c r="F267" s="45" t="s">
        <v>3037</v>
      </c>
      <c r="G267" s="45" t="s">
        <v>3038</v>
      </c>
      <c r="H267" s="45" t="s">
        <v>3039</v>
      </c>
      <c r="I267" s="45" t="s">
        <v>3040</v>
      </c>
      <c r="J267" s="113" t="str">
        <f aca="false">IF(I267&lt;&gt;"?", HYPERLINK(CONCATENATE("https://doi.org/",I267)), "")</f>
        <v>https://doi.org/10.23919/VLSITechnologyandCir57934.2023.10185342</v>
      </c>
      <c r="K267" s="45" t="s">
        <v>2308</v>
      </c>
      <c r="L267" s="69" t="n">
        <v>1.1</v>
      </c>
      <c r="O267" s="43"/>
      <c r="P267" s="43" t="n">
        <v>0.09</v>
      </c>
      <c r="R267" s="48" t="n">
        <v>24000000</v>
      </c>
      <c r="S267" s="43" t="n">
        <v>58</v>
      </c>
      <c r="U267" s="43" t="n">
        <v>60</v>
      </c>
      <c r="X267" s="49" t="n">
        <f aca="false">+IF(ISNUMBER($S267),$S267,MIN($V267,$T267,$U267,$W267))</f>
        <v>58</v>
      </c>
      <c r="Y267" s="48" t="n">
        <v>0.012</v>
      </c>
      <c r="Z267" s="71" t="n">
        <v>800000000</v>
      </c>
      <c r="AA267" s="69" t="n">
        <f aca="false">Z267/AB267</f>
        <v>16.6666666666667</v>
      </c>
      <c r="AB267" s="48" t="n">
        <v>48000000</v>
      </c>
      <c r="AC267" s="48" t="n">
        <v>200000000</v>
      </c>
      <c r="AD267" s="107" t="n">
        <f aca="false">Y267/AB267*1000000000000</f>
        <v>250</v>
      </c>
      <c r="AE267" s="49" t="str">
        <f aca="false">IF(ISNUMBER($Q267),$AD267*1000/2^(($Q267-1.76)/6.02), "")</f>
        <v/>
      </c>
      <c r="AF267" s="49" t="n">
        <f aca="false">$AD267*1000/2^(($X267-1.76)/6.02)</f>
        <v>385.176500776238</v>
      </c>
      <c r="AG267" s="49" t="str">
        <f aca="false">IF(ISNUMBER($Q267), $Q267+10*LOG10($AB267/2/$Y267), "")</f>
        <v/>
      </c>
      <c r="AH267" s="49" t="n">
        <f aca="false">$X267+10*LOG10($AB267/2/$Y267)</f>
        <v>151.01029995664</v>
      </c>
      <c r="AI267" s="48" t="n">
        <f aca="false">AF267/AB267</f>
        <v>8.0245104328383E-006</v>
      </c>
      <c r="AJ267" s="41" t="n">
        <f aca="false">AH267+10*LOG10(AB267)</f>
        <v>227.822712330396</v>
      </c>
    </row>
    <row r="268" customFormat="false" ht="12.75" hidden="false" customHeight="false" outlineLevel="0" collapsed="false">
      <c r="A268" s="43"/>
      <c r="B268" s="56"/>
      <c r="J268" s="113"/>
      <c r="L268" s="69"/>
      <c r="X268" s="49"/>
      <c r="AE268" s="49"/>
      <c r="AF268" s="49"/>
      <c r="AG268" s="49"/>
      <c r="AH268" s="49"/>
      <c r="AI268" s="48"/>
      <c r="AJ268" s="41"/>
    </row>
    <row r="269" customFormat="false" ht="12.75" hidden="false" customHeight="false" outlineLevel="0" collapsed="false">
      <c r="A269" s="43"/>
      <c r="B269" s="56"/>
      <c r="X269" s="49"/>
      <c r="AE269" s="49"/>
      <c r="AF269" s="49"/>
      <c r="AG269" s="49"/>
      <c r="AH269" s="49"/>
      <c r="AI269" s="48"/>
      <c r="AJ269" s="41"/>
    </row>
    <row r="270" customFormat="false" ht="12.75" hidden="false" customHeight="false" outlineLevel="0" collapsed="false">
      <c r="X270" s="49"/>
      <c r="AE270" s="49"/>
      <c r="AF270" s="49"/>
      <c r="AG270" s="49"/>
      <c r="AH270" s="49"/>
      <c r="AI270" s="48"/>
      <c r="AJ270" s="41"/>
    </row>
    <row r="271" customFormat="false" ht="12.75" hidden="false" customHeight="false" outlineLevel="0" collapsed="false">
      <c r="X271" s="49"/>
      <c r="AE271" s="49"/>
      <c r="AF271" s="49"/>
      <c r="AG271" s="49"/>
      <c r="AH271" s="49"/>
      <c r="AI271" s="48"/>
      <c r="AJ271" s="41"/>
    </row>
    <row r="272" customFormat="false" ht="12.75" hidden="false" customHeight="false" outlineLevel="0" collapsed="false">
      <c r="X272" s="49"/>
      <c r="AE272" s="49"/>
      <c r="AF272" s="49"/>
      <c r="AG272" s="49"/>
      <c r="AH272" s="49"/>
      <c r="AI272" s="48"/>
      <c r="AJ272" s="41"/>
    </row>
    <row r="273" customFormat="false" ht="12.75" hidden="false" customHeight="false" outlineLevel="0" collapsed="false">
      <c r="X273" s="49"/>
      <c r="AE273" s="49"/>
      <c r="AF273" s="49"/>
      <c r="AG273" s="49"/>
      <c r="AH273" s="49"/>
      <c r="AI273" s="48"/>
      <c r="AJ273" s="41"/>
    </row>
    <row r="274" customFormat="false" ht="12.75" hidden="false" customHeight="false" outlineLevel="0" collapsed="false">
      <c r="X274" s="49"/>
      <c r="AE274" s="49"/>
      <c r="AF274" s="49"/>
      <c r="AG274" s="49"/>
      <c r="AH274" s="49"/>
      <c r="AI274" s="48"/>
      <c r="AJ274" s="41"/>
    </row>
    <row r="275" customFormat="false" ht="12.75" hidden="false" customHeight="false" outlineLevel="0" collapsed="false">
      <c r="X275" s="49"/>
      <c r="AE275" s="49"/>
      <c r="AF275" s="49"/>
      <c r="AG275" s="49"/>
      <c r="AH275" s="49"/>
      <c r="AI275" s="48"/>
      <c r="AJ275" s="41"/>
    </row>
    <row r="276" customFormat="false" ht="12.75" hidden="false" customHeight="false" outlineLevel="0" collapsed="false">
      <c r="X276" s="49"/>
      <c r="AE276" s="49"/>
      <c r="AF276" s="49"/>
      <c r="AG276" s="49"/>
      <c r="AH276" s="49"/>
      <c r="AI276" s="48"/>
      <c r="AJ276" s="41"/>
    </row>
    <row r="277" customFormat="false" ht="12.75" hidden="false" customHeight="false" outlineLevel="0" collapsed="false">
      <c r="AE277" s="49"/>
      <c r="AF277" s="49"/>
      <c r="AG277" s="49"/>
      <c r="AH277" s="49"/>
      <c r="AI277" s="48"/>
      <c r="AJ277" s="41"/>
    </row>
  </sheetData>
  <conditionalFormatting sqref="AB2:AB500">
    <cfRule type="cellIs" priority="2" operator="greaterThan" aboveAverage="0" equalAverage="0" bottom="0" percent="0" rank="0" text="" dxfId="3">
      <formula>1000000000</formula>
    </cfRule>
  </conditionalFormatting>
  <conditionalFormatting sqref="AC2:AC243">
    <cfRule type="expression" priority="3" aboveAverage="0" equalAverage="0" bottom="0" percent="0" rank="0" text="" dxfId="4">
      <formula>AND(NOT(ISERROR(FIND("BP",#ref!))),AC2="")</formula>
    </cfRule>
  </conditionalFormatting>
  <conditionalFormatting sqref="AK34">
    <cfRule type="expression" priority="4" aboveAverage="0" equalAverage="0" bottom="0" percent="0" rank="0" text="" dxfId="5">
      <formula>AND(NOT(ISERROR(FIND("BP",D34))),AK34="")</formula>
    </cfRule>
  </conditionalFormatting>
  <hyperlinks>
    <hyperlink ref="J76" r:id="rId1" display="https://ieeexplore.ieee.org/document/5205306"/>
    <hyperlink ref="J77" r:id="rId2" display="https://ieeexplore.ieee.org/document/5205307"/>
    <hyperlink ref="J78" r:id="rId3" display="https://ieeexplore.ieee.org/document/5205308"/>
    <hyperlink ref="J79" r:id="rId4" display="https://ieeexplore.ieee.org/document/5205309"/>
    <hyperlink ref="J80" r:id="rId5" display="https://ieeexplore.ieee.org/document/5205343"/>
    <hyperlink ref="J81" r:id="rId6" display="https://ieeexplore.ieee.org/document/5205344"/>
    <hyperlink ref="J82" r:id="rId7" display="https://ieeexplore.ieee.org/document/5205345"/>
    <hyperlink ref="J83" r:id="rId8" display="https://ieeexplore.ieee.org/document/5205346"/>
    <hyperlink ref="J84" r:id="rId9" display="https://ieeexplore.ieee.org/document/5205306"/>
    <hyperlink ref="J85" r:id="rId10" display="https://ieeexplore.ieee.org/document/5205316"/>
    <hyperlink ref="J87" r:id="rId11" display="https://ieeexplore.ieee.org/document/5205318"/>
    <hyperlink ref="J100" r:id="rId12" display="https://ieeexplore.ieee.org/document/5986411"/>
    <hyperlink ref="J101" r:id="rId13" display="https://ieeexplore.ieee.org/document/5986412"/>
    <hyperlink ref="J102" r:id="rId14" display="https://ieeexplore.ieee.org/document/5986413"/>
    <hyperlink ref="J103" r:id="rId15" display="https://ieeexplore.ieee.org/document/5986414"/>
    <hyperlink ref="J104" r:id="rId16" display="https://ieeexplore.ieee.org/document/5986415"/>
    <hyperlink ref="J105" r:id="rId17" display="https://ieeexplore.ieee.org/document/5986066"/>
    <hyperlink ref="J106" r:id="rId18" display="https://ieeexplore.ieee.org/document/5986067"/>
    <hyperlink ref="J107" r:id="rId19" display="https://ieeexplore.ieee.org/document/5986068"/>
    <hyperlink ref="J108" r:id="rId20" display="https://ieeexplore.ieee.org/document/5986069"/>
    <hyperlink ref="J109" r:id="rId21" display="https://ieeexplore.ieee.org/document/5986070"/>
    <hyperlink ref="J110" r:id="rId22" display="https://ieeexplore.ieee.org/document/5986078"/>
    <hyperlink ref="J111" r:id="rId23" display="https://ieeexplore.ieee.org/document/5986079"/>
    <hyperlink ref="J112" r:id="rId24" display="https://ieeexplore.ieee.org/document/5986444"/>
    <hyperlink ref="J113" r:id="rId25" display="https://ieeexplore.ieee.org/document/5986445"/>
    <hyperlink ref="J114" r:id="rId26" display="https://ieeexplore.ieee.org/document/5986446"/>
    <hyperlink ref="J115" r:id="rId27" display="https://ieeexplore.ieee.org/document/5986447"/>
    <hyperlink ref="J116" r:id="rId28" display="https://ieeexplore.ieee.org/document/5986448"/>
    <hyperlink ref="J130" r:id="rId29" display="https://ieeexplore.ieee.org/document/6578719"/>
    <hyperlink ref="J131" r:id="rId30" display="https://ieeexplore.ieee.org/abstract/document/6578720"/>
    <hyperlink ref="J132" r:id="rId31" display="https://ieeexplore.ieee.org/document/6578721"/>
    <hyperlink ref="J133" r:id="rId32" display="https://ieeexplore.ieee.org/document/6578722"/>
    <hyperlink ref="J134" r:id="rId33" display="https://ieeexplore.ieee.org/document/6578723"/>
    <hyperlink ref="J135" r:id="rId34" display="https://ieeexplore.ieee.org/document/6578730"/>
    <hyperlink ref="J136" r:id="rId35" display="https://ieeexplore.ieee.org/document/6578731"/>
    <hyperlink ref="J137" r:id="rId36" display="https://ieeexplore.ieee.org/document/6578732"/>
    <hyperlink ref="J138" r:id="rId37" display="https://ieeexplore.ieee.org/document/6578733"/>
    <hyperlink ref="J140" r:id="rId38" display="https://ieeexplore.ieee.org/document/6578686"/>
    <hyperlink ref="J141" r:id="rId39" display="https://ieeexplore.ieee.org/document/6578688"/>
    <hyperlink ref="J143" r:id="rId40" display="https://ieeexplore.ieee.org/document/6578690"/>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I57" activeCellId="0" sqref="I57"/>
    </sheetView>
  </sheetViews>
  <sheetFormatPr defaultColWidth="8.70703125" defaultRowHeight="12.75" zeroHeight="false" outlineLevelRow="0" outlineLevelCol="0"/>
  <cols>
    <col collapsed="false" customWidth="true" hidden="false" outlineLevel="0" max="2" min="2" style="0" width="10"/>
    <col collapsed="false" customWidth="true" hidden="false" outlineLevel="0" max="14" min="14" style="0" width="10.39"/>
  </cols>
  <sheetData>
    <row r="1" customFormat="false" ht="12.75" hidden="false" customHeight="false" outlineLevel="0" collapsed="false">
      <c r="A1" s="122" t="s">
        <v>3041</v>
      </c>
      <c r="B1" s="123" t="n">
        <v>1E-012</v>
      </c>
      <c r="C1" s="123" t="n">
        <v>1E-013</v>
      </c>
    </row>
    <row r="2" customFormat="false" ht="12.75" hidden="false" customHeight="false" outlineLevel="0" collapsed="false">
      <c r="C2" s="22"/>
      <c r="D2" s="0" t="s">
        <v>3042</v>
      </c>
    </row>
    <row r="3" customFormat="false" ht="12.75" hidden="false" customHeight="false" outlineLevel="0" collapsed="false">
      <c r="A3" s="22" t="s">
        <v>3043</v>
      </c>
      <c r="B3" s="22" t="s">
        <v>3044</v>
      </c>
      <c r="C3" s="22" t="s">
        <v>3044</v>
      </c>
    </row>
    <row r="4" customFormat="false" ht="12.75" hidden="false" customHeight="false" outlineLevel="0" collapsed="false">
      <c r="A4" s="114" t="n">
        <v>10000</v>
      </c>
      <c r="B4" s="124" t="n">
        <f aca="false">-20*LOG(6.28*$B$1*$A4,10)</f>
        <v>144.040807125256</v>
      </c>
      <c r="C4" s="124" t="n">
        <f aca="false">-20*LOG(6.28*$C$1*$A4,10)</f>
        <v>164.040807125256</v>
      </c>
    </row>
    <row r="5" customFormat="false" ht="12.75" hidden="false" customHeight="false" outlineLevel="0" collapsed="false">
      <c r="A5" s="114" t="n">
        <v>100000</v>
      </c>
      <c r="B5" s="124" t="n">
        <f aca="false">-20*LOG(6.28*$B$1*$A5,10)</f>
        <v>124.040807125256</v>
      </c>
      <c r="C5" s="124" t="n">
        <f aca="false">-20*LOG(6.28*$C$1*$A5,10)</f>
        <v>144.040807125256</v>
      </c>
    </row>
    <row r="6" customFormat="false" ht="12.75" hidden="false" customHeight="false" outlineLevel="0" collapsed="false">
      <c r="A6" s="114" t="n">
        <v>1000000</v>
      </c>
      <c r="B6" s="124" t="n">
        <f aca="false">-20*LOG(6.28*$B$1*$A6,10)</f>
        <v>104.040807125256</v>
      </c>
      <c r="C6" s="124" t="n">
        <f aca="false">-20*LOG(6.28*$C$1*$A6,10)</f>
        <v>124.040807125256</v>
      </c>
    </row>
    <row r="7" customFormat="false" ht="12.75" hidden="false" customHeight="false" outlineLevel="0" collapsed="false">
      <c r="A7" s="114" t="n">
        <v>10000000</v>
      </c>
      <c r="B7" s="124" t="n">
        <f aca="false">-20*LOG(6.28*$B$1*$A7,10)</f>
        <v>84.0408071252561</v>
      </c>
      <c r="C7" s="124" t="n">
        <f aca="false">-20*LOG(6.28*$C$1*$A7,10)</f>
        <v>104.040807125256</v>
      </c>
    </row>
    <row r="8" customFormat="false" ht="12.75" hidden="false" customHeight="false" outlineLevel="0" collapsed="false">
      <c r="A8" s="114" t="n">
        <v>100000000</v>
      </c>
      <c r="B8" s="124" t="n">
        <f aca="false">-20*LOG(6.28*$B$1*$A8,10)</f>
        <v>64.0408071252561</v>
      </c>
      <c r="C8" s="124" t="n">
        <f aca="false">-20*LOG(6.28*$C$1*$A8,10)</f>
        <v>84.0408071252561</v>
      </c>
    </row>
    <row r="9" customFormat="false" ht="12.75" hidden="false" customHeight="false" outlineLevel="0" collapsed="false">
      <c r="A9" s="114" t="n">
        <v>1000000000</v>
      </c>
      <c r="B9" s="124" t="n">
        <f aca="false">-20*LOG(6.28*$B$1*$A9,10)</f>
        <v>44.0408071252561</v>
      </c>
      <c r="C9" s="124" t="n">
        <f aca="false">-20*LOG(6.28*$C$1*$A9,10)</f>
        <v>64.0408071252561</v>
      </c>
    </row>
    <row r="10" customFormat="false" ht="12.75" hidden="false" customHeight="false" outlineLevel="0" collapsed="false">
      <c r="A10" s="114" t="n">
        <v>10000000000</v>
      </c>
      <c r="B10" s="124" t="n">
        <f aca="false">-20*LOG(6.28*$B$1*$A10,10)</f>
        <v>24.0408071252561</v>
      </c>
      <c r="C10" s="124" t="n">
        <f aca="false">-20*LOG(6.28*$C$1*$A10,10)</f>
        <v>44.0408071252561</v>
      </c>
    </row>
    <row r="11" customFormat="false" ht="12.75" hidden="false" customHeight="false" outlineLevel="0" collapsed="false">
      <c r="A11" s="114" t="n">
        <v>100000000000</v>
      </c>
      <c r="B11" s="124" t="n">
        <f aca="false">-20*LOG(6.28*$B$1*$A11,10)</f>
        <v>4.04080712525608</v>
      </c>
      <c r="C11" s="124" t="n">
        <f aca="false">-20*LOG(6.28*$C$1*$A11,10)</f>
        <v>24.0408071252561</v>
      </c>
      <c r="D11" s="22"/>
      <c r="E11" s="22"/>
      <c r="F11" s="22"/>
    </row>
    <row r="12" customFormat="false" ht="12.75" hidden="false" customHeight="false" outlineLevel="0" collapsed="false">
      <c r="A12" s="22"/>
      <c r="B12" s="22"/>
      <c r="C12" s="22"/>
      <c r="D12" s="22"/>
      <c r="E12" s="22"/>
      <c r="F12" s="22"/>
    </row>
    <row r="13" customFormat="false" ht="12.75" hidden="false" customHeight="false" outlineLevel="0" collapsed="false">
      <c r="A13" s="22"/>
      <c r="B13" s="22"/>
      <c r="C13" s="22"/>
      <c r="D13" s="22"/>
      <c r="E13" s="22"/>
      <c r="F13" s="22"/>
    </row>
    <row r="14" customFormat="false" ht="12.75" hidden="false" customHeight="false" outlineLevel="0" collapsed="false">
      <c r="A14" s="37" t="s">
        <v>3045</v>
      </c>
      <c r="B14" s="114" t="n">
        <v>1E-015</v>
      </c>
      <c r="C14" s="114" t="n">
        <v>1E-013</v>
      </c>
      <c r="D14" s="77" t="s">
        <v>3046</v>
      </c>
      <c r="E14" s="22"/>
      <c r="F14" s="22"/>
      <c r="H14" s="2"/>
    </row>
    <row r="15" customFormat="false" ht="12.75" hidden="false" customHeight="false" outlineLevel="0" collapsed="false">
      <c r="A15" s="22"/>
      <c r="B15" s="22"/>
      <c r="C15" s="22"/>
      <c r="D15" s="22"/>
      <c r="E15" s="22"/>
      <c r="F15" s="22"/>
    </row>
    <row r="16" customFormat="false" ht="12.75" hidden="false" customHeight="false" outlineLevel="0" collapsed="false">
      <c r="A16" s="22" t="s">
        <v>3047</v>
      </c>
      <c r="B16" s="34" t="s">
        <v>3048</v>
      </c>
      <c r="C16" s="34" t="s">
        <v>3048</v>
      </c>
      <c r="D16" s="22"/>
      <c r="E16" s="22"/>
      <c r="F16" s="22"/>
    </row>
    <row r="17" customFormat="false" ht="12.75" hidden="false" customHeight="false" outlineLevel="0" collapsed="false">
      <c r="A17" s="22" t="n">
        <v>10</v>
      </c>
      <c r="B17" s="114" t="n">
        <f aca="false">B$14*2^(($A17-1.76)/6.02)*1000000000000</f>
        <v>0.00258250432303302</v>
      </c>
      <c r="C17" s="114" t="n">
        <f aca="false">C$14*2^(($A17-1.76)/6.02)*1000000000000</f>
        <v>0.258250432303302</v>
      </c>
      <c r="D17" s="22"/>
      <c r="E17" s="22"/>
      <c r="F17" s="22"/>
    </row>
    <row r="18" customFormat="false" ht="12.75" hidden="false" customHeight="false" outlineLevel="0" collapsed="false">
      <c r="A18" s="22" t="n">
        <v>20</v>
      </c>
      <c r="B18" s="114" t="n">
        <f aca="false">B$14*2^(($A18-1.76)/6.02)*1000000000000</f>
        <v>0.00816753273676913</v>
      </c>
      <c r="C18" s="114" t="n">
        <f aca="false">C$14*2^(($A18-1.76)/6.02)*1000000000000</f>
        <v>0.816753273676913</v>
      </c>
      <c r="D18" s="22"/>
      <c r="E18" s="22"/>
      <c r="F18" s="22"/>
    </row>
    <row r="19" customFormat="false" ht="12.75" hidden="false" customHeight="false" outlineLevel="0" collapsed="false">
      <c r="A19" s="22" t="n">
        <v>30</v>
      </c>
      <c r="B19" s="114" t="n">
        <f aca="false">B$14*2^(($A19-1.76)/6.02)*1000000000000</f>
        <v>0.0258309697340021</v>
      </c>
      <c r="C19" s="114" t="n">
        <f aca="false">C$14*2^(($A19-1.76)/6.02)*1000000000000</f>
        <v>2.58309697340021</v>
      </c>
      <c r="D19" s="22"/>
      <c r="E19" s="22"/>
      <c r="F19" s="22"/>
    </row>
    <row r="20" customFormat="false" ht="12.75" hidden="false" customHeight="false" outlineLevel="0" collapsed="false">
      <c r="A20" s="22" t="n">
        <v>40</v>
      </c>
      <c r="B20" s="114" t="n">
        <f aca="false">B$14*2^(($A20-1.76)/6.02)*1000000000000</f>
        <v>0.0816940707681662</v>
      </c>
      <c r="C20" s="114" t="n">
        <f aca="false">C$14*2^(($A20-1.76)/6.02)*1000000000000</f>
        <v>8.16940707681662</v>
      </c>
      <c r="D20" s="22"/>
      <c r="E20" s="22"/>
      <c r="F20" s="22"/>
    </row>
    <row r="21" customFormat="false" ht="12.75" hidden="false" customHeight="false" outlineLevel="0" collapsed="false">
      <c r="A21" s="22" t="n">
        <v>50</v>
      </c>
      <c r="B21" s="114" t="n">
        <f aca="false">B$14*2^(($A21-1.76)/6.02)*1000000000000</f>
        <v>0.258368975977277</v>
      </c>
      <c r="C21" s="114" t="n">
        <f aca="false">C$14*2^(($A21-1.76)/6.02)*1000000000000</f>
        <v>25.8368975977277</v>
      </c>
      <c r="D21" s="22"/>
      <c r="E21" s="22"/>
      <c r="F21" s="22"/>
    </row>
    <row r="22" customFormat="false" ht="12.75" hidden="false" customHeight="false" outlineLevel="0" collapsed="false">
      <c r="A22" s="22" t="n">
        <v>60</v>
      </c>
      <c r="B22" s="114" t="n">
        <f aca="false">B$14*2^(($A22-1.76)/6.02)*1000000000000</f>
        <v>0.81712818470002</v>
      </c>
      <c r="C22" s="114" t="n">
        <f aca="false">C$14*2^(($A22-1.76)/6.02)*1000000000000</f>
        <v>81.712818470002</v>
      </c>
      <c r="D22" s="22"/>
      <c r="E22" s="22"/>
      <c r="F22" s="22"/>
    </row>
    <row r="23" customFormat="false" ht="12.75" hidden="false" customHeight="false" outlineLevel="0" collapsed="false">
      <c r="A23" s="22" t="n">
        <v>70</v>
      </c>
      <c r="B23" s="114" t="n">
        <f aca="false">B$14*2^(($A23-1.76)/6.02)*1000000000000</f>
        <v>2.58428268218191</v>
      </c>
      <c r="C23" s="114" t="n">
        <f aca="false">C$14*2^(($A23-1.76)/6.02)*1000000000000</f>
        <v>258.428268218191</v>
      </c>
      <c r="D23" s="22"/>
      <c r="E23" s="22"/>
      <c r="F23" s="22"/>
    </row>
    <row r="24" customFormat="false" ht="12.75" hidden="false" customHeight="false" outlineLevel="0" collapsed="false">
      <c r="A24" s="22" t="n">
        <v>80</v>
      </c>
      <c r="B24" s="114" t="n">
        <f aca="false">B$14*2^(($A24-1.76)/6.02)*1000000000000</f>
        <v>8.17315704741858</v>
      </c>
      <c r="C24" s="114" t="n">
        <f aca="false">C$14*2^(($A24-1.76)/6.02)*1000000000000</f>
        <v>817.315704741858</v>
      </c>
      <c r="D24" s="22"/>
      <c r="E24" s="22"/>
      <c r="F24" s="22"/>
    </row>
    <row r="25" customFormat="false" ht="12.75" hidden="false" customHeight="false" outlineLevel="0" collapsed="false">
      <c r="A25" s="22" t="n">
        <v>90</v>
      </c>
      <c r="B25" s="114" t="n">
        <f aca="false">B$14*2^(($A25-1.76)/6.02)*1000000000000</f>
        <v>25.8487574065885</v>
      </c>
      <c r="C25" s="114" t="n">
        <f aca="false">C$14*2^(($A25-1.76)/6.02)*1000000000000</f>
        <v>2584.87574065885</v>
      </c>
      <c r="D25" s="22"/>
      <c r="E25" s="22"/>
      <c r="F25" s="22"/>
    </row>
    <row r="26" customFormat="false" ht="12.75" hidden="false" customHeight="false" outlineLevel="0" collapsed="false">
      <c r="A26" s="22" t="n">
        <v>100</v>
      </c>
      <c r="B26" s="114" t="n">
        <f aca="false">B$14*2^(($A26-1.76)/6.02)*1000000000000</f>
        <v>81.7503267817048</v>
      </c>
      <c r="C26" s="114" t="n">
        <f aca="false">C$14*2^(($A26-1.76)/6.02)*1000000000000</f>
        <v>8175.03267817048</v>
      </c>
      <c r="D26" s="22"/>
      <c r="E26" s="22"/>
      <c r="F26" s="22"/>
    </row>
    <row r="27" customFormat="false" ht="12.75" hidden="false" customHeight="false" outlineLevel="0" collapsed="false">
      <c r="A27" s="22" t="n">
        <v>110</v>
      </c>
      <c r="B27" s="114" t="n">
        <f aca="false">B$14*2^(($A27-1.76)/6.02)*1000000000000</f>
        <v>258.546893523482</v>
      </c>
      <c r="C27" s="114" t="n">
        <f aca="false">C$14*2^(($A27-1.76)/6.02)*1000000000000</f>
        <v>25854.6893523482</v>
      </c>
      <c r="D27" s="22"/>
      <c r="E27" s="22"/>
      <c r="F27" s="22"/>
    </row>
    <row r="28" customFormat="false" ht="12.75" hidden="false" customHeight="false" outlineLevel="0" collapsed="false">
      <c r="A28" s="22" t="n">
        <v>120</v>
      </c>
      <c r="B28" s="114" t="n">
        <f aca="false">B$14*2^(($A28-1.76)/6.02)*1000000000000</f>
        <v>817.690873935469</v>
      </c>
      <c r="C28" s="114" t="n">
        <f aca="false">C$14*2^(($A28-1.76)/6.02)*1000000000000</f>
        <v>81769.0873935469</v>
      </c>
      <c r="D28" s="22"/>
      <c r="E28" s="22"/>
      <c r="F28" s="22"/>
    </row>
    <row r="31" customFormat="false" ht="12.75" hidden="false" customHeight="false" outlineLevel="0" collapsed="false">
      <c r="A31" s="37" t="s">
        <v>3049</v>
      </c>
      <c r="B31" s="124" t="n">
        <v>160</v>
      </c>
      <c r="C31" s="124" t="n">
        <v>185</v>
      </c>
      <c r="D31" s="77" t="s">
        <v>3050</v>
      </c>
    </row>
    <row r="32" customFormat="false" ht="12.75" hidden="false" customHeight="false" outlineLevel="0" collapsed="false">
      <c r="A32" s="22"/>
      <c r="B32" s="22"/>
      <c r="C32" s="22"/>
      <c r="D32" s="22"/>
    </row>
    <row r="33" customFormat="false" ht="12.75" hidden="false" customHeight="false" outlineLevel="0" collapsed="false">
      <c r="A33" s="22" t="s">
        <v>3047</v>
      </c>
      <c r="B33" s="34" t="s">
        <v>3048</v>
      </c>
      <c r="C33" s="34" t="s">
        <v>3048</v>
      </c>
      <c r="D33" s="22"/>
    </row>
    <row r="34" customFormat="false" ht="12.75" hidden="false" customHeight="false" outlineLevel="0" collapsed="false">
      <c r="A34" s="22" t="n">
        <v>10</v>
      </c>
      <c r="B34" s="52" t="n">
        <f aca="false">0.5*10^(-($B$31-A34)/10)*1000000000000</f>
        <v>0.0005</v>
      </c>
      <c r="C34" s="52" t="n">
        <f aca="false">0.5*10^(-($C$31-A34)/10)*1000000000000</f>
        <v>1.58113883008418E-006</v>
      </c>
      <c r="D34" s="22"/>
    </row>
    <row r="35" customFormat="false" ht="12.75" hidden="false" customHeight="false" outlineLevel="0" collapsed="false">
      <c r="A35" s="22" t="n">
        <v>20</v>
      </c>
      <c r="B35" s="52" t="n">
        <f aca="false">0.5*10^(-($B$31-A35)/10)*1000000000000</f>
        <v>0.005</v>
      </c>
      <c r="C35" s="52" t="n">
        <f aca="false">0.5*10^(-($C$31-A35)/10)*1000000000000</f>
        <v>1.58113883008419E-005</v>
      </c>
      <c r="D35" s="22"/>
    </row>
    <row r="36" customFormat="false" ht="12.75" hidden="false" customHeight="false" outlineLevel="0" collapsed="false">
      <c r="A36" s="22" t="n">
        <v>30</v>
      </c>
      <c r="B36" s="52" t="n">
        <f aca="false">0.5*10^(-($B$31-A36)/10)*1000000000000</f>
        <v>0.05</v>
      </c>
      <c r="C36" s="52" t="n">
        <f aca="false">0.5*10^(-($C$31-A36)/10)*1000000000000</f>
        <v>0.000158113883008419</v>
      </c>
      <c r="D36" s="22"/>
    </row>
    <row r="37" customFormat="false" ht="12.75" hidden="false" customHeight="false" outlineLevel="0" collapsed="false">
      <c r="A37" s="22" t="n">
        <v>40</v>
      </c>
      <c r="B37" s="52" t="n">
        <f aca="false">0.5*10^(-($B$31-A37)/10)*1000000000000</f>
        <v>0.5</v>
      </c>
      <c r="C37" s="52" t="n">
        <f aca="false">0.5*10^(-($C$31-A37)/10)*1000000000000</f>
        <v>0.00158113883008419</v>
      </c>
      <c r="D37" s="22"/>
    </row>
    <row r="38" customFormat="false" ht="12.75" hidden="false" customHeight="false" outlineLevel="0" collapsed="false">
      <c r="A38" s="22" t="n">
        <v>50</v>
      </c>
      <c r="B38" s="52" t="n">
        <f aca="false">0.5*10^(-($B$31-A38)/10)*1000000000000</f>
        <v>5</v>
      </c>
      <c r="C38" s="52" t="n">
        <f aca="false">0.5*10^(-($C$31-A38)/10)*1000000000000</f>
        <v>0.0158113883008419</v>
      </c>
      <c r="D38" s="22"/>
    </row>
    <row r="39" customFormat="false" ht="12.75" hidden="false" customHeight="false" outlineLevel="0" collapsed="false">
      <c r="A39" s="22" t="n">
        <v>60</v>
      </c>
      <c r="B39" s="52" t="n">
        <f aca="false">0.5*10^(-($B$31-A39)/10)*1000000000000</f>
        <v>50</v>
      </c>
      <c r="C39" s="52" t="n">
        <f aca="false">0.5*10^(-($C$31-A39)/10)*1000000000000</f>
        <v>0.158113883008419</v>
      </c>
      <c r="D39" s="22"/>
    </row>
    <row r="40" customFormat="false" ht="12.75" hidden="false" customHeight="false" outlineLevel="0" collapsed="false">
      <c r="A40" s="22" t="n">
        <v>70</v>
      </c>
      <c r="B40" s="52" t="n">
        <f aca="false">0.5*10^(-($B$31-A40)/10)*1000000000000</f>
        <v>500</v>
      </c>
      <c r="C40" s="52" t="n">
        <f aca="false">0.5*10^(-($C$31-A40)/10)*1000000000000</f>
        <v>1.58113883008419</v>
      </c>
      <c r="D40" s="22"/>
    </row>
    <row r="41" customFormat="false" ht="12.75" hidden="false" customHeight="false" outlineLevel="0" collapsed="false">
      <c r="A41" s="22" t="n">
        <v>80</v>
      </c>
      <c r="B41" s="52" t="n">
        <f aca="false">0.5*10^(-($B$31-A41)/10)*1000000000000</f>
        <v>5000</v>
      </c>
      <c r="C41" s="52" t="n">
        <f aca="false">0.5*10^(-($C$31-A41)/10)*1000000000000</f>
        <v>15.8113883008419</v>
      </c>
      <c r="D41" s="22"/>
    </row>
    <row r="42" customFormat="false" ht="12.75" hidden="false" customHeight="false" outlineLevel="0" collapsed="false">
      <c r="A42" s="22" t="n">
        <v>90</v>
      </c>
      <c r="B42" s="52" t="n">
        <f aca="false">0.5*10^(-($B$31-A42)/10)*1000000000000</f>
        <v>50000</v>
      </c>
      <c r="C42" s="52" t="n">
        <f aca="false">0.5*10^(-($C$31-A42)/10)*1000000000000</f>
        <v>158.113883008419</v>
      </c>
      <c r="D42" s="22"/>
    </row>
    <row r="43" customFormat="false" ht="12.75" hidden="false" customHeight="false" outlineLevel="0" collapsed="false">
      <c r="A43" s="22" t="n">
        <v>100</v>
      </c>
      <c r="B43" s="52" t="n">
        <f aca="false">0.5*10^(-($B$31-A43)/10)*1000000000000</f>
        <v>500000</v>
      </c>
      <c r="C43" s="52" t="n">
        <f aca="false">0.5*10^(-($C$31-A43)/10)*1000000000000</f>
        <v>1581.13883008419</v>
      </c>
      <c r="D43" s="22"/>
    </row>
    <row r="44" customFormat="false" ht="12.75" hidden="false" customHeight="false" outlineLevel="0" collapsed="false">
      <c r="A44" s="22" t="n">
        <v>110</v>
      </c>
      <c r="B44" s="52" t="n">
        <f aca="false">0.5*10^(-($B$31-A44)/10)*1000000000000</f>
        <v>5000000</v>
      </c>
      <c r="C44" s="52" t="n">
        <f aca="false">0.5*10^(-($C$31-A44)/10)*1000000000000</f>
        <v>15811.3883008419</v>
      </c>
      <c r="D44" s="22"/>
    </row>
    <row r="45" customFormat="false" ht="12.75" hidden="false" customHeight="false" outlineLevel="0" collapsed="false">
      <c r="A45" s="22" t="n">
        <v>120</v>
      </c>
      <c r="B45" s="52" t="n">
        <f aca="false">0.5*10^(-($B$31-A45)/10)*1000000000000</f>
        <v>50000000</v>
      </c>
      <c r="C45" s="52" t="n">
        <f aca="false">0.5*10^(-($C$31-A45)/10)*1000000000000</f>
        <v>158113.883008419</v>
      </c>
      <c r="D45" s="22"/>
    </row>
    <row r="48" customFormat="false" ht="12.75" hidden="false" customHeight="false" outlineLevel="0" collapsed="false">
      <c r="A48" s="2" t="s">
        <v>3051</v>
      </c>
    </row>
    <row r="50" customFormat="false" ht="12.75" hidden="false" customHeight="false" outlineLevel="0" collapsed="false">
      <c r="B50" s="2" t="s">
        <v>3052</v>
      </c>
      <c r="E50" s="2" t="s">
        <v>3053</v>
      </c>
      <c r="I50" s="2" t="s">
        <v>3054</v>
      </c>
      <c r="L50" s="2" t="s">
        <v>110</v>
      </c>
    </row>
    <row r="51" customFormat="false" ht="12.75" hidden="false" customHeight="false" outlineLevel="0" collapsed="false">
      <c r="B51" s="17" t="s">
        <v>3055</v>
      </c>
      <c r="C51" s="17" t="s">
        <v>3056</v>
      </c>
      <c r="D51" s="17" t="s">
        <v>3057</v>
      </c>
      <c r="E51" s="17" t="s">
        <v>3055</v>
      </c>
      <c r="F51" s="17" t="s">
        <v>3056</v>
      </c>
      <c r="G51" s="17" t="s">
        <v>3057</v>
      </c>
      <c r="I51" s="17" t="s">
        <v>3055</v>
      </c>
      <c r="J51" s="17" t="s">
        <v>3056</v>
      </c>
      <c r="K51" s="17" t="s">
        <v>3057</v>
      </c>
      <c r="L51" s="17" t="s">
        <v>3055</v>
      </c>
      <c r="M51" s="17" t="s">
        <v>3056</v>
      </c>
      <c r="N51" s="17" t="s">
        <v>3057</v>
      </c>
    </row>
    <row r="52" customFormat="false" ht="12.75" hidden="false" customHeight="false" outlineLevel="0" collapsed="false">
      <c r="A52" s="0" t="n">
        <v>1</v>
      </c>
      <c r="B52" s="125" t="n">
        <f aca="false">SMALL(ISSCC!AF:AF,'Jitter and FOM lines'!$A52)</f>
        <v>0.606176518609624</v>
      </c>
      <c r="C52" s="125" t="n">
        <f aca="false">SMALL(VLSI!AF:AF,'Jitter and FOM lines'!$A52)</f>
        <v>0.353518007086617</v>
      </c>
      <c r="D52" s="125" t="n">
        <f aca="false">SMALL($B$52:$C$56,$A52)</f>
        <v>0.353518007086617</v>
      </c>
      <c r="E52" s="123" t="n">
        <f aca="false">SMALL(ISSCC!AI:AI,'Jitter and FOM lines'!$A52)</f>
        <v>6.66294814542809E-010</v>
      </c>
      <c r="F52" s="123" t="n">
        <f aca="false">SMALL(VLSI!AI:AI,'Jitter and FOM lines'!$A52)</f>
        <v>1.73448131106753E-009</v>
      </c>
      <c r="G52" s="123" t="n">
        <f aca="false">SMALL($E$52:$F$56,$A52)</f>
        <v>6.66294814542809E-010</v>
      </c>
      <c r="I52" s="125" t="n">
        <f aca="false">LARGE(ISSCC!AH:AH,'Jitter and FOM lines'!$A52)</f>
        <v>186.825130897738</v>
      </c>
      <c r="J52" s="125" t="n">
        <f aca="false">LARGE(VLSI!AH:AH,'Jitter and FOM lines'!$A52)</f>
        <v>183.075773191778</v>
      </c>
      <c r="K52" s="126" t="n">
        <f aca="false">LARGE($I$52:$J$56,$A52)</f>
        <v>186.825130897738</v>
      </c>
      <c r="L52" s="125" t="n">
        <f aca="false">LARGE(ISSCC!AJ:AJ,'Jitter and FOM lines'!$A52)</f>
        <v>263.475680629134</v>
      </c>
      <c r="M52" s="125" t="n">
        <f aca="false">LARGE(VLSI!AJ:AJ,'Jitter and FOM lines'!$A52)</f>
        <v>260.308686194421</v>
      </c>
      <c r="N52" s="125" t="n">
        <f aca="false">LARGE($L$52:$M$56,$A52)</f>
        <v>263.475680629134</v>
      </c>
    </row>
    <row r="53" customFormat="false" ht="12.75" hidden="false" customHeight="false" outlineLevel="0" collapsed="false">
      <c r="A53" s="0" t="n">
        <v>2</v>
      </c>
      <c r="B53" s="125" t="n">
        <f aca="false">SMALL(ISSCC!AF:AF,'Jitter and FOM lines'!$A53)</f>
        <v>0.850121253763477</v>
      </c>
      <c r="C53" s="125" t="n">
        <f aca="false">SMALL(VLSI!AF:AF,'Jitter and FOM lines'!$A53)</f>
        <v>0.44253395302555</v>
      </c>
      <c r="D53" s="125" t="n">
        <f aca="false">SMALL($B$52:$C$56,$A53)</f>
        <v>0.44253395302555</v>
      </c>
      <c r="E53" s="123" t="n">
        <f aca="false">SMALL(ISSCC!AI:AI,'Jitter and FOM lines'!$A53)</f>
        <v>6.7E-010</v>
      </c>
      <c r="F53" s="123" t="n">
        <f aca="false">SMALL(VLSI!AI:AI,'Jitter and FOM lines'!$A53)</f>
        <v>2.14625107487845E-009</v>
      </c>
      <c r="G53" s="123" t="n">
        <f aca="false">SMALL($E$52:$F$56,$A53)</f>
        <v>6.7E-010</v>
      </c>
      <c r="I53" s="125" t="n">
        <f aca="false">LARGE(ISSCC!AH:AH,'Jitter and FOM lines'!$A53)</f>
        <v>186.005810742857</v>
      </c>
      <c r="J53" s="125" t="n">
        <f aca="false">LARGE(VLSI!AH:AH,'Jitter and FOM lines'!$A53)</f>
        <v>182.024298239021</v>
      </c>
      <c r="K53" s="126" t="n">
        <f aca="false">LARGE($I$52:$J$56,$A53)</f>
        <v>186.005810742857</v>
      </c>
      <c r="L53" s="125" t="n">
        <f aca="false">LARGE(ISSCC!AJ:AJ,'Jitter and FOM lines'!$A53)</f>
        <v>262.63042856566</v>
      </c>
      <c r="M53" s="125" t="n">
        <f aca="false">LARGE(VLSI!AJ:AJ,'Jitter and FOM lines'!$A53)</f>
        <v>259.466619946739</v>
      </c>
      <c r="N53" s="125" t="n">
        <f aca="false">LARGE($L$52:$M$56,$A53)</f>
        <v>262.63042856566</v>
      </c>
    </row>
    <row r="54" customFormat="false" ht="12.75" hidden="false" customHeight="false" outlineLevel="0" collapsed="false">
      <c r="A54" s="0" t="n">
        <v>3</v>
      </c>
      <c r="B54" s="125" t="n">
        <f aca="false">SMALL(ISSCC!AF:AF,'Jitter and FOM lines'!$A54)</f>
        <v>1.41396564234121</v>
      </c>
      <c r="C54" s="125" t="n">
        <f aca="false">SMALL(VLSI!AF:AF,'Jitter and FOM lines'!$A54)</f>
        <v>1.09447198009087</v>
      </c>
      <c r="D54" s="125" t="n">
        <f aca="false">SMALL($B$52:$C$56,$A54)</f>
        <v>0.606176518609624</v>
      </c>
      <c r="E54" s="123" t="n">
        <f aca="false">SMALL(ISSCC!AI:AI,'Jitter and FOM lines'!$A54)</f>
        <v>1.08203480755592E-009</v>
      </c>
      <c r="F54" s="123" t="n">
        <f aca="false">SMALL(VLSI!AI:AI,'Jitter and FOM lines'!$A54)</f>
        <v>3.06459821578729E-009</v>
      </c>
      <c r="G54" s="123" t="n">
        <f aca="false">SMALL($E$52:$F$56,$A54)</f>
        <v>1.08203480755592E-009</v>
      </c>
      <c r="I54" s="125" t="n">
        <f aca="false">LARGE(ISSCC!AH:AH,'Jitter and FOM lines'!$A54)</f>
        <v>185.324655821027</v>
      </c>
      <c r="J54" s="125" t="n">
        <f aca="false">LARGE(VLSI!AH:AH,'Jitter and FOM lines'!$A54)</f>
        <v>181.500415205752</v>
      </c>
      <c r="K54" s="126" t="n">
        <f aca="false">LARGE($I$52:$J$56,$A54)</f>
        <v>185.324655821027</v>
      </c>
      <c r="L54" s="125" t="n">
        <f aca="false">LARGE(ISSCC!AJ:AJ,'Jitter and FOM lines'!$A54)</f>
        <v>260.918094864574</v>
      </c>
      <c r="M54" s="125" t="n">
        <f aca="false">LARGE(VLSI!AJ:AJ,'Jitter and FOM lines'!$A54)</f>
        <v>258.797519816658</v>
      </c>
      <c r="N54" s="125" t="n">
        <f aca="false">LARGE($L$52:$M$56,$A54)</f>
        <v>260.918094864574</v>
      </c>
    </row>
    <row r="55" customFormat="false" ht="12.75" hidden="false" customHeight="false" outlineLevel="0" collapsed="false">
      <c r="A55" s="0" t="n">
        <v>4</v>
      </c>
      <c r="B55" s="125" t="n">
        <f aca="false">SMALL(ISSCC!AF:AF,'Jitter and FOM lines'!$A55)</f>
        <v>1.46962298161667</v>
      </c>
      <c r="C55" s="125" t="n">
        <f aca="false">SMALL(VLSI!AF:AF,'Jitter and FOM lines'!$A55)</f>
        <v>2.02223297209633</v>
      </c>
      <c r="D55" s="125" t="n">
        <f aca="false">SMALL($B$52:$C$56,$A55)</f>
        <v>0.850121253763477</v>
      </c>
      <c r="E55" s="123" t="n">
        <f aca="false">SMALL(ISSCC!AI:AI,'Jitter and FOM lines'!$A55)</f>
        <v>1.82793436108873E-009</v>
      </c>
      <c r="F55" s="123" t="n">
        <f aca="false">SMALL(VLSI!AI:AI,'Jitter and FOM lines'!$A55)</f>
        <v>3.7721667127114E-009</v>
      </c>
      <c r="G55" s="123" t="n">
        <f aca="false">SMALL($E$52:$F$56,$A55)</f>
        <v>1.73448131106753E-009</v>
      </c>
      <c r="I55" s="125" t="n">
        <f aca="false">LARGE(ISSCC!AH:AH,'Jitter and FOM lines'!$A55)</f>
        <v>184.728754016455</v>
      </c>
      <c r="J55" s="125" t="n">
        <f aca="false">LARGE(VLSI!AH:AH,'Jitter and FOM lines'!$A55)</f>
        <v>180.761996481832</v>
      </c>
      <c r="K55" s="126" t="n">
        <f aca="false">LARGE($I$52:$J$56,$A55)</f>
        <v>184.728754016455</v>
      </c>
      <c r="L55" s="125" t="n">
        <f aca="false">LARGE(ISSCC!AJ:AJ,'Jitter and FOM lines'!$A55)</f>
        <v>260.238719643218</v>
      </c>
      <c r="M55" s="125" t="n">
        <f aca="false">LARGE(VLSI!AJ:AJ,'Jitter and FOM lines'!$A55)</f>
        <v>257.54940806933</v>
      </c>
      <c r="N55" s="125" t="n">
        <f aca="false">LARGE($L$52:$M$56,$A55)</f>
        <v>260.308686194421</v>
      </c>
    </row>
    <row r="56" customFormat="false" ht="12.75" hidden="false" customHeight="false" outlineLevel="0" collapsed="false">
      <c r="A56" s="0" t="n">
        <v>5</v>
      </c>
      <c r="B56" s="125" t="n">
        <f aca="false">SMALL(ISSCC!AF:AF,'Jitter and FOM lines'!$A56)</f>
        <v>1.83028207362329</v>
      </c>
      <c r="C56" s="125" t="n">
        <f aca="false">SMALL(VLSI!AF:AF,'Jitter and FOM lines'!$A56)</f>
        <v>2.17744835118006</v>
      </c>
      <c r="D56" s="125" t="n">
        <f aca="false">SMALL($B$52:$C$56,$A56)</f>
        <v>1.09447198009087</v>
      </c>
      <c r="E56" s="123" t="n">
        <f aca="false">SMALL(ISSCC!AI:AI,'Jitter and FOM lines'!$A56)</f>
        <v>1.86429594886147E-009</v>
      </c>
      <c r="F56" s="123" t="n">
        <f aca="false">SMALL(VLSI!AI:AI,'Jitter and FOM lines'!$A56)</f>
        <v>3.94433299875242E-009</v>
      </c>
      <c r="G56" s="123" t="n">
        <f aca="false">SMALL($E$52:$F$56,$A56)</f>
        <v>1.82793436108873E-009</v>
      </c>
      <c r="I56" s="125" t="n">
        <f aca="false">LARGE(ISSCC!AH:AH,'Jitter and FOM lines'!$A56)</f>
        <v>183.957574905607</v>
      </c>
      <c r="J56" s="125" t="n">
        <f aca="false">LARGE(VLSI!AH:AH,'Jitter and FOM lines'!$A56)</f>
        <v>180.563564033832</v>
      </c>
      <c r="K56" s="126" t="n">
        <f aca="false">LARGE($I$52:$J$56,$A56)</f>
        <v>183.957574905607</v>
      </c>
      <c r="L56" s="125" t="n">
        <f aca="false">LARGE(ISSCC!AJ:AJ,'Jitter and FOM lines'!$A56)</f>
        <v>259.236641390713</v>
      </c>
      <c r="M56" s="125" t="n">
        <f aca="false">LARGE(VLSI!AJ:AJ,'Jitter and FOM lines'!$A56)</f>
        <v>257.5</v>
      </c>
      <c r="N56" s="125" t="n">
        <f aca="false">LARGE($L$52:$M$56,$A56)</f>
        <v>260.238719643218</v>
      </c>
    </row>
    <row r="57" customFormat="false" ht="12.75" hidden="false" customHeight="false" outlineLevel="0" collapsed="false">
      <c r="A57" s="2" t="s">
        <v>3058</v>
      </c>
      <c r="B57" s="127" t="n">
        <f aca="false">AVERAGE(B52:B56)</f>
        <v>1.23403369399085</v>
      </c>
      <c r="C57" s="127" t="n">
        <f aca="false">AVERAGE(C52:C56)</f>
        <v>1.21804105269589</v>
      </c>
      <c r="D57" s="128" t="n">
        <f aca="false">AVERAGE(D52:D56)</f>
        <v>0.669364342515228</v>
      </c>
      <c r="E57" s="129" t="n">
        <f aca="false">AVERAGE(E52:E56)</f>
        <v>1.22211198640979E-009</v>
      </c>
      <c r="F57" s="129" t="n">
        <f aca="false">AVERAGE(F52:F56)</f>
        <v>2.93236606263942E-009</v>
      </c>
      <c r="G57" s="130" t="n">
        <f aca="false">AVERAGE(G52:G56)</f>
        <v>1.196149058851E-009</v>
      </c>
      <c r="I57" s="127" t="n">
        <f aca="false" t="array" ref="I57:I57">10*LOG10(AVERAGE(10^(I52:I56/10)))</f>
        <v>185.481803699998</v>
      </c>
      <c r="J57" s="127" t="n">
        <f aca="false" t="array" ref="J57:J57">10*LOG10(AVERAGE(10^(J52:J56/10)))</f>
        <v>181.68331801539</v>
      </c>
      <c r="K57" s="128" t="n">
        <f aca="false" t="array" ref="K57:K57">10*LOG10(AVERAGE(10^(K52:K56/10)))</f>
        <v>185.481803699998</v>
      </c>
      <c r="L57" s="127" t="n">
        <f aca="false" t="array" ref="L57:L57">10*LOG10(AVERAGE(10^(L52:L56/10)))</f>
        <v>261.57724912295</v>
      </c>
      <c r="M57" s="127" t="n">
        <f aca="false" t="array" ref="M57:M57">10*LOG10(AVERAGE(10^(M52:M56/10)))</f>
        <v>258.86192006588</v>
      </c>
      <c r="N57" s="128" t="n">
        <f aca="false" t="array" ref="N57:N57">10*LOG10(AVERAGE(10^(N52:N56/10)))</f>
        <v>261.716849868037</v>
      </c>
    </row>
    <row r="59" customFormat="false" ht="12.75" hidden="false" customHeight="false" outlineLevel="0" collapsed="false">
      <c r="D59" s="131" t="s">
        <v>3059</v>
      </c>
      <c r="E59" s="123"/>
      <c r="G59" s="130" t="n">
        <f aca="false">D57/G57</f>
        <v>559599439.185455</v>
      </c>
      <c r="K59" s="131" t="s">
        <v>3060</v>
      </c>
      <c r="N59" s="130" t="n">
        <f aca="false">10^((N57-K57)/10)</f>
        <v>42024699.5124434</v>
      </c>
    </row>
    <row r="61" s="2" customFormat="true" ht="12.75" hidden="false" customHeight="false" outlineLevel="0" collapsed="false">
      <c r="A61" s="2" t="s">
        <v>3061</v>
      </c>
    </row>
    <row r="63" customFormat="false" ht="12.75" hidden="false" customHeight="false" outlineLevel="0" collapsed="false">
      <c r="C63" s="2" t="s">
        <v>3052</v>
      </c>
      <c r="D63" s="129" t="s">
        <v>3054</v>
      </c>
    </row>
    <row r="64" customFormat="false" ht="12.75" hidden="false" customHeight="false" outlineLevel="0" collapsed="false">
      <c r="A64" s="0" t="s">
        <v>3062</v>
      </c>
      <c r="B64" s="17" t="s">
        <v>3043</v>
      </c>
      <c r="C64" s="2" t="s">
        <v>3063</v>
      </c>
      <c r="D64" s="2" t="s">
        <v>3063</v>
      </c>
    </row>
    <row r="65" customFormat="false" ht="12.75" hidden="false" customHeight="false" outlineLevel="0" collapsed="false">
      <c r="A65" s="0" t="n">
        <v>2</v>
      </c>
      <c r="B65" s="123" t="n">
        <f aca="false">10^A65</f>
        <v>100</v>
      </c>
      <c r="C65" s="125" t="n">
        <f aca="false">$D$57*SQRT(1+(B65/$G$59)^2)</f>
        <v>0.669364342515239</v>
      </c>
      <c r="D65" s="125" t="n">
        <f aca="false">$K$57-10*LOG10(SQRT(1+(B65/$N$59)^2))</f>
        <v>185.481803699986</v>
      </c>
      <c r="I65" s="125"/>
      <c r="J65" s="125"/>
    </row>
    <row r="66" customFormat="false" ht="12.75" hidden="false" customHeight="false" outlineLevel="0" collapsed="false">
      <c r="A66" s="0" t="n">
        <v>2.1</v>
      </c>
      <c r="B66" s="123" t="n">
        <f aca="false">10^A66</f>
        <v>125.892541179417</v>
      </c>
      <c r="C66" s="125" t="n">
        <f aca="false">$D$57*SQRT(1+(B66/$G$59)^2)</f>
        <v>0.669364342515245</v>
      </c>
      <c r="D66" s="125" t="n">
        <f aca="false">$K$57-10*LOG10(SQRT(1+(B66/$N$59)^2))</f>
        <v>185.481803699979</v>
      </c>
    </row>
    <row r="67" customFormat="false" ht="12.75" hidden="false" customHeight="false" outlineLevel="0" collapsed="false">
      <c r="A67" s="0" t="n">
        <v>2.2</v>
      </c>
      <c r="B67" s="123" t="n">
        <f aca="false">10^A67</f>
        <v>158.489319246111</v>
      </c>
      <c r="C67" s="125" t="n">
        <f aca="false">$D$57*SQRT(1+(B67/$G$59)^2)</f>
        <v>0.669364342515255</v>
      </c>
      <c r="D67" s="125" t="n">
        <f aca="false">$K$57-10*LOG10(SQRT(1+(B67/$N$59)^2))</f>
        <v>185.481803699968</v>
      </c>
    </row>
    <row r="68" customFormat="false" ht="12.75" hidden="false" customHeight="false" outlineLevel="0" collapsed="false">
      <c r="A68" s="0" t="n">
        <v>2.3</v>
      </c>
      <c r="B68" s="123" t="n">
        <f aca="false">10^A68</f>
        <v>199.526231496888</v>
      </c>
      <c r="C68" s="125" t="n">
        <f aca="false">$D$57*SQRT(1+(B68/$G$59)^2)</f>
        <v>0.669364342515271</v>
      </c>
      <c r="D68" s="125" t="n">
        <f aca="false">$K$57-10*LOG10(SQRT(1+(B68/$N$59)^2))</f>
        <v>185.48180369995</v>
      </c>
    </row>
    <row r="69" customFormat="false" ht="12.75" hidden="false" customHeight="false" outlineLevel="0" collapsed="false">
      <c r="A69" s="0" t="n">
        <v>2.4</v>
      </c>
      <c r="B69" s="123" t="n">
        <f aca="false">10^A69</f>
        <v>251.188643150958</v>
      </c>
      <c r="C69" s="125" t="n">
        <f aca="false">$D$57*SQRT(1+(B69/$G$59)^2)</f>
        <v>0.669364342515296</v>
      </c>
      <c r="D69" s="125" t="n">
        <f aca="false">$K$57-10*LOG10(SQRT(1+(B69/$N$59)^2))</f>
        <v>185.481803699921</v>
      </c>
    </row>
    <row r="70" customFormat="false" ht="12.75" hidden="false" customHeight="false" outlineLevel="0" collapsed="false">
      <c r="A70" s="0" t="n">
        <v>2.5</v>
      </c>
      <c r="B70" s="123" t="n">
        <f aca="false">10^A70</f>
        <v>316.227766016838</v>
      </c>
      <c r="C70" s="125" t="n">
        <f aca="false">$D$57*SQRT(1+(B70/$G$59)^2)</f>
        <v>0.669364342515335</v>
      </c>
      <c r="D70" s="125" t="n">
        <f aca="false">$K$57-10*LOG10(SQRT(1+(B70/$N$59)^2))</f>
        <v>185.481803699876</v>
      </c>
    </row>
    <row r="71" customFormat="false" ht="12.75" hidden="false" customHeight="false" outlineLevel="0" collapsed="false">
      <c r="A71" s="0" t="n">
        <v>2.6</v>
      </c>
      <c r="B71" s="123" t="n">
        <f aca="false">10^A71</f>
        <v>398.107170553497</v>
      </c>
      <c r="C71" s="125" t="n">
        <f aca="false">$D$57*SQRT(1+(B71/$G$59)^2)</f>
        <v>0.669364342515398</v>
      </c>
      <c r="D71" s="125" t="n">
        <f aca="false">$K$57-10*LOG10(SQRT(1+(B71/$N$59)^2))</f>
        <v>185.481803699804</v>
      </c>
    </row>
    <row r="72" customFormat="false" ht="12.75" hidden="false" customHeight="false" outlineLevel="0" collapsed="false">
      <c r="A72" s="0" t="n">
        <v>2.7</v>
      </c>
      <c r="B72" s="123" t="n">
        <f aca="false">10^A72</f>
        <v>501.187233627272</v>
      </c>
      <c r="C72" s="125" t="n">
        <f aca="false">$D$57*SQRT(1+(B72/$G$59)^2)</f>
        <v>0.669364342515497</v>
      </c>
      <c r="D72" s="125" t="n">
        <f aca="false">$K$57-10*LOG10(SQRT(1+(B72/$N$59)^2))</f>
        <v>185.48180369969</v>
      </c>
    </row>
    <row r="73" customFormat="false" ht="12.75" hidden="false" customHeight="false" outlineLevel="0" collapsed="false">
      <c r="A73" s="0" t="n">
        <v>2.8</v>
      </c>
      <c r="B73" s="123" t="n">
        <f aca="false">10^A73</f>
        <v>630.957344480193</v>
      </c>
      <c r="C73" s="125" t="n">
        <f aca="false">$D$57*SQRT(1+(B73/$G$59)^2)</f>
        <v>0.669364342515654</v>
      </c>
      <c r="D73" s="125" t="n">
        <f aca="false">$K$57-10*LOG10(SQRT(1+(B73/$N$59)^2))</f>
        <v>185.481803699509</v>
      </c>
    </row>
    <row r="74" customFormat="false" ht="12.75" hidden="false" customHeight="false" outlineLevel="0" collapsed="false">
      <c r="A74" s="0" t="n">
        <v>2.9</v>
      </c>
      <c r="B74" s="123" t="n">
        <f aca="false">10^A74</f>
        <v>794.328234724281</v>
      </c>
      <c r="C74" s="125" t="n">
        <f aca="false">$D$57*SQRT(1+(B74/$G$59)^2)</f>
        <v>0.669364342515903</v>
      </c>
      <c r="D74" s="125" t="n">
        <f aca="false">$K$57-10*LOG10(SQRT(1+(B74/$N$59)^2))</f>
        <v>185.481803699223</v>
      </c>
    </row>
    <row r="75" customFormat="false" ht="12.75" hidden="false" customHeight="false" outlineLevel="0" collapsed="false">
      <c r="A75" s="0" t="n">
        <v>3</v>
      </c>
      <c r="B75" s="123" t="n">
        <f aca="false">10^A75</f>
        <v>1000</v>
      </c>
      <c r="C75" s="125" t="n">
        <f aca="false">$D$57*SQRT(1+(B75/$G$59)^2)</f>
        <v>0.669364342516297</v>
      </c>
      <c r="D75" s="125" t="n">
        <f aca="false">$K$57-10*LOG10(SQRT(1+(B75/$N$59)^2))</f>
        <v>185.481803698769</v>
      </c>
    </row>
    <row r="76" customFormat="false" ht="12.75" hidden="false" customHeight="false" outlineLevel="0" collapsed="false">
      <c r="A76" s="0" t="n">
        <v>3.1</v>
      </c>
      <c r="B76" s="123" t="n">
        <f aca="false">10^A76</f>
        <v>1258.92541179417</v>
      </c>
      <c r="C76" s="125" t="n">
        <f aca="false">$D$57*SQRT(1+(B76/$G$59)^2)</f>
        <v>0.669364342516922</v>
      </c>
      <c r="D76" s="125" t="n">
        <f aca="false">$K$57-10*LOG10(SQRT(1+(B76/$N$59)^2))</f>
        <v>185.48180369805</v>
      </c>
    </row>
    <row r="77" customFormat="false" ht="12.75" hidden="false" customHeight="false" outlineLevel="0" collapsed="false">
      <c r="A77" s="0" t="n">
        <v>3.2</v>
      </c>
      <c r="B77" s="123" t="n">
        <f aca="false">10^A77</f>
        <v>1584.89319246111</v>
      </c>
      <c r="C77" s="125" t="n">
        <f aca="false">$D$57*SQRT(1+(B77/$G$59)^2)</f>
        <v>0.669364342517913</v>
      </c>
      <c r="D77" s="125" t="n">
        <f aca="false">$K$57-10*LOG10(SQRT(1+(B77/$N$59)^2))</f>
        <v>185.48180369691</v>
      </c>
    </row>
    <row r="78" customFormat="false" ht="12.75" hidden="false" customHeight="false" outlineLevel="0" collapsed="false">
      <c r="A78" s="0" t="n">
        <v>3.3</v>
      </c>
      <c r="B78" s="123" t="n">
        <f aca="false">10^A78</f>
        <v>1995.26231496888</v>
      </c>
      <c r="C78" s="125" t="n">
        <f aca="false">$D$57*SQRT(1+(B78/$G$59)^2)</f>
        <v>0.669364342519483</v>
      </c>
      <c r="D78" s="125" t="n">
        <f aca="false">$K$57-10*LOG10(SQRT(1+(B78/$N$59)^2))</f>
        <v>185.481803695104</v>
      </c>
    </row>
    <row r="79" customFormat="false" ht="12.75" hidden="false" customHeight="false" outlineLevel="0" collapsed="false">
      <c r="A79" s="0" t="n">
        <v>3.4</v>
      </c>
      <c r="B79" s="123" t="n">
        <f aca="false">10^A79</f>
        <v>2511.88643150958</v>
      </c>
      <c r="C79" s="125" t="n">
        <f aca="false">$D$57*SQRT(1+(B79/$G$59)^2)</f>
        <v>0.669364342521972</v>
      </c>
      <c r="D79" s="125" t="n">
        <f aca="false">$K$57-10*LOG10(SQRT(1+(B79/$N$59)^2))</f>
        <v>185.481803692241</v>
      </c>
    </row>
    <row r="80" customFormat="false" ht="12.75" hidden="false" customHeight="false" outlineLevel="0" collapsed="false">
      <c r="A80" s="0" t="n">
        <v>3.5</v>
      </c>
      <c r="B80" s="123" t="n">
        <f aca="false">10^A80</f>
        <v>3162.27766016838</v>
      </c>
      <c r="C80" s="125" t="n">
        <f aca="false">$D$57*SQRT(1+(B80/$G$59)^2)</f>
        <v>0.669364342525916</v>
      </c>
      <c r="D80" s="125" t="n">
        <f aca="false">$K$57-10*LOG10(SQRT(1+(B80/$N$59)^2))</f>
        <v>185.481803687703</v>
      </c>
    </row>
    <row r="81" customFormat="false" ht="12.75" hidden="false" customHeight="false" outlineLevel="0" collapsed="false">
      <c r="A81" s="0" t="n">
        <v>3.6</v>
      </c>
      <c r="B81" s="123" t="n">
        <f aca="false">10^A81</f>
        <v>3981.07170553497</v>
      </c>
      <c r="C81" s="125" t="n">
        <f aca="false">$D$57*SQRT(1+(B81/$G$59)^2)</f>
        <v>0.669364342532167</v>
      </c>
      <c r="D81" s="125" t="n">
        <f aca="false">$K$57-10*LOG10(SQRT(1+(B81/$N$59)^2))</f>
        <v>185.481803680512</v>
      </c>
    </row>
    <row r="82" customFormat="false" ht="12.75" hidden="false" customHeight="false" outlineLevel="0" collapsed="false">
      <c r="A82" s="0" t="n">
        <v>3.7</v>
      </c>
      <c r="B82" s="123" t="n">
        <f aca="false">10^A82</f>
        <v>5011.87233627272</v>
      </c>
      <c r="C82" s="125" t="n">
        <f aca="false">$D$57*SQRT(1+(B82/$G$59)^2)</f>
        <v>0.669364342542074</v>
      </c>
      <c r="D82" s="125" t="n">
        <f aca="false">$K$57-10*LOG10(SQRT(1+(B82/$N$59)^2))</f>
        <v>185.481803669114</v>
      </c>
    </row>
    <row r="83" customFormat="false" ht="12.75" hidden="false" customHeight="false" outlineLevel="0" collapsed="false">
      <c r="A83" s="0" t="n">
        <v>3.8</v>
      </c>
      <c r="B83" s="123" t="n">
        <f aca="false">10^A83</f>
        <v>6309.57344480193</v>
      </c>
      <c r="C83" s="125" t="n">
        <f aca="false">$D$57*SQRT(1+(B83/$G$59)^2)</f>
        <v>0.669364342557776</v>
      </c>
      <c r="D83" s="125" t="n">
        <f aca="false">$K$57-10*LOG10(SQRT(1+(B83/$N$59)^2))</f>
        <v>185.481803651049</v>
      </c>
    </row>
    <row r="84" customFormat="false" ht="12.75" hidden="false" customHeight="false" outlineLevel="0" collapsed="false">
      <c r="A84" s="0" t="n">
        <v>3.9</v>
      </c>
      <c r="B84" s="123" t="n">
        <f aca="false">10^A84</f>
        <v>7943.28234724281</v>
      </c>
      <c r="C84" s="125" t="n">
        <f aca="false">$D$57*SQRT(1+(B84/$G$59)^2)</f>
        <v>0.669364342582662</v>
      </c>
      <c r="D84" s="125" t="n">
        <f aca="false">$K$57-10*LOG10(SQRT(1+(B84/$N$59)^2))</f>
        <v>185.481803622419</v>
      </c>
    </row>
    <row r="85" customFormat="false" ht="12.75" hidden="false" customHeight="false" outlineLevel="0" collapsed="false">
      <c r="A85" s="0" t="n">
        <v>4</v>
      </c>
      <c r="B85" s="123" t="n">
        <f aca="false">10^A85</f>
        <v>10000</v>
      </c>
      <c r="C85" s="125" t="n">
        <f aca="false">$D$57*SQRT(1+(B85/$G$59)^2)</f>
        <v>0.669364342622104</v>
      </c>
      <c r="D85" s="125" t="n">
        <f aca="false">$K$57-10*LOG10(SQRT(1+(B85/$N$59)^2))</f>
        <v>185.481803577044</v>
      </c>
    </row>
    <row r="86" customFormat="false" ht="12.75" hidden="false" customHeight="false" outlineLevel="0" collapsed="false">
      <c r="A86" s="0" t="n">
        <v>4.1</v>
      </c>
      <c r="B86" s="123" t="n">
        <f aca="false">10^A86</f>
        <v>12589.2541179417</v>
      </c>
      <c r="C86" s="125" t="n">
        <f aca="false">$D$57*SQRT(1+(B86/$G$59)^2)</f>
        <v>0.669364342684615</v>
      </c>
      <c r="D86" s="125" t="n">
        <f aca="false">$K$57-10*LOG10(SQRT(1+(B86/$N$59)^2))</f>
        <v>185.481803505128</v>
      </c>
    </row>
    <row r="87" customFormat="false" ht="12.75" hidden="false" customHeight="false" outlineLevel="0" collapsed="false">
      <c r="A87" s="0" t="n">
        <v>4.2</v>
      </c>
      <c r="B87" s="123" t="n">
        <f aca="false">10^A87</f>
        <v>15848.9319246111</v>
      </c>
      <c r="C87" s="125" t="n">
        <f aca="false">$D$57*SQRT(1+(B87/$G$59)^2)</f>
        <v>0.669364342783687</v>
      </c>
      <c r="D87" s="125" t="n">
        <f aca="false">$K$57-10*LOG10(SQRT(1+(B87/$N$59)^2))</f>
        <v>185.48180339115</v>
      </c>
    </row>
    <row r="88" customFormat="false" ht="12.75" hidden="false" customHeight="false" outlineLevel="0" collapsed="false">
      <c r="A88" s="0" t="n">
        <v>4.3</v>
      </c>
      <c r="B88" s="123" t="n">
        <f aca="false">10^A88</f>
        <v>19952.6231496888</v>
      </c>
      <c r="C88" s="125" t="n">
        <f aca="false">$D$57*SQRT(1+(B88/$G$59)^2)</f>
        <v>0.669364342940707</v>
      </c>
      <c r="D88" s="125" t="n">
        <f aca="false">$K$57-10*LOG10(SQRT(1+(B88/$N$59)^2))</f>
        <v>185.481803210507</v>
      </c>
    </row>
    <row r="89" customFormat="false" ht="12.75" hidden="false" customHeight="false" outlineLevel="0" collapsed="false">
      <c r="A89" s="0" t="n">
        <v>4.4</v>
      </c>
      <c r="B89" s="123" t="n">
        <f aca="false">10^A89</f>
        <v>25118.8643150958</v>
      </c>
      <c r="C89" s="125" t="n">
        <f aca="false">$D$57*SQRT(1+(B89/$G$59)^2)</f>
        <v>0.669364343189567</v>
      </c>
      <c r="D89" s="125" t="n">
        <f aca="false">$K$57-10*LOG10(SQRT(1+(B89/$N$59)^2))</f>
        <v>185.481802924207</v>
      </c>
    </row>
    <row r="90" customFormat="false" ht="12.75" hidden="false" customHeight="false" outlineLevel="0" collapsed="false">
      <c r="A90" s="0" t="n">
        <v>4.5</v>
      </c>
      <c r="B90" s="123" t="n">
        <f aca="false">10^A90</f>
        <v>31622.7766016838</v>
      </c>
      <c r="C90" s="125" t="n">
        <f aca="false">$D$57*SQRT(1+(B90/$G$59)^2)</f>
        <v>0.669364343583983</v>
      </c>
      <c r="D90" s="125" t="n">
        <f aca="false">$K$57-10*LOG10(SQRT(1+(B90/$N$59)^2))</f>
        <v>185.481802470452</v>
      </c>
    </row>
    <row r="91" customFormat="false" ht="12.75" hidden="false" customHeight="false" outlineLevel="0" collapsed="false">
      <c r="A91" s="0" t="n">
        <v>4.6</v>
      </c>
      <c r="B91" s="123" t="n">
        <f aca="false">10^A91</f>
        <v>39810.7170553497</v>
      </c>
      <c r="C91" s="125" t="n">
        <f aca="false">$D$57*SQRT(1+(B91/$G$59)^2)</f>
        <v>0.66936434420909</v>
      </c>
      <c r="D91" s="125" t="n">
        <f aca="false">$K$57-10*LOG10(SQRT(1+(B91/$N$59)^2))</f>
        <v>185.481801751299</v>
      </c>
    </row>
    <row r="92" customFormat="false" ht="12.75" hidden="false" customHeight="false" outlineLevel="0" collapsed="false">
      <c r="A92" s="0" t="n">
        <v>4.7</v>
      </c>
      <c r="B92" s="123" t="n">
        <f aca="false">10^A92</f>
        <v>50118.7233627272</v>
      </c>
      <c r="C92" s="125" t="n">
        <f aca="false">$D$57*SQRT(1+(B92/$G$59)^2)</f>
        <v>0.669364345199819</v>
      </c>
      <c r="D92" s="125" t="n">
        <f aca="false">$K$57-10*LOG10(SQRT(1+(B92/$N$59)^2))</f>
        <v>185.481800611519</v>
      </c>
    </row>
    <row r="93" customFormat="false" ht="12.75" hidden="false" customHeight="false" outlineLevel="0" collapsed="false">
      <c r="A93" s="0" t="n">
        <v>4.8</v>
      </c>
      <c r="B93" s="123" t="n">
        <f aca="false">10^A93</f>
        <v>63095.7344480193</v>
      </c>
      <c r="C93" s="125" t="n">
        <f aca="false">$D$57*SQRT(1+(B93/$G$59)^2)</f>
        <v>0.669364346770017</v>
      </c>
      <c r="D93" s="125" t="n">
        <f aca="false">$K$57-10*LOG10(SQRT(1+(B93/$N$59)^2))</f>
        <v>185.48179880509</v>
      </c>
    </row>
    <row r="94" customFormat="false" ht="12.75" hidden="false" customHeight="false" outlineLevel="0" collapsed="false">
      <c r="A94" s="0" t="n">
        <v>4.9</v>
      </c>
      <c r="B94" s="123" t="n">
        <f aca="false">10^A94</f>
        <v>79432.8234724282</v>
      </c>
      <c r="C94" s="125" t="n">
        <f aca="false">$D$57*SQRT(1+(B94/$G$59)^2)</f>
        <v>0.669364349258614</v>
      </c>
      <c r="D94" s="125" t="n">
        <f aca="false">$K$57-10*LOG10(SQRT(1+(B94/$N$59)^2))</f>
        <v>185.481795942096</v>
      </c>
    </row>
    <row r="95" customFormat="false" ht="12.75" hidden="false" customHeight="false" outlineLevel="0" collapsed="false">
      <c r="A95" s="0" t="n">
        <v>5</v>
      </c>
      <c r="B95" s="123" t="n">
        <f aca="false">10^A95</f>
        <v>100000</v>
      </c>
      <c r="C95" s="125" t="n">
        <f aca="false">$D$57*SQRT(1+(B95/$G$59)^2)</f>
        <v>0.669364353202775</v>
      </c>
      <c r="D95" s="125" t="n">
        <f aca="false">$K$57-10*LOG10(SQRT(1+(B95/$N$59)^2))</f>
        <v>185.481791404565</v>
      </c>
    </row>
    <row r="96" customFormat="false" ht="12.75" hidden="false" customHeight="false" outlineLevel="0" collapsed="false">
      <c r="A96" s="0" t="n">
        <v>5.1</v>
      </c>
      <c r="B96" s="123" t="n">
        <f aca="false">10^A96</f>
        <v>125892.541179417</v>
      </c>
      <c r="C96" s="125" t="n">
        <f aca="false">$D$57*SQRT(1+(B96/$G$59)^2)</f>
        <v>0.669364359453849</v>
      </c>
      <c r="D96" s="125" t="n">
        <f aca="false">$K$57-10*LOG10(SQRT(1+(B96/$N$59)^2))</f>
        <v>185.481784213082</v>
      </c>
    </row>
    <row r="97" customFormat="false" ht="12.75" hidden="false" customHeight="false" outlineLevel="0" collapsed="false">
      <c r="A97" s="0" t="n">
        <v>5.2</v>
      </c>
      <c r="B97" s="123" t="n">
        <f aca="false">10^A97</f>
        <v>158489.319246111</v>
      </c>
      <c r="C97" s="125" t="n">
        <f aca="false">$D$57*SQRT(1+(B97/$G$59)^2)</f>
        <v>0.669364369361132</v>
      </c>
      <c r="D97" s="125" t="n">
        <f aca="false">$K$57-10*LOG10(SQRT(1+(B97/$N$59)^2))</f>
        <v>185.481772815398</v>
      </c>
    </row>
    <row r="98" customFormat="false" ht="12.75" hidden="false" customHeight="false" outlineLevel="0" collapsed="false">
      <c r="A98" s="0" t="n">
        <v>5.3</v>
      </c>
      <c r="B98" s="123" t="n">
        <f aca="false">10^A98</f>
        <v>199526.231496888</v>
      </c>
      <c r="C98" s="125" t="n">
        <f aca="false">$D$57*SQRT(1+(B98/$G$59)^2)</f>
        <v>0.669364385063118</v>
      </c>
      <c r="D98" s="125" t="n">
        <f aca="false">$K$57-10*LOG10(SQRT(1+(B98/$N$59)^2))</f>
        <v>185.481754751408</v>
      </c>
    </row>
    <row r="99" customFormat="false" ht="12.75" hidden="false" customHeight="false" outlineLevel="0" collapsed="false">
      <c r="A99" s="0" t="n">
        <v>5.4</v>
      </c>
      <c r="B99" s="123" t="n">
        <f aca="false">10^A99</f>
        <v>251188.643150958</v>
      </c>
      <c r="C99" s="125" t="n">
        <f aca="false">$D$57*SQRT(1+(B99/$G$59)^2)</f>
        <v>0.669364409949087</v>
      </c>
      <c r="D99" s="125" t="n">
        <f aca="false">$K$57-10*LOG10(SQRT(1+(B99/$N$59)^2))</f>
        <v>185.481726122223</v>
      </c>
    </row>
    <row r="100" customFormat="false" ht="12.75" hidden="false" customHeight="false" outlineLevel="0" collapsed="false">
      <c r="A100" s="0" t="n">
        <v>5.5</v>
      </c>
      <c r="B100" s="123" t="n">
        <f aca="false">10^A100</f>
        <v>316227.766016838</v>
      </c>
      <c r="C100" s="125" t="n">
        <f aca="false">$D$57*SQRT(1+(B100/$G$59)^2)</f>
        <v>0.66936444939069</v>
      </c>
      <c r="D100" s="125" t="n">
        <f aca="false">$K$57-10*LOG10(SQRT(1+(B100/$N$59)^2))</f>
        <v>185.481680748794</v>
      </c>
    </row>
    <row r="101" customFormat="false" ht="12.75" hidden="false" customHeight="false" outlineLevel="0" collapsed="false">
      <c r="A101" s="0" t="n">
        <v>5.6</v>
      </c>
      <c r="B101" s="123" t="n">
        <f aca="false">10^A101</f>
        <v>398107.170553497</v>
      </c>
      <c r="C101" s="125" t="n">
        <f aca="false">$D$57*SQRT(1+(B101/$G$59)^2)</f>
        <v>0.669364511901411</v>
      </c>
      <c r="D101" s="125" t="n">
        <f aca="false">$K$57-10*LOG10(SQRT(1+(B101/$N$59)^2))</f>
        <v>185.481608838698</v>
      </c>
    </row>
    <row r="102" customFormat="false" ht="12.75" hidden="false" customHeight="false" outlineLevel="0" collapsed="false">
      <c r="A102" s="0" t="n">
        <v>5.7</v>
      </c>
      <c r="B102" s="123" t="n">
        <f aca="false">10^A102</f>
        <v>501187.233627272</v>
      </c>
      <c r="C102" s="125" t="n">
        <f aca="false">$D$57*SQRT(1+(B102/$G$59)^2)</f>
        <v>0.669364610974217</v>
      </c>
      <c r="D102" s="125" t="n">
        <f aca="false">$K$57-10*LOG10(SQRT(1+(B102/$N$59)^2))</f>
        <v>185.481494873755</v>
      </c>
    </row>
    <row r="103" customFormat="false" ht="12.75" hidden="false" customHeight="false" outlineLevel="0" collapsed="false">
      <c r="A103" s="0" t="n">
        <v>5.8</v>
      </c>
      <c r="B103" s="123" t="n">
        <f aca="false">10^A103</f>
        <v>630957.344480193</v>
      </c>
      <c r="C103" s="125" t="n">
        <f aca="false">$D$57*SQRT(1+(B103/$G$59)^2)</f>
        <v>0.669364767994002</v>
      </c>
      <c r="D103" s="125" t="n">
        <f aca="false">$K$57-10*LOG10(SQRT(1+(B103/$N$59)^2))</f>
        <v>185.481314263742</v>
      </c>
    </row>
    <row r="104" customFormat="false" ht="12.75" hidden="false" customHeight="false" outlineLevel="0" collapsed="false">
      <c r="A104" s="0" t="n">
        <v>5.9</v>
      </c>
      <c r="B104" s="123" t="n">
        <f aca="false">10^A104</f>
        <v>794328.234724282</v>
      </c>
      <c r="C104" s="125" t="n">
        <f aca="false">$D$57*SQRT(1+(B104/$G$59)^2)</f>
        <v>0.669365016853514</v>
      </c>
      <c r="D104" s="125" t="n">
        <f aca="false">$K$57-10*LOG10(SQRT(1+(B104/$N$59)^2))</f>
        <v>185.481028046931</v>
      </c>
    </row>
    <row r="105" customFormat="false" ht="12.75" hidden="false" customHeight="false" outlineLevel="0" collapsed="false">
      <c r="A105" s="0" t="n">
        <v>6</v>
      </c>
      <c r="B105" s="123" t="n">
        <f aca="false">10^A105</f>
        <v>1000000</v>
      </c>
      <c r="C105" s="125" t="n">
        <f aca="false">$D$57*SQRT(1+(B105/$G$59)^2)</f>
        <v>0.669365411269073</v>
      </c>
      <c r="D105" s="125" t="n">
        <f aca="false">$K$57-10*LOG10(SQRT(1+(B105/$N$59)^2))</f>
        <v>185.480574501117</v>
      </c>
    </row>
    <row r="106" customFormat="false" ht="12.75" hidden="false" customHeight="false" outlineLevel="0" collapsed="false">
      <c r="A106" s="0" t="n">
        <v>6.1</v>
      </c>
      <c r="B106" s="123" t="n">
        <f aca="false">10^A106</f>
        <v>1258925.41179417</v>
      </c>
      <c r="C106" s="125" t="n">
        <f aca="false">$D$57*SQRT(1+(B106/$G$59)^2)</f>
        <v>0.66936603637513</v>
      </c>
      <c r="D106" s="125" t="n">
        <f aca="false">$K$57-10*LOG10(SQRT(1+(B106/$N$59)^2))</f>
        <v>185.479855873432</v>
      </c>
    </row>
    <row r="107" customFormat="false" ht="12.75" hidden="false" customHeight="false" outlineLevel="0" collapsed="false">
      <c r="A107" s="0" t="n">
        <v>6.2</v>
      </c>
      <c r="B107" s="123" t="n">
        <f aca="false">10^A107</f>
        <v>1584893.19246111</v>
      </c>
      <c r="C107" s="125" t="n">
        <f aca="false">$D$57*SQRT(1+(B107/$G$59)^2)</f>
        <v>0.669367027100268</v>
      </c>
      <c r="D107" s="125" t="n">
        <f aca="false">$K$57-10*LOG10(SQRT(1+(B107/$N$59)^2))</f>
        <v>185.478717412237</v>
      </c>
    </row>
    <row r="108" customFormat="false" ht="12.75" hidden="false" customHeight="false" outlineLevel="0" collapsed="false">
      <c r="A108" s="0" t="n">
        <v>6.3</v>
      </c>
      <c r="B108" s="123" t="n">
        <f aca="false">10^A108</f>
        <v>1995262.31496888</v>
      </c>
      <c r="C108" s="125" t="n">
        <f aca="false">$D$57*SQRT(1+(B108/$G$59)^2)</f>
        <v>0.669368597290792</v>
      </c>
      <c r="D108" s="125" t="n">
        <f aca="false">$K$57-10*LOG10(SQRT(1+(B108/$N$59)^2))</f>
        <v>185.476914294577</v>
      </c>
    </row>
    <row r="109" customFormat="false" ht="12.75" hidden="false" customHeight="false" outlineLevel="0" collapsed="false">
      <c r="A109" s="0" t="n">
        <v>6.4</v>
      </c>
      <c r="B109" s="123" t="n">
        <f aca="false">10^A109</f>
        <v>2511886.43150958</v>
      </c>
      <c r="C109" s="125" t="n">
        <f aca="false">$D$57*SQRT(1+(B109/$G$59)^2)</f>
        <v>0.66937108586752</v>
      </c>
      <c r="D109" s="125" t="n">
        <f aca="false">$K$57-10*LOG10(SQRT(1+(B109/$N$59)^2))</f>
        <v>185.474059609086</v>
      </c>
    </row>
    <row r="110" customFormat="false" ht="12.75" hidden="false" customHeight="false" outlineLevel="0" collapsed="false">
      <c r="A110" s="0" t="n">
        <v>6.5</v>
      </c>
      <c r="B110" s="123" t="n">
        <f aca="false">10^A110</f>
        <v>3162277.66016838</v>
      </c>
      <c r="C110" s="125" t="n">
        <f aca="false">$D$57*SQRT(1+(B110/$G$59)^2)</f>
        <v>0.669375029976883</v>
      </c>
      <c r="D110" s="125" t="n">
        <f aca="false">$K$57-10*LOG10(SQRT(1+(B110/$N$59)^2))</f>
        <v>185.469542910783</v>
      </c>
    </row>
    <row r="111" customFormat="false" ht="12.75" hidden="false" customHeight="false" outlineLevel="0" collapsed="false">
      <c r="A111" s="0" t="n">
        <v>6.6</v>
      </c>
      <c r="B111" s="123" t="n">
        <f aca="false">10^A111</f>
        <v>3981071.70553497</v>
      </c>
      <c r="C111" s="125" t="n">
        <f aca="false">$D$57*SQRT(1+(B111/$G$59)^2)</f>
        <v>0.66938128092136</v>
      </c>
      <c r="D111" s="125" t="n">
        <f aca="false">$K$57-10*LOG10(SQRT(1+(B111/$N$59)^2))</f>
        <v>185.462403615158</v>
      </c>
    </row>
    <row r="112" customFormat="false" ht="12.75" hidden="false" customHeight="false" outlineLevel="0" collapsed="false">
      <c r="A112" s="0" t="n">
        <v>6.7</v>
      </c>
      <c r="B112" s="123" t="n">
        <f aca="false">10^A112</f>
        <v>5011872.33627272</v>
      </c>
      <c r="C112" s="125" t="n">
        <f aca="false">$D$57*SQRT(1+(B112/$G$59)^2)</f>
        <v>0.669391187881138</v>
      </c>
      <c r="D112" s="125" t="n">
        <f aca="false">$K$57-10*LOG10(SQRT(1+(B112/$N$59)^2))</f>
        <v>185.451136456013</v>
      </c>
    </row>
    <row r="113" customFormat="false" ht="12.75" hidden="false" customHeight="false" outlineLevel="0" collapsed="false">
      <c r="A113" s="0" t="n">
        <v>6.8</v>
      </c>
      <c r="B113" s="123" t="n">
        <f aca="false">10^A113</f>
        <v>6309573.44480193</v>
      </c>
      <c r="C113" s="125" t="n">
        <f aca="false">$D$57*SQRT(1+(B113/$G$59)^2)</f>
        <v>0.669406889053913</v>
      </c>
      <c r="D113" s="125" t="n">
        <f aca="false">$K$57-10*LOG10(SQRT(1+(B113/$N$59)^2))</f>
        <v>185.433398108553</v>
      </c>
    </row>
    <row r="114" customFormat="false" ht="12.75" hidden="false" customHeight="false" outlineLevel="0" collapsed="false">
      <c r="A114" s="0" t="n">
        <v>6.9</v>
      </c>
      <c r="B114" s="123" t="n">
        <f aca="false">10^A114</f>
        <v>7943282.34724282</v>
      </c>
      <c r="C114" s="125" t="n">
        <f aca="false">$D$57*SQRT(1+(B114/$G$59)^2)</f>
        <v>0.669431772981413</v>
      </c>
      <c r="D114" s="125" t="n">
        <f aca="false">$K$57-10*LOG10(SQRT(1+(B114/$N$59)^2))</f>
        <v>185.405578208189</v>
      </c>
    </row>
    <row r="115" customFormat="false" ht="12.75" hidden="false" customHeight="false" outlineLevel="0" collapsed="false">
      <c r="A115" s="0" t="n">
        <v>7</v>
      </c>
      <c r="B115" s="123" t="n">
        <f aca="false">10^A115</f>
        <v>10000000</v>
      </c>
      <c r="C115" s="125" t="n">
        <f aca="false">$D$57*SQRT(1+(B115/$G$59)^2)</f>
        <v>0.669471209454106</v>
      </c>
      <c r="D115" s="125" t="n">
        <f aca="false">$K$57-10*LOG10(SQRT(1+(B115/$N$59)^2))</f>
        <v>185.36220396539</v>
      </c>
    </row>
    <row r="116" customFormat="false" ht="12.75" hidden="false" customHeight="false" outlineLevel="0" collapsed="false">
      <c r="A116" s="0" t="n">
        <v>7.1</v>
      </c>
      <c r="B116" s="123" t="n">
        <f aca="false">10^A116</f>
        <v>12589254.1179417</v>
      </c>
      <c r="C116" s="125" t="n">
        <f aca="false">$D$57*SQRT(1+(B116/$G$59)^2)</f>
        <v>0.66953370729308</v>
      </c>
      <c r="D116" s="125" t="n">
        <f aca="false">$K$57-10*LOG10(SQRT(1+(B116/$N$59)^2))</f>
        <v>185.295187302252</v>
      </c>
    </row>
    <row r="117" customFormat="false" ht="12.75" hidden="false" customHeight="false" outlineLevel="0" collapsed="false">
      <c r="A117" s="0" t="n">
        <v>7.2</v>
      </c>
      <c r="B117" s="123" t="n">
        <f aca="false">10^A117</f>
        <v>15848931.9246111</v>
      </c>
      <c r="C117" s="125" t="n">
        <f aca="false">$D$57*SQRT(1+(B117/$G$59)^2)</f>
        <v>0.66963274774432</v>
      </c>
      <c r="D117" s="125" t="n">
        <f aca="false">$K$57-10*LOG10(SQRT(1+(B117/$N$59)^2))</f>
        <v>185.193036163872</v>
      </c>
    </row>
    <row r="118" customFormat="false" ht="12.75" hidden="false" customHeight="false" outlineLevel="0" collapsed="false">
      <c r="A118" s="0" t="n">
        <v>7.3</v>
      </c>
      <c r="B118" s="123" t="n">
        <f aca="false">10^A118</f>
        <v>19952623.1496888</v>
      </c>
      <c r="C118" s="125" t="n">
        <f aca="false">$D$57*SQRT(1+(B118/$G$59)^2)</f>
        <v>0.669789686282781</v>
      </c>
      <c r="D118" s="125" t="n">
        <f aca="false">$K$57-10*LOG10(SQRT(1+(B118/$N$59)^2))</f>
        <v>185.040380423605</v>
      </c>
    </row>
    <row r="119" customFormat="false" ht="12.75" hidden="false" customHeight="false" outlineLevel="0" collapsed="false">
      <c r="A119" s="0" t="n">
        <v>7.4</v>
      </c>
      <c r="B119" s="123" t="n">
        <f aca="false">10^A119</f>
        <v>25118864.3150958</v>
      </c>
      <c r="C119" s="125" t="n">
        <f aca="false">$D$57*SQRT(1+(B119/$G$59)^2)</f>
        <v>0.670038341807982</v>
      </c>
      <c r="D119" s="125" t="n">
        <f aca="false">$K$57-10*LOG10(SQRT(1+(B119/$N$59)^2))</f>
        <v>184.818480062418</v>
      </c>
    </row>
    <row r="120" customFormat="false" ht="12.75" hidden="false" customHeight="false" outlineLevel="0" collapsed="false">
      <c r="A120" s="0" t="n">
        <v>7.50000000000001</v>
      </c>
      <c r="B120" s="123" t="n">
        <f aca="false">10^A120</f>
        <v>31622776.6016845</v>
      </c>
      <c r="C120" s="125" t="n">
        <f aca="false">$D$57*SQRT(1+(B120/$G$59)^2)</f>
        <v>0.670432245347607</v>
      </c>
      <c r="D120" s="125" t="n">
        <f aca="false">$K$57-10*LOG10(SQRT(1+(B120/$N$59)^2))</f>
        <v>184.507529820799</v>
      </c>
    </row>
    <row r="121" customFormat="false" ht="12.75" hidden="false" customHeight="false" outlineLevel="0" collapsed="false">
      <c r="A121" s="0" t="n">
        <v>7.6</v>
      </c>
      <c r="B121" s="123" t="n">
        <f aca="false">10^A121</f>
        <v>39810717.0553497</v>
      </c>
      <c r="C121" s="125" t="n">
        <f aca="false">$D$57*SQRT(1+(B121/$G$59)^2)</f>
        <v>0.671056066762358</v>
      </c>
      <c r="D121" s="125" t="n">
        <f aca="false">$K$57-10*LOG10(SQRT(1+(B121/$N$59)^2))</f>
        <v>184.090998101286</v>
      </c>
    </row>
    <row r="122" customFormat="false" ht="12.75" hidden="false" customHeight="false" outlineLevel="0" collapsed="false">
      <c r="A122" s="0" t="n">
        <v>7.7</v>
      </c>
      <c r="B122" s="123" t="n">
        <f aca="false">10^A122</f>
        <v>50118723.3627272</v>
      </c>
      <c r="C122" s="125" t="n">
        <f aca="false">$D$57*SQRT(1+(B122/$G$59)^2)</f>
        <v>0.672043570937547</v>
      </c>
      <c r="D122" s="125" t="n">
        <f aca="false">$K$57-10*LOG10(SQRT(1+(B122/$N$59)^2))</f>
        <v>183.56066535659</v>
      </c>
    </row>
    <row r="123" customFormat="false" ht="12.75" hidden="false" customHeight="false" outlineLevel="0" collapsed="false">
      <c r="A123" s="0" t="n">
        <v>7.80000000000001</v>
      </c>
      <c r="B123" s="123" t="n">
        <f aca="false">10^A123</f>
        <v>63095734.4480207</v>
      </c>
      <c r="C123" s="125" t="n">
        <f aca="false">$D$57*SQRT(1+(B123/$G$59)^2)</f>
        <v>0.673605694178923</v>
      </c>
      <c r="D123" s="125" t="n">
        <f aca="false">$K$57-10*LOG10(SQRT(1+(B123/$N$59)^2))</f>
        <v>182.919588311732</v>
      </c>
    </row>
    <row r="124" customFormat="false" ht="12.75" hidden="false" customHeight="false" outlineLevel="0" collapsed="false">
      <c r="A124" s="0" t="n">
        <v>7.90000000000001</v>
      </c>
      <c r="B124" s="123" t="n">
        <f aca="false">10^A124</f>
        <v>79432823.47243</v>
      </c>
      <c r="C124" s="125" t="n">
        <f aca="false">$D$57*SQRT(1+(B124/$G$59)^2)</f>
        <v>0.676074099230487</v>
      </c>
      <c r="D124" s="125" t="n">
        <f aca="false">$K$57-10*LOG10(SQRT(1+(B124/$N$59)^2))</f>
        <v>182.18096274554</v>
      </c>
    </row>
    <row r="125" customFormat="false" ht="12.75" hidden="false" customHeight="false" outlineLevel="0" collapsed="false">
      <c r="A125" s="0" t="n">
        <v>8.00000000000001</v>
      </c>
      <c r="B125" s="123" t="n">
        <f aca="false">10^A125</f>
        <v>100000000.000002</v>
      </c>
      <c r="C125" s="125" t="n">
        <f aca="false">$D$57*SQRT(1+(B125/$G$59)^2)</f>
        <v>0.679967902728317</v>
      </c>
      <c r="D125" s="125" t="n">
        <f aca="false">$K$57-10*LOG10(SQRT(1+(B125/$N$59)^2))</f>
        <v>181.363691738089</v>
      </c>
    </row>
    <row r="126" customFormat="false" ht="12.75" hidden="false" customHeight="false" outlineLevel="0" collapsed="false">
      <c r="A126" s="0" t="n">
        <v>8.1</v>
      </c>
      <c r="B126" s="123" t="n">
        <f aca="false">10^A126</f>
        <v>125892541.179417</v>
      </c>
      <c r="C126" s="125" t="n">
        <f aca="false">$D$57*SQRT(1+(B126/$G$59)^2)</f>
        <v>0.686093900357719</v>
      </c>
      <c r="D126" s="125" t="n">
        <f aca="false">$K$57-10*LOG10(SQRT(1+(B126/$N$59)^2))</f>
        <v>180.487435731324</v>
      </c>
    </row>
    <row r="127" customFormat="false" ht="12.75" hidden="false" customHeight="false" outlineLevel="0" collapsed="false">
      <c r="A127" s="0" t="n">
        <v>8.20000000000001</v>
      </c>
      <c r="B127" s="123" t="n">
        <f aca="false">10^A127</f>
        <v>158489319.246115</v>
      </c>
      <c r="C127" s="125" t="n">
        <f aca="false">$D$57*SQRT(1+(B127/$G$59)^2)</f>
        <v>0.695692464460632</v>
      </c>
      <c r="D127" s="125" t="n">
        <f aca="false">$K$57-10*LOG10(SQRT(1+(B127/$N$59)^2))</f>
        <v>179.569304535618</v>
      </c>
    </row>
    <row r="128" customFormat="false" ht="12.75" hidden="false" customHeight="false" outlineLevel="0" collapsed="false">
      <c r="A128" s="0" t="n">
        <v>8.30000000000001</v>
      </c>
      <c r="B128" s="123" t="n">
        <f aca="false">10^A128</f>
        <v>199526231.496892</v>
      </c>
      <c r="C128" s="125" t="n">
        <f aca="false">$D$57*SQRT(1+(B128/$G$59)^2)</f>
        <v>0.71063964498548</v>
      </c>
      <c r="D128" s="125" t="n">
        <f aca="false">$K$57-10*LOG10(SQRT(1+(B128/$N$59)^2))</f>
        <v>178.62259496183</v>
      </c>
    </row>
    <row r="129" customFormat="false" ht="12.75" hidden="false" customHeight="false" outlineLevel="0" collapsed="false">
      <c r="A129" s="0" t="n">
        <v>8.40000000000001</v>
      </c>
      <c r="B129" s="123" t="n">
        <f aca="false">10^A129</f>
        <v>251188643.150963</v>
      </c>
      <c r="C129" s="125" t="n">
        <f aca="false">$D$57*SQRT(1+(B129/$G$59)^2)</f>
        <v>0.733705846525398</v>
      </c>
      <c r="D129" s="125" t="n">
        <f aca="false">$K$57-10*LOG10(SQRT(1+(B129/$N$59)^2))</f>
        <v>177.656904555647</v>
      </c>
    </row>
    <row r="130" customFormat="false" ht="12.75" hidden="false" customHeight="false" outlineLevel="0" collapsed="false">
      <c r="A130" s="0" t="n">
        <v>8.50000000000001</v>
      </c>
      <c r="B130" s="123" t="n">
        <f aca="false">10^A130</f>
        <v>316227766.016846</v>
      </c>
      <c r="C130" s="125" t="n">
        <f aca="false">$D$57*SQRT(1+(B130/$G$59)^2)</f>
        <v>0.768847111023943</v>
      </c>
      <c r="D130" s="125" t="n">
        <f aca="false">$K$57-10*LOG10(SQRT(1+(B130/$N$59)^2))</f>
        <v>176.678834737142</v>
      </c>
    </row>
    <row r="131" customFormat="false" ht="12.75" hidden="false" customHeight="false" outlineLevel="0" collapsed="false">
      <c r="A131" s="0" t="n">
        <v>8.60000000000001</v>
      </c>
      <c r="B131" s="123" t="n">
        <f aca="false">10^A131</f>
        <v>398107170.553507</v>
      </c>
      <c r="C131" s="125" t="n">
        <f aca="false">$D$57*SQRT(1+(B131/$G$59)^2)</f>
        <v>0.821468680962998</v>
      </c>
      <c r="D131" s="125" t="n">
        <f aca="false">$K$57-10*LOG10(SQRT(1+(B131/$N$59)^2))</f>
        <v>175.692786578418</v>
      </c>
    </row>
    <row r="132" customFormat="false" ht="12.75" hidden="false" customHeight="false" outlineLevel="0" collapsed="false">
      <c r="A132" s="0" t="n">
        <v>8.70000000000001</v>
      </c>
      <c r="B132" s="123" t="n">
        <f aca="false">10^A132</f>
        <v>501187233.627284</v>
      </c>
      <c r="C132" s="125" t="n">
        <f aca="false">$D$57*SQRT(1+(B132/$G$59)^2)</f>
        <v>0.89857801208102</v>
      </c>
      <c r="D132" s="125" t="n">
        <f aca="false">$K$57-10*LOG10(SQRT(1+(B132/$N$59)^2))</f>
        <v>174.701635943125</v>
      </c>
    </row>
    <row r="133" customFormat="false" ht="12.75" hidden="false" customHeight="false" outlineLevel="0" collapsed="false">
      <c r="A133" s="0" t="n">
        <v>8.80000000000001</v>
      </c>
      <c r="B133" s="123" t="n">
        <f aca="false">10^A133</f>
        <v>630957344.480207</v>
      </c>
      <c r="C133" s="125" t="n">
        <f aca="false">$D$57*SQRT(1+(B133/$G$59)^2)</f>
        <v>1.00878612350354</v>
      </c>
      <c r="D133" s="125" t="n">
        <f aca="false">$K$57-10*LOG10(SQRT(1+(B133/$N$59)^2))</f>
        <v>173.7072381279</v>
      </c>
    </row>
    <row r="134" customFormat="false" ht="12.75" hidden="false" customHeight="false" outlineLevel="0" collapsed="false">
      <c r="A134" s="0" t="n">
        <v>8.90000000000001</v>
      </c>
      <c r="B134" s="123" t="n">
        <f aca="false">10^A134</f>
        <v>794328234.724298</v>
      </c>
      <c r="C134" s="125" t="n">
        <f aca="false">$D$57*SQRT(1+(B134/$G$59)^2)</f>
        <v>1.16224140563736</v>
      </c>
      <c r="D134" s="125" t="n">
        <f aca="false">$K$57-10*LOG10(SQRT(1+(B134/$N$59)^2))</f>
        <v>172.710780318603</v>
      </c>
    </row>
    <row r="135" customFormat="false" ht="12.75" hidden="false" customHeight="false" outlineLevel="0" collapsed="false">
      <c r="A135" s="0" t="n">
        <v>9.00000000000001</v>
      </c>
      <c r="B135" s="123" t="n">
        <f aca="false">10^A135</f>
        <v>1000000000.00002</v>
      </c>
      <c r="C135" s="125" t="n">
        <f aca="false">$D$57*SQRT(1+(B135/$G$59)^2)</f>
        <v>1.37070098636466</v>
      </c>
      <c r="D135" s="125" t="n">
        <f aca="false">$K$57-10*LOG10(SQRT(1+(B135/$N$59)^2))</f>
        <v>171.713018266553</v>
      </c>
    </row>
    <row r="136" customFormat="false" ht="12.75" hidden="false" customHeight="false" outlineLevel="0" collapsed="false">
      <c r="A136" s="0" t="n">
        <v>9.10000000000001</v>
      </c>
      <c r="B136" s="123" t="n">
        <f aca="false">10^A136</f>
        <v>1258925411.7942</v>
      </c>
      <c r="C136" s="125" t="n">
        <f aca="false">$D$57*SQRT(1+(B136/$G$59)^2)</f>
        <v>1.64792910367931</v>
      </c>
      <c r="D136" s="125" t="n">
        <f aca="false">$K$57-10*LOG10(SQRT(1+(B136/$N$59)^2))</f>
        <v>170.714431503919</v>
      </c>
    </row>
    <row r="137" customFormat="false" ht="12.75" hidden="false" customHeight="false" outlineLevel="0" collapsed="false">
      <c r="A137" s="0" t="n">
        <v>9.20000000000001</v>
      </c>
      <c r="B137" s="123" t="n">
        <f aca="false">10^A137</f>
        <v>1584893192.46115</v>
      </c>
      <c r="C137" s="125" t="n">
        <f aca="false">$D$57*SQRT(1+(B137/$G$59)^2)</f>
        <v>2.01046930607686</v>
      </c>
      <c r="D137" s="125" t="n">
        <f aca="false">$K$57-10*LOG10(SQRT(1+(B137/$N$59)^2))</f>
        <v>169.715323669895</v>
      </c>
    </row>
    <row r="138" customFormat="false" ht="12.75" hidden="false" customHeight="false" outlineLevel="0" collapsed="false">
      <c r="A138" s="0" t="n">
        <v>9.30000000000001</v>
      </c>
      <c r="B138" s="123" t="n">
        <f aca="false">10^A138</f>
        <v>1995262314.96892</v>
      </c>
      <c r="C138" s="125" t="n">
        <f aca="false">$D$57*SQRT(1+(B138/$G$59)^2)</f>
        <v>2.47872080365164</v>
      </c>
      <c r="D138" s="125" t="n">
        <f aca="false">$K$57-10*LOG10(SQRT(1+(B138/$N$59)^2))</f>
        <v>168.715886777232</v>
      </c>
    </row>
    <row r="139" customFormat="false" ht="12.75" hidden="false" customHeight="false" outlineLevel="0" collapsed="false">
      <c r="A139" s="0" t="n">
        <v>9.40000000000001</v>
      </c>
      <c r="B139" s="123" t="n">
        <f aca="false">10^A139</f>
        <v>2511886431.50963</v>
      </c>
      <c r="C139" s="125" t="n">
        <f aca="false">$D$57*SQRT(1+(B139/$G$59)^2)</f>
        <v>3.0782484049377</v>
      </c>
      <c r="D139" s="125" t="n">
        <f aca="false">$K$57-10*LOG10(SQRT(1+(B139/$N$59)^2))</f>
        <v>167.716242149091</v>
      </c>
    </row>
    <row r="140" customFormat="false" ht="12.75" hidden="false" customHeight="false" outlineLevel="0" collapsed="false">
      <c r="A140" s="0" t="n">
        <v>9.50000000000001</v>
      </c>
      <c r="B140" s="123" t="n">
        <f aca="false">10^A140</f>
        <v>3162277660.16846</v>
      </c>
      <c r="C140" s="125" t="n">
        <f aca="false">$D$57*SQRT(1+(B140/$G$59)^2)</f>
        <v>3.84132455449065</v>
      </c>
      <c r="D140" s="125" t="n">
        <f aca="false">$K$57-10*LOG10(SQRT(1+(B140/$N$59)^2))</f>
        <v>166.716466403504</v>
      </c>
    </row>
    <row r="141" customFormat="false" ht="12.75" hidden="false" customHeight="false" outlineLevel="0" collapsed="false">
      <c r="A141" s="0" t="n">
        <v>9.60000000000001</v>
      </c>
      <c r="B141" s="123" t="n">
        <f aca="false">10^A141</f>
        <v>3981071705.53507</v>
      </c>
      <c r="C141" s="125" t="n">
        <f aca="false">$D$57*SQRT(1+(B141/$G$59)^2)</f>
        <v>4.80876966595982</v>
      </c>
      <c r="D141" s="125" t="n">
        <f aca="false">$K$57-10*LOG10(SQRT(1+(B141/$N$59)^2))</f>
        <v>165.716607910389</v>
      </c>
    </row>
    <row r="142" customFormat="false" ht="12.75" hidden="false" customHeight="false" outlineLevel="0" collapsed="false">
      <c r="A142" s="0" t="n">
        <v>9.70000000000001</v>
      </c>
      <c r="B142" s="123" t="n">
        <f aca="false">10^A142</f>
        <v>5011872336.27284</v>
      </c>
      <c r="C142" s="125" t="n">
        <f aca="false">$D$57*SQRT(1+(B142/$G$59)^2)</f>
        <v>6.03219949102268</v>
      </c>
      <c r="D142" s="125" t="n">
        <f aca="false">$K$57-10*LOG10(SQRT(1+(B142/$N$59)^2))</f>
        <v>164.716697199943</v>
      </c>
    </row>
    <row r="143" customFormat="false" ht="12.75" hidden="false" customHeight="false" outlineLevel="0" collapsed="false">
      <c r="A143" s="0" t="n">
        <v>9.80000000000001</v>
      </c>
      <c r="B143" s="123" t="n">
        <f aca="false">10^A143</f>
        <v>6309573444.80207</v>
      </c>
      <c r="C143" s="125" t="n">
        <f aca="false">$D$57*SQRT(1+(B143/$G$59)^2)</f>
        <v>7.57681533477467</v>
      </c>
      <c r="D143" s="125" t="n">
        <f aca="false">$K$57-10*LOG10(SQRT(1+(B143/$N$59)^2))</f>
        <v>163.716753539732</v>
      </c>
    </row>
    <row r="144" customFormat="false" ht="12.75" hidden="false" customHeight="false" outlineLevel="0" collapsed="false">
      <c r="A144" s="0" t="n">
        <v>9.90000000000001</v>
      </c>
      <c r="B144" s="123" t="n">
        <f aca="false">10^A144</f>
        <v>7943282347.24298</v>
      </c>
      <c r="C144" s="125" t="n">
        <f aca="false">$D$57*SQRT(1+(B144/$G$59)^2)</f>
        <v>9.52489867755755</v>
      </c>
      <c r="D144" s="125" t="n">
        <f aca="false">$K$57-10*LOG10(SQRT(1+(B144/$N$59)^2))</f>
        <v>162.716789088488</v>
      </c>
    </row>
    <row r="145" customFormat="false" ht="12.75" hidden="false" customHeight="false" outlineLevel="0" collapsed="false">
      <c r="A145" s="0" t="n">
        <v>10</v>
      </c>
      <c r="B145" s="123" t="n">
        <f aca="false">10^A145</f>
        <v>10000000000</v>
      </c>
      <c r="C145" s="125" t="n">
        <f aca="false">$D$57*SQRT(1+(B145/$G$59)^2)</f>
        <v>11.9802047445794</v>
      </c>
      <c r="D145" s="125" t="n">
        <f aca="false">$K$57-10*LOG10(SQRT(1+(B145/$N$59)^2))</f>
        <v>161.716811518536</v>
      </c>
    </row>
    <row r="146" customFormat="false" ht="12.75" hidden="false" customHeight="false" outlineLevel="0" collapsed="false">
      <c r="A146" s="0" t="n">
        <v>10.1</v>
      </c>
      <c r="B146" s="123" t="n">
        <f aca="false">10^A146</f>
        <v>12589254117.9417</v>
      </c>
      <c r="C146" s="125" t="n">
        <f aca="false">$D$57*SQRT(1+(B146/$G$59)^2)</f>
        <v>15.0734939345616</v>
      </c>
      <c r="D146" s="125" t="n">
        <f aca="false">$K$57-10*LOG10(SQRT(1+(B146/$N$59)^2))</f>
        <v>160.716825671059</v>
      </c>
    </row>
    <row r="147" customFormat="false" ht="12.75" hidden="false" customHeight="false" outlineLevel="0" collapsed="false">
      <c r="A147" s="0" t="n">
        <v>10.2</v>
      </c>
      <c r="B147" s="123" t="n">
        <f aca="false">10^A147</f>
        <v>15848931924.6111</v>
      </c>
      <c r="C147" s="125" t="n">
        <f aca="false">$D$57*SQRT(1+(B147/$G$59)^2)</f>
        <v>18.9694983957839</v>
      </c>
      <c r="D147" s="125" t="n">
        <f aca="false">$K$57-10*LOG10(SQRT(1+(B147/$N$59)^2))</f>
        <v>159.716834600745</v>
      </c>
    </row>
    <row r="148" customFormat="false" ht="12.75" hidden="false" customHeight="false" outlineLevel="0" collapsed="false">
      <c r="A148" s="0" t="n">
        <v>10.3</v>
      </c>
      <c r="B148" s="123" t="n">
        <f aca="false">10^A148</f>
        <v>19952623149.6888</v>
      </c>
      <c r="C148" s="125" t="n">
        <f aca="false">$D$57*SQRT(1+(B148/$G$59)^2)</f>
        <v>23.8756961901735</v>
      </c>
      <c r="D148" s="125" t="n">
        <f aca="false">$K$57-10*LOG10(SQRT(1+(B148/$N$59)^2))</f>
        <v>158.716840235014</v>
      </c>
    </row>
    <row r="149" customFormat="false" ht="12.75" hidden="false" customHeight="false" outlineLevel="0" collapsed="false">
      <c r="A149" s="0" t="n">
        <v>10.4</v>
      </c>
      <c r="B149" s="123" t="n">
        <f aca="false">10^A149</f>
        <v>25118864315.0958</v>
      </c>
      <c r="C149" s="125" t="n">
        <f aca="false">$D$57*SQRT(1+(B149/$G$59)^2)</f>
        <v>30.0533610528017</v>
      </c>
      <c r="D149" s="125" t="n">
        <f aca="false">$K$57-10*LOG10(SQRT(1+(B149/$N$59)^2))</f>
        <v>157.716843790006</v>
      </c>
    </row>
    <row r="150" customFormat="false" ht="12.75" hidden="false" customHeight="false" outlineLevel="0" collapsed="false">
      <c r="A150" s="0" t="n">
        <v>10.5</v>
      </c>
      <c r="B150" s="123" t="n">
        <f aca="false">10^A150</f>
        <v>31622776601.6838</v>
      </c>
      <c r="C150" s="125" t="n">
        <f aca="false">$D$57*SQRT(1+(B150/$G$59)^2)</f>
        <v>37.8314765719388</v>
      </c>
      <c r="D150" s="125" t="n">
        <f aca="false">$K$57-10*LOG10(SQRT(1+(B150/$N$59)^2))</f>
        <v>156.716846033056</v>
      </c>
    </row>
    <row r="151" customFormat="false" ht="12.75" hidden="false" customHeight="false" outlineLevel="0" collapsed="false">
      <c r="A151" s="0" t="n">
        <v>10.6</v>
      </c>
      <c r="B151" s="123" t="n">
        <f aca="false">10^A151</f>
        <v>39810717055.3497</v>
      </c>
      <c r="C151" s="125" t="n">
        <f aca="false">$D$57*SQRT(1+(B151/$G$59)^2)</f>
        <v>47.6242559663179</v>
      </c>
      <c r="D151" s="125" t="n">
        <f aca="false">$K$57-10*LOG10(SQRT(1+(B151/$N$59)^2))</f>
        <v>155.716847448327</v>
      </c>
    </row>
    <row r="152" customFormat="false" ht="12.75" hidden="false" customHeight="false" outlineLevel="0" collapsed="false">
      <c r="A152" s="0" t="n">
        <v>10.7</v>
      </c>
      <c r="B152" s="123" t="n">
        <f aca="false">10^A152</f>
        <v>50118723362.7272</v>
      </c>
      <c r="C152" s="125" t="n">
        <f aca="false">$D$57*SQRT(1+(B152/$G$59)^2)</f>
        <v>59.9532005506728</v>
      </c>
      <c r="D152" s="125" t="n">
        <f aca="false">$K$57-10*LOG10(SQRT(1+(B152/$N$59)^2))</f>
        <v>154.716848341303</v>
      </c>
    </row>
    <row r="153" customFormat="false" ht="12.75" hidden="false" customHeight="false" outlineLevel="0" collapsed="false">
      <c r="A153" s="0" t="n">
        <v>10.8</v>
      </c>
      <c r="B153" s="123" t="n">
        <f aca="false">10^A153</f>
        <v>63095734448.0194</v>
      </c>
      <c r="C153" s="125" t="n">
        <f aca="false">$D$57*SQRT(1+(B153/$G$59)^2)</f>
        <v>75.4748716331957</v>
      </c>
      <c r="D153" s="125" t="n">
        <f aca="false">$K$57-10*LOG10(SQRT(1+(B153/$N$59)^2))</f>
        <v>153.716848904733</v>
      </c>
    </row>
    <row r="154" customFormat="false" ht="12.75" hidden="false" customHeight="false" outlineLevel="0" collapsed="false">
      <c r="A154" s="0" t="n">
        <v>10.9</v>
      </c>
      <c r="B154" s="123" t="n">
        <f aca="false">10^A154</f>
        <v>79432823472.4282</v>
      </c>
      <c r="C154" s="125" t="n">
        <f aca="false">$D$57*SQRT(1+(B154/$G$59)^2)</f>
        <v>95.0158548248309</v>
      </c>
      <c r="D154" s="125" t="n">
        <f aca="false">$K$57-10*LOG10(SQRT(1+(B154/$N$59)^2))</f>
        <v>152.716849260233</v>
      </c>
    </row>
    <row r="155" customFormat="false" ht="12.75" hidden="false" customHeight="false" outlineLevel="0" collapsed="false">
      <c r="A155" s="0" t="n">
        <v>11</v>
      </c>
      <c r="B155" s="123" t="n">
        <f aca="false">10^A155</f>
        <v>100000000000</v>
      </c>
      <c r="C155" s="125" t="n">
        <f aca="false">$D$57*SQRT(1+(B155/$G$59)^2)</f>
        <v>119.616778749991</v>
      </c>
      <c r="D155" s="125" t="n">
        <f aca="false">$K$57-10*LOG10(SQRT(1+(B155/$N$59)^2))</f>
        <v>151.716849484539</v>
      </c>
    </row>
    <row r="156" customFormat="false" ht="12.75" hidden="false" customHeight="false" outlineLevel="0" collapsed="false">
      <c r="A156" s="0" t="n">
        <v>11.1</v>
      </c>
      <c r="B156" s="123" t="n">
        <f aca="false">10^A156</f>
        <v>125892541179.417</v>
      </c>
      <c r="C156" s="125" t="n">
        <f aca="false">$D$57*SQRT(1+(B156/$G$59)^2)</f>
        <v>150.587732321881</v>
      </c>
      <c r="D156" s="125" t="n">
        <f aca="false">$K$57-10*LOG10(SQRT(1+(B156/$N$59)^2))</f>
        <v>150.716849626066</v>
      </c>
    </row>
    <row r="157" customFormat="false" ht="12.75" hidden="false" customHeight="false" outlineLevel="0" collapsed="false">
      <c r="A157" s="0" t="n">
        <v>11.2</v>
      </c>
      <c r="B157" s="123" t="n">
        <f aca="false">10^A157</f>
        <v>158489319246.111</v>
      </c>
      <c r="C157" s="125" t="n">
        <f aca="false">$D$57*SQRT(1+(B157/$G$59)^2)</f>
        <v>189.578031757598</v>
      </c>
      <c r="D157" s="125" t="n">
        <f aca="false">$K$57-10*LOG10(SQRT(1+(B157/$N$59)^2))</f>
        <v>149.716849715364</v>
      </c>
    </row>
    <row r="158" customFormat="false" ht="12.75" hidden="false" customHeight="false" outlineLevel="0" collapsed="false">
      <c r="A158" s="0" t="n">
        <v>11.3</v>
      </c>
      <c r="B158" s="123" t="n">
        <f aca="false">10^A158</f>
        <v>199526231496.888</v>
      </c>
      <c r="C158" s="125" t="n">
        <f aca="false">$D$57*SQRT(1+(B158/$G$59)^2)</f>
        <v>238.664052682565</v>
      </c>
      <c r="D158" s="125" t="n">
        <f aca="false">$K$57-10*LOG10(SQRT(1+(B158/$N$59)^2))</f>
        <v>148.716849771707</v>
      </c>
    </row>
    <row r="159" customFormat="false" ht="12.75" hidden="false" customHeight="false" outlineLevel="0" collapsed="false">
      <c r="A159" s="0" t="n">
        <v>11.4</v>
      </c>
      <c r="B159" s="123" t="n">
        <f aca="false">10^A159</f>
        <v>251188643150.958</v>
      </c>
      <c r="C159" s="125" t="n">
        <f aca="false">$D$57*SQRT(1+(B159/$G$59)^2)</f>
        <v>300.459804704932</v>
      </c>
      <c r="D159" s="125" t="n">
        <f aca="false">$K$57-10*LOG10(SQRT(1+(B159/$N$59)^2))</f>
        <v>147.716849807257</v>
      </c>
    </row>
    <row r="160" customFormat="false" ht="12.75" hidden="false" customHeight="false" outlineLevel="0" collapsed="false">
      <c r="A160" s="0" t="n">
        <v>11.5</v>
      </c>
      <c r="B160" s="123" t="n">
        <f aca="false">10^A160</f>
        <v>316227766016.838</v>
      </c>
      <c r="C160" s="125" t="n">
        <f aca="false">$D$57*SQRT(1+(B160/$G$59)^2)</f>
        <v>378.256136959648</v>
      </c>
      <c r="D160" s="125" t="n">
        <f aca="false">$K$57-10*LOG10(SQRT(1+(B160/$N$59)^2))</f>
        <v>146.716849829687</v>
      </c>
    </row>
    <row r="161" customFormat="false" ht="12.75" hidden="false" customHeight="false" outlineLevel="0" collapsed="false">
      <c r="A161" s="0" t="n">
        <v>11.6</v>
      </c>
      <c r="B161" s="123" t="n">
        <f aca="false">10^A161</f>
        <v>398107170553.497</v>
      </c>
      <c r="C161" s="125" t="n">
        <f aca="false">$D$57*SQRT(1+(B161/$G$59)^2)</f>
        <v>476.19598782524</v>
      </c>
      <c r="D161" s="125" t="n">
        <f aca="false">$K$57-10*LOG10(SQRT(1+(B161/$N$59)^2))</f>
        <v>145.71684984384</v>
      </c>
    </row>
    <row r="162" customFormat="false" ht="12.75" hidden="false" customHeight="false" outlineLevel="0" collapsed="false">
      <c r="A162" s="0" t="n">
        <v>11.7</v>
      </c>
      <c r="B162" s="123" t="n">
        <f aca="false">10^A162</f>
        <v>501187233627.272</v>
      </c>
      <c r="C162" s="125" t="n">
        <f aca="false">$D$57*SQRT(1+(B162/$G$59)^2)</f>
        <v>599.495011499879</v>
      </c>
      <c r="D162" s="125" t="n">
        <f aca="false">$K$57-10*LOG10(SQRT(1+(B162/$N$59)^2))</f>
        <v>144.71684985277</v>
      </c>
    </row>
    <row r="163" customFormat="false" ht="12.75" hidden="false" customHeight="false" outlineLevel="0" collapsed="false">
      <c r="A163" s="0" t="n">
        <v>11.8</v>
      </c>
      <c r="B163" s="123" t="n">
        <f aca="false">10^A163</f>
        <v>630957344480.194</v>
      </c>
      <c r="C163" s="125" t="n">
        <f aca="false">$D$57*SQRT(1+(B163/$G$59)^2)</f>
        <v>754.719330606456</v>
      </c>
      <c r="D163" s="125" t="n">
        <f aca="false">$K$57-10*LOG10(SQRT(1+(B163/$N$59)^2))</f>
        <v>143.716849858404</v>
      </c>
    </row>
    <row r="164" customFormat="false" ht="12.75" hidden="false" customHeight="false" outlineLevel="0" collapsed="false">
      <c r="A164" s="0" t="n">
        <v>11.9</v>
      </c>
      <c r="B164" s="123" t="n">
        <f aca="false">10^A164</f>
        <v>794328234724.282</v>
      </c>
      <c r="C164" s="125" t="n">
        <f aca="false">$D$57*SQRT(1+(B164/$G$59)^2)</f>
        <v>950.135206165761</v>
      </c>
      <c r="D164" s="125" t="n">
        <f aca="false">$K$57-10*LOG10(SQRT(1+(B164/$N$59)^2))</f>
        <v>142.716849861959</v>
      </c>
    </row>
    <row r="165" customFormat="false" ht="12.75" hidden="false" customHeight="false" outlineLevel="0" collapsed="false">
      <c r="A165" s="0" t="n">
        <v>12</v>
      </c>
      <c r="B165" s="123" t="n">
        <f aca="false">10^A165</f>
        <v>1000000000000</v>
      </c>
      <c r="C165" s="125" t="n">
        <f aca="false">$D$57*SQRT(1+(B165/$G$59)^2)</f>
        <v>1196.14924613894</v>
      </c>
      <c r="D165" s="125" t="n">
        <f aca="false">$K$57-10*LOG10(SQRT(1+(B165/$N$59)^2))</f>
        <v>141.716849864202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515625" defaultRowHeight="12.8" zeroHeight="false" outlineLevelRow="0" outlineLevelCol="0"/>
  <sheetData/>
  <printOptions headings="false" gridLines="false" gridLinesSet="true" horizontalCentered="false" verticalCentered="false"/>
  <pageMargins left="0.75" right="0.75" top="1" bottom="1" header="0.511811023622047" footer="0.511811023622047"/>
  <pageSetup paperSize="77"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515625" defaultRowHeight="12.8" zeroHeight="false" outlineLevelRow="0" outlineLevelCol="0"/>
  <sheetData/>
  <printOptions headings="false" gridLines="false" gridLinesSet="true" horizontalCentered="false" verticalCentered="false"/>
  <pageMargins left="0.75" right="0.75" top="1" bottom="1" header="0.511811023622047" footer="0.511811023622047"/>
  <pageSetup paperSize="77"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515625" defaultRowHeight="12.8" zeroHeight="false" outlineLevelRow="0" outlineLevelCol="0"/>
  <sheetData/>
  <printOptions headings="false" gridLines="false" gridLinesSet="true" horizontalCentered="false" verticalCentered="false"/>
  <pageMargins left="0.75" right="0.75" top="1" bottom="1" header="0.511811023622047" footer="0.511811023622047"/>
  <pageSetup paperSize="77"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515625" defaultRowHeight="12.8" zeroHeight="false" outlineLevelRow="0" outlineLevelCol="0"/>
  <sheetData/>
  <printOptions headings="false" gridLines="false" gridLinesSet="true" horizontalCentered="false" verticalCentered="false"/>
  <pageMargins left="0.75" right="0.75" top="1" bottom="1" header="0.511811023622047" footer="0.511811023622047"/>
  <pageSetup paperSize="77"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1996-10-14T23:33:28Z</dcterms:created>
  <dc:creator>Microsoft Corporation</dc:creator>
  <dc:description/>
  <dc:language>en-US</dc:language>
  <cp:lastModifiedBy/>
  <cp:lastPrinted>2005-02-25T22:03:21Z</cp:lastPrinted>
  <dcterms:modified xsi:type="dcterms:W3CDTF">2024-05-21T14:05:34Z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