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updateLinks="never" codeName="ThisWorkbook" defaultThemeVersion="166925"/>
  <mc:AlternateContent xmlns:mc="http://schemas.openxmlformats.org/markup-compatibility/2006">
    <mc:Choice Requires="x15">
      <x15ac:absPath xmlns:x15ac="http://schemas.microsoft.com/office/spreadsheetml/2010/11/ac" url="/Users/drew.a.sens@ibm.com/Desktop/Calc an Models/v5.4/"/>
    </mc:Choice>
  </mc:AlternateContent>
  <xr:revisionPtr revIDLastSave="0" documentId="13_ncr:1_{C9D09722-4CB7-6440-938E-6FCB73299791}" xr6:coauthVersionLast="47" xr6:coauthVersionMax="47" xr10:uidLastSave="{00000000-0000-0000-0000-000000000000}"/>
  <workbookProtection workbookAlgorithmName="SHA-512" workbookHashValue="5xnBUBwDx/CScw0OQAuhqyKrjAcS+bRS+9GgHdGR6VpnDACgnf3i6LDbPGOgUbM22ewM4WcHnHYjfXVhtWNJyg==" workbookSaltValue="Yvld3zc2H0LN8lSdlHRq2w==" workbookSpinCount="100000" lockStructure="1"/>
  <bookViews>
    <workbookView xWindow="44140" yWindow="-4460" windowWidth="33600" windowHeight="19460" activeTab="11" xr2:uid="{E1039BD3-045F-5942-BFD6-FFA32EFCC75B}"/>
  </bookViews>
  <sheets>
    <sheet name="Instructions" sheetId="1" state="hidden" r:id="rId1"/>
    <sheet name="Apps-&gt;" sheetId="3" r:id="rId2"/>
    <sheet name="Manage" sheetId="4" r:id="rId3"/>
    <sheet name="Health" sheetId="21" r:id="rId4"/>
    <sheet name="Monitor" sheetId="22" r:id="rId5"/>
    <sheet name="Predict" sheetId="27" r:id="rId6"/>
    <sheet name="Safety" sheetId="28" r:id="rId7"/>
    <sheet name="Assist" sheetId="29" r:id="rId8"/>
    <sheet name="MVI" sheetId="31" r:id="rId9"/>
    <sheet name="MAS Core" sheetId="12" r:id="rId10"/>
    <sheet name="Summary-&gt;" sheetId="24" r:id="rId11"/>
    <sheet name="Output Dashboard" sheetId="2" r:id="rId12"/>
    <sheet name="Version" sheetId="30" state="hidden" r:id="rId13"/>
    <sheet name="Hide-&gt;" sheetId="23" state="hidden" r:id="rId14"/>
    <sheet name="Addon Prices" sheetId="26" state="hidden" r:id="rId15"/>
    <sheet name="Backlog" sheetId="25" state="hidden" r:id="rId16"/>
    <sheet name="Input Cost" sheetId="20" state="hidden" r:id="rId17"/>
    <sheet name="Costing Model" sheetId="19" state="hidden" r:id="rId18"/>
    <sheet name="txts" sheetId="11" state="hidden" r:id="rId19"/>
  </sheets>
  <externalReferences>
    <externalReference r:id="rId20"/>
    <externalReference r:id="rId21"/>
    <externalReference r:id="rId22"/>
  </externalReferences>
  <definedNames>
    <definedName name="aboryear">'[1]Managed Svcs, capacity'!$I$59</definedName>
    <definedName name="assistextravpc">Assist!$L$36</definedName>
    <definedName name="assistfteall">'Costing Model'!$H$70</definedName>
    <definedName name="assistftetotal">Assist!$M$36</definedName>
    <definedName name="assistprodsizes">txts!$G$49:$G$54</definedName>
    <definedName name="Assistsizesyesno">txts!$H$48:$H$54</definedName>
    <definedName name="assistvpcdev">'Costing Model'!$D$32</definedName>
    <definedName name="assistvpclarge">'Costing Model'!$X$32</definedName>
    <definedName name="assistvpcmedium">'Costing Model'!$S$32</definedName>
    <definedName name="assistvpcprod">'Costing Model'!$I$32</definedName>
    <definedName name="assistvpcsmall">'Costing Model'!$N$32</definedName>
    <definedName name="assistvpcxmsall">'Costing Model'!$I$32</definedName>
    <definedName name="BlockStorage_Cost">'[2]Input Cost'!$M$18</definedName>
    <definedName name="CapUCost">'Input Cost'!$C$67</definedName>
    <definedName name="CapUdiscounedpriceyearly">'Output Dashboard'!$F$58</definedName>
    <definedName name="COS_backup_cost">'[2]Input Cost'!$G$31</definedName>
    <definedName name="COS_backup_x">'[2]Input Cost'!$F$30</definedName>
    <definedName name="Couchdbcpvlarge">'Costing Model'!$X$19</definedName>
    <definedName name="Couchdbgblarge">'Costing Model'!$Z$19</definedName>
    <definedName name="Couchdbgbmedium">'Costing Model'!$U$19</definedName>
    <definedName name="Couchdbgbxsmall">'Costing Model'!$K$19</definedName>
    <definedName name="Couchdbvpcdev">'Costing Model'!$D$19</definedName>
    <definedName name="Couchdbvpcmedium">'Costing Model'!$S$19</definedName>
    <definedName name="Couchdbvpcsmall">'Costing Model'!$N$19</definedName>
    <definedName name="Couchdbvpcxsmall">'Costing Model'!$I$19</definedName>
    <definedName name="Couchgbgbdev">'Costing Model'!$F$19</definedName>
    <definedName name="Couchgbgbsmall">'Costing Model'!$P$19</definedName>
    <definedName name="Cp4dvpcdev">'Costing Model'!$D$14</definedName>
    <definedName name="Cp4dvpcmedium">'Costing Model'!$S$14</definedName>
    <definedName name="Cp4dvpcsmall">'Costing Model'!$N$14</definedName>
    <definedName name="Cp4dvpcxmsall">'Costing Model'!$I$14</definedName>
    <definedName name="Cpvdvpclarge">'Costing Model'!$X$14</definedName>
    <definedName name="dicoverygb">'Costing Model'!$F$21</definedName>
    <definedName name="dicoverygbdev">'Costing Model'!$F$21</definedName>
    <definedName name="Discount_on_IBM_services_infra">'Costing Model'!#REF!</definedName>
    <definedName name="discoverygblarge">'Costing Model'!$Z$21</definedName>
    <definedName name="discoverygbmedium">'Costing Model'!$U$21</definedName>
    <definedName name="discoverygbsmall">'Costing Model'!$P$21</definedName>
    <definedName name="discoverygbxsmall">'Costing Model'!$K$21</definedName>
    <definedName name="discoveryvpcdev">'Costing Model'!$D$21</definedName>
    <definedName name="discoveryvpclarge">'Costing Model'!$X$21</definedName>
    <definedName name="discoveryvpcmedium">'Costing Model'!$S$21</definedName>
    <definedName name="discoveryvpcsmall">'Costing Model'!$N$21</definedName>
    <definedName name="discoveryvpcxsmall">'Costing Model'!$I$21</definedName>
    <definedName name="EffortLevel">txts!$D$4:$D$8</definedName>
    <definedName name="EnvironmentSizes">'Output Dashboard'!$L$13:$L$16</definedName>
    <definedName name="GBCost">'Input Cost'!$C$65</definedName>
    <definedName name="GBdataextracost">'Output Dashboard'!$M$46</definedName>
    <definedName name="GBstoragediscountedpriceyearly">'Output Dashboard'!$H$58</definedName>
    <definedName name="GPU_Node_cost">'[2]Input Cost'!$J$11</definedName>
    <definedName name="GPUCost">'Input Cost'!$C$61</definedName>
    <definedName name="healthdb2dev">'Costing Model'!$F$16</definedName>
    <definedName name="healthdb2large">'Costing Model'!$Z$16</definedName>
    <definedName name="healthdb2medium">'Costing Model'!$U$16</definedName>
    <definedName name="healthdb2small">'Costing Model'!$P$16</definedName>
    <definedName name="healthdb2vpcdev">'Costing Model'!$D$16</definedName>
    <definedName name="healthdb2vpclarge">'Costing Model'!$X$16</definedName>
    <definedName name="healthdb2vpcmedium">'Costing Model'!$S$16</definedName>
    <definedName name="healthdb2vpcsmall">'Costing Model'!$N$16</definedName>
    <definedName name="healthdb2vpcxsmall">'Costing Model'!$I$16</definedName>
    <definedName name="healthdb2xsmall">'Costing Model'!$K$16</definedName>
    <definedName name="healthfteall">'Costing Model'!$F$67</definedName>
    <definedName name="healthprodsizes">txts!$G$13:$G$18</definedName>
    <definedName name="healthsingletenantvpc">Health!$L$32</definedName>
    <definedName name="healthsizesyesno">txts!$H$13:$H$17</definedName>
    <definedName name="healthstand">txts!$E$4:$E$6</definedName>
    <definedName name="healthsubtotalfte">Health!$M$32</definedName>
    <definedName name="healthvpcdev">'Costing Model'!$D$29</definedName>
    <definedName name="healthvpclarge">'Costing Model'!$X$29</definedName>
    <definedName name="healthvpcmedium">'Costing Model'!$S$29</definedName>
    <definedName name="healthvpcsmall">'Costing Model'!$N$29</definedName>
    <definedName name="healthvpcxsmall">'Costing Model'!$I$29</definedName>
    <definedName name="IBM_Cloud_Discount">'Input Cost'!$D$3</definedName>
    <definedName name="IBM_CloudDiscount">'Input Cost'!$D$3</definedName>
    <definedName name="IBM_Discount">'Input Cost'!$D$2</definedName>
    <definedName name="IBM_SL_Discount">'Input Cost'!$D$2</definedName>
    <definedName name="Iotpvpcdev">'Costing Model'!$D$28</definedName>
    <definedName name="Iotpvpclarge">'Costing Model'!$X$28</definedName>
    <definedName name="Iotpvpcmedium">'Costing Model'!$S$28</definedName>
    <definedName name="Iotpvpcsmall">'Costing Model'!$N$28</definedName>
    <definedName name="Iotpvpcxsmall">'Costing Model'!$I$28</definedName>
    <definedName name="Isassistdeployed">Assist!$K$37</definedName>
    <definedName name="Ishealthdeployed">Health!$K$36</definedName>
    <definedName name="Ismagaedeployed">Manage!$K$38</definedName>
    <definedName name="Ismanageddeployed">Manage!$K$38</definedName>
    <definedName name="Ismonitoreddeployed">Monitor!$K$27</definedName>
    <definedName name="Ismvideployed">MVI!$K$37</definedName>
    <definedName name="Issafetydeployed" localSheetId="7">Assist!$K$37</definedName>
    <definedName name="Issafetydeployed" localSheetId="8">MVI!$K$37</definedName>
    <definedName name="Issafetydeployed">Safety!$K$37</definedName>
    <definedName name="laboryear">'Input Cost'!$D$44</definedName>
    <definedName name="managedb2datadev">'Costing Model'!$F$17</definedName>
    <definedName name="managedb2datalarge">'Costing Model'!$Z$17</definedName>
    <definedName name="managedb2datamedium">'Costing Model'!$U$17</definedName>
    <definedName name="managedb2datasmall">'Costing Model'!$P$17</definedName>
    <definedName name="managedb2dataxsmall">'Costing Model'!$K$17</definedName>
    <definedName name="managedb2dev">'Costing Model'!$D$17</definedName>
    <definedName name="managedb2large">'Costing Model'!$X$17</definedName>
    <definedName name="managedb2medium">'Costing Model'!$S$17</definedName>
    <definedName name="managedb2small">'Costing Model'!$N$17</definedName>
    <definedName name="managedb2xsmall">'Costing Model'!$I$17</definedName>
    <definedName name="manageextravpc" localSheetId="7">Assist!$L$36</definedName>
    <definedName name="manageextravpc" localSheetId="3">Health!$L$32</definedName>
    <definedName name="manageextravpc" localSheetId="4">Monitor!$L$26</definedName>
    <definedName name="manageextravpc" localSheetId="8">MVI!$L$36</definedName>
    <definedName name="manageextravpc" localSheetId="5">Predict!$L$24</definedName>
    <definedName name="manageextravpc" localSheetId="6">Safety!$L$36</definedName>
    <definedName name="manageextravpc">Manage!$L$37</definedName>
    <definedName name="manageftelarge">'Costing Model'!$L$71</definedName>
    <definedName name="manageftemedium">'Costing Model'!$J$71</definedName>
    <definedName name="manageftesmall">'Costing Model'!$H$71</definedName>
    <definedName name="manageftexsmall">'Costing Model'!$F$71</definedName>
    <definedName name="managesizes">txts!$G$4:$G$9</definedName>
    <definedName name="managesizes1stnonprod">txts!$J$4:$J$8</definedName>
    <definedName name="managesizesyesno">txts!$H$4:$H$9</definedName>
    <definedName name="managevpcdev">'Costing Model'!$D$33</definedName>
    <definedName name="managevpclarge">'Costing Model'!$X$33</definedName>
    <definedName name="managevpcmedium">'Costing Model'!$S$33</definedName>
    <definedName name="managevpcsmall">'Costing Model'!$N$33</definedName>
    <definedName name="managevpcxsmall">'Costing Model'!$I$33</definedName>
    <definedName name="MASCoreSizes">txts!$J$12</definedName>
    <definedName name="MASCoreSparevpc">'MAS Core'!$L$27</definedName>
    <definedName name="MASCorseextravpcs">'MAS Core'!$L$37</definedName>
    <definedName name="MemPerGPUNode">'[2]Input Cost'!$G$11</definedName>
    <definedName name="MemPerNode">'[2]Input Cost'!$G$9</definedName>
    <definedName name="mivextravpc">MVI!$L$36</definedName>
    <definedName name="mlvpcdev">'Costing Model'!$D$22</definedName>
    <definedName name="mlvpclarge">'Costing Model'!$X$22</definedName>
    <definedName name="mlvpcmedium">'Costing Model'!$S$22</definedName>
    <definedName name="mlvpcsmall">'Costing Model'!$N$22</definedName>
    <definedName name="mlvpcxsmall">'Costing Model'!$I$22</definedName>
    <definedName name="monitordb2dev">'Costing Model'!$F$15</definedName>
    <definedName name="monitordb2large">'Costing Model'!$Z$15</definedName>
    <definedName name="monitordb2medium">'Costing Model'!$U$15</definedName>
    <definedName name="monitordb2small">'Costing Model'!$P$15</definedName>
    <definedName name="monitordb2vpcdev">'Costing Model'!$D$15</definedName>
    <definedName name="monitordb2vpclarge">'Costing Model'!$X$15</definedName>
    <definedName name="monitordb2vpcmedium">'Costing Model'!$S$15</definedName>
    <definedName name="monitordb2vpcsmall">'Costing Model'!$N$15</definedName>
    <definedName name="monitordb2vpcxsmall">'Costing Model'!$I$15</definedName>
    <definedName name="monitordb3small">'Costing Model'!$K$15</definedName>
    <definedName name="monitorfteALL">'Costing Model'!$F$64</definedName>
    <definedName name="monitorftetotal" localSheetId="5">Predict!$M$24</definedName>
    <definedName name="monitorftetotal">Monitor!$M$26</definedName>
    <definedName name="monitorpoc">txts!$H$21:$H$22</definedName>
    <definedName name="monitorproductionsizes">txts!$G$22:$G$27</definedName>
    <definedName name="monitorsingletenateprereqs" localSheetId="5">Predict!$L$24</definedName>
    <definedName name="monitorsingletenateprereqs">Monitor!$L$26</definedName>
    <definedName name="monitorsizesyesno">txts!$H$21:$H$27</definedName>
    <definedName name="monitorvpcdev">'Costing Model'!$D$26</definedName>
    <definedName name="monitorvpclarge">'Costing Model'!$X$26</definedName>
    <definedName name="monitorvpcmedium">'Costing Model'!$S$26</definedName>
    <definedName name="monitorvpcsmall">'Costing Model'!$N$26</definedName>
    <definedName name="monitorvpcxsmall">'Costing Model'!$I$26</definedName>
    <definedName name="mvifteall">'Costing Model'!$F$69</definedName>
    <definedName name="MVIFTEtotal">MVI!$M$36</definedName>
    <definedName name="MVIFTEtotals">MVI!$M$36</definedName>
    <definedName name="mvigbdev">'Costing Model'!$H$31</definedName>
    <definedName name="mvigblarge">'Costing Model'!$Z$31</definedName>
    <definedName name="mvigbmedium">'Costing Model'!$U$31</definedName>
    <definedName name="mvigbsmall">'Costing Model'!$P$31</definedName>
    <definedName name="mvigbxsmall">'Costing Model'!$K$31</definedName>
    <definedName name="mvigpucosts">MVI!$N$36</definedName>
    <definedName name="mviproductionsizes">txts!$G$60:$G$65</definedName>
    <definedName name="mvisizesyesno">txts!$H$59:$H$65</definedName>
    <definedName name="mvitetotal">MVI!$M$36</definedName>
    <definedName name="mvivpcdev">'Costing Model'!$D$31</definedName>
    <definedName name="mvivpclarge">'Costing Model'!$X$31</definedName>
    <definedName name="mvivpcmedium">'Costing Model'!$S$31</definedName>
    <definedName name="mvivpcsmall">'Costing Model'!$N$31</definedName>
    <definedName name="mvivpcxsmall">'Costing Model'!$I$31</definedName>
    <definedName name="onethrufive">txts!$I$4:$I$9</definedName>
    <definedName name="Perf_1000IOPS">'Input Cost'!$M$21</definedName>
    <definedName name="Perf_100IOPS">'Input Cost'!$M$20</definedName>
    <definedName name="Perf_4000IOPS">'Input Cost'!$M$22</definedName>
    <definedName name="Performance_storage">'Input Cost'!$M$20</definedName>
    <definedName name="PerfStorage_Cost">'Input Cost'!$M$19</definedName>
    <definedName name="Predictdbdev">'Costing Model'!$F$30</definedName>
    <definedName name="Predictdblarge">'Costing Model'!$Z$30</definedName>
    <definedName name="Predictdbmedium">'Costing Model'!$U$30</definedName>
    <definedName name="Predictdbsmall">'Costing Model'!$P$30</definedName>
    <definedName name="Predictdbxsmall">'Costing Model'!$K$30</definedName>
    <definedName name="predicteextravpc">Predict!$L$24</definedName>
    <definedName name="PredictfteALL">'Costing Model'!$F$68</definedName>
    <definedName name="Predictftetotal">Predict!$M$24</definedName>
    <definedName name="Predictisdeployed">Predict!$K$25</definedName>
    <definedName name="Predictsizes">txts!$G$31:$G$36</definedName>
    <definedName name="predictsizesyesno">txts!$H$30:$H$36</definedName>
    <definedName name="Predictvpcdev">'Costing Model'!$D$30</definedName>
    <definedName name="Predictvpclarge">'Costing Model'!$X$30</definedName>
    <definedName name="Predictvpcmedium">'Costing Model'!$S$30</definedName>
    <definedName name="Predictvpcsmall">'Costing Model'!$N$30</definedName>
    <definedName name="Predictvpcxsmall">'Costing Model'!$I$30</definedName>
    <definedName name="safetydbgblarge">'Costing Model'!$Z$27</definedName>
    <definedName name="safetydbgbmedium">'Costing Model'!$U$27</definedName>
    <definedName name="safetydbgbsmall">'Costing Model'!$P$27</definedName>
    <definedName name="safetyfteall">'Costing Model'!$H$65</definedName>
    <definedName name="safetyftetotal" localSheetId="7">Assist!$M$36</definedName>
    <definedName name="safetyftetotal" localSheetId="8">MVI!$M$36</definedName>
    <definedName name="safetyftetotal">Safety!$M$36</definedName>
    <definedName name="safetyprodsizes">txts!$G$40:$G$45</definedName>
    <definedName name="safetysizesyesno">txts!$H$39:$H$45</definedName>
    <definedName name="safetyvpclarge">'Costing Model'!$X$27</definedName>
    <definedName name="safetyvpcmedium">'Costing Model'!$S$27</definedName>
    <definedName name="safetyvpcsmall">'Costing Model'!$N$27</definedName>
    <definedName name="shareddedicated">txts!$K$4:$K$5</definedName>
    <definedName name="SML_List">'[3]Input Cost'!$D$51:$G$51</definedName>
    <definedName name="Storage_Cost">'[2]Input Cost'!$M$18</definedName>
    <definedName name="studiovpcdev">'Costing Model'!$D$20</definedName>
    <definedName name="studiovpclarge">'Costing Model'!$X$20</definedName>
    <definedName name="studiovpcmedium">'Costing Model'!$S$20</definedName>
    <definedName name="studiovpcsmall">'Costing Model'!$N$20</definedName>
    <definedName name="studiovpcxsmall">'Costing Model'!$I$20</definedName>
    <definedName name="totaldiscount">'Output Dashboard'!$F$55</definedName>
    <definedName name="tshirtsizes">txts!$F$4:$F$8</definedName>
    <definedName name="VM_Cost">'[2]Input Cost'!$J$9</definedName>
    <definedName name="VM8_Cost">'Input Cost'!$J$10</definedName>
    <definedName name="VPCCost">'Input Cost'!$C$63</definedName>
    <definedName name="VPCdiscountedpriceyearly">'Output Dashboard'!$G$58</definedName>
    <definedName name="VPCsInGPUNode">'[2]Input Cost'!$F$11</definedName>
    <definedName name="VPCsInNode">'[2]Input Cost'!$F$9</definedName>
    <definedName name="XFactor_HotStorage">'Input Cost'!$H$16</definedName>
    <definedName name="yesno">txts!$B$4:$B$5</definedName>
    <definedName name="YesNoList">'[3]Input Cost'!$D$50:$E$50</definedName>
    <definedName name="zerothroughfive">txts!$B$11:$B$16</definedName>
    <definedName name="zerothroughten">txts!$B$11:$B$21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4" i="21" l="1"/>
  <c r="L52" i="21" l="1"/>
  <c r="I7" i="21"/>
  <c r="L34" i="21"/>
  <c r="I5" i="21" s="1"/>
  <c r="D21" i="21"/>
  <c r="D5" i="21"/>
  <c r="S36" i="21"/>
  <c r="S37" i="21"/>
  <c r="S35" i="21"/>
  <c r="K22" i="21"/>
  <c r="H22" i="21" s="1"/>
  <c r="K23" i="21"/>
  <c r="G23" i="21" s="1"/>
  <c r="K16" i="21"/>
  <c r="G16" i="21" s="1"/>
  <c r="J8" i="2" l="1"/>
  <c r="K24" i="21"/>
  <c r="D24" i="21"/>
  <c r="C24" i="21"/>
  <c r="G18" i="21"/>
  <c r="L51" i="21"/>
  <c r="I22" i="21" s="1"/>
  <c r="C25" i="21"/>
  <c r="I25" i="21"/>
  <c r="H16" i="21"/>
  <c r="F16" i="21"/>
  <c r="L50" i="21"/>
  <c r="I23" i="21" s="1"/>
  <c r="G22" i="21"/>
  <c r="F22" i="21"/>
  <c r="E8" i="2"/>
  <c r="F6" i="21"/>
  <c r="K17" i="21"/>
  <c r="K18" i="21"/>
  <c r="H18" i="21" s="1"/>
  <c r="K19" i="21"/>
  <c r="K20" i="21"/>
  <c r="K21" i="21"/>
  <c r="K8" i="21"/>
  <c r="K9" i="21"/>
  <c r="K11" i="21"/>
  <c r="G11" i="21" s="1"/>
  <c r="K12" i="21"/>
  <c r="F12" i="21" s="1"/>
  <c r="K13" i="21"/>
  <c r="K14" i="21"/>
  <c r="K15" i="21"/>
  <c r="G15" i="21" s="1"/>
  <c r="K7" i="21"/>
  <c r="G12" i="21" l="1"/>
  <c r="F14" i="21"/>
  <c r="G14" i="21"/>
  <c r="F13" i="21"/>
  <c r="G13" i="21"/>
  <c r="F15" i="21"/>
  <c r="H15" i="21"/>
  <c r="H14" i="21"/>
  <c r="H13" i="21"/>
  <c r="H12" i="21"/>
  <c r="H11" i="21"/>
  <c r="F18" i="21"/>
  <c r="F34" i="21"/>
  <c r="F11" i="21"/>
  <c r="F8" i="2"/>
  <c r="L8" i="2"/>
  <c r="F7" i="4"/>
  <c r="H7" i="4"/>
  <c r="G7" i="4"/>
  <c r="C7" i="4" l="1"/>
  <c r="I42" i="2" l="1"/>
  <c r="F15" i="31" l="1"/>
  <c r="F14" i="31"/>
  <c r="F13" i="31"/>
  <c r="R26" i="31" l="1"/>
  <c r="U9" i="29" l="1"/>
  <c r="U8" i="29"/>
  <c r="U7" i="29"/>
  <c r="U6" i="29"/>
  <c r="U5" i="29"/>
  <c r="P14" i="29"/>
  <c r="F13" i="29" l="1"/>
  <c r="F13" i="28"/>
  <c r="F13" i="27"/>
  <c r="I15" i="31"/>
  <c r="I13" i="31"/>
  <c r="N7" i="31"/>
  <c r="N8" i="31"/>
  <c r="N9" i="31"/>
  <c r="N13" i="31"/>
  <c r="N16" i="31"/>
  <c r="Q20" i="2"/>
  <c r="G20" i="2"/>
  <c r="R25" i="31"/>
  <c r="R24" i="31"/>
  <c r="R23" i="31"/>
  <c r="R22" i="31"/>
  <c r="Q26" i="31"/>
  <c r="Q25" i="31"/>
  <c r="Q24" i="31"/>
  <c r="Q23" i="31"/>
  <c r="Q22" i="31"/>
  <c r="Q17" i="31"/>
  <c r="T7" i="31"/>
  <c r="Q15" i="31"/>
  <c r="R9" i="31"/>
  <c r="R8" i="31"/>
  <c r="R7" i="31"/>
  <c r="R6" i="31"/>
  <c r="R5" i="31"/>
  <c r="P9" i="31"/>
  <c r="P8" i="31"/>
  <c r="P7" i="31"/>
  <c r="P6" i="31"/>
  <c r="P5" i="31"/>
  <c r="K27" i="31"/>
  <c r="K26" i="31"/>
  <c r="K25" i="31"/>
  <c r="K24" i="31"/>
  <c r="K23" i="31"/>
  <c r="K22" i="31"/>
  <c r="K21" i="31"/>
  <c r="K20" i="31"/>
  <c r="K19" i="31"/>
  <c r="P18" i="31"/>
  <c r="K18" i="31"/>
  <c r="K17" i="31"/>
  <c r="F17" i="31" s="1"/>
  <c r="P16" i="31"/>
  <c r="K16" i="31"/>
  <c r="P15" i="31"/>
  <c r="K15" i="31"/>
  <c r="L15" i="31" s="1"/>
  <c r="K14" i="31"/>
  <c r="M14" i="31" s="1"/>
  <c r="K13" i="31"/>
  <c r="K12" i="31"/>
  <c r="K11" i="31"/>
  <c r="K10" i="31"/>
  <c r="L10" i="31" s="1"/>
  <c r="AG9" i="31"/>
  <c r="AE9" i="31"/>
  <c r="AD9" i="31"/>
  <c r="AC9" i="31"/>
  <c r="M9" i="31"/>
  <c r="AG8" i="31"/>
  <c r="AE8" i="31"/>
  <c r="AD8" i="31"/>
  <c r="AC8" i="31"/>
  <c r="P17" i="31"/>
  <c r="K8" i="31"/>
  <c r="M8" i="31" s="1"/>
  <c r="AG7" i="31"/>
  <c r="AE7" i="31"/>
  <c r="AD7" i="31"/>
  <c r="AC7" i="31"/>
  <c r="K7" i="31"/>
  <c r="M7" i="31" s="1"/>
  <c r="AG6" i="31"/>
  <c r="AG5" i="31" s="1"/>
  <c r="AE6" i="31"/>
  <c r="AD6" i="31"/>
  <c r="AC6" i="31"/>
  <c r="K6" i="31"/>
  <c r="H6" i="31" s="1"/>
  <c r="AE5" i="31"/>
  <c r="AD5" i="31"/>
  <c r="AC5" i="31"/>
  <c r="P14" i="31"/>
  <c r="D5" i="31"/>
  <c r="B2" i="31"/>
  <c r="D14" i="12"/>
  <c r="K15" i="29"/>
  <c r="K15" i="28"/>
  <c r="K15" i="27"/>
  <c r="K15" i="22"/>
  <c r="K15" i="4"/>
  <c r="F17" i="29"/>
  <c r="F10" i="31" l="1"/>
  <c r="L12" i="31"/>
  <c r="F12" i="31"/>
  <c r="G11" i="31"/>
  <c r="F11" i="31"/>
  <c r="T6" i="31"/>
  <c r="E10" i="2"/>
  <c r="I17" i="31"/>
  <c r="Q23" i="2"/>
  <c r="G23" i="2" s="1"/>
  <c r="I10" i="31"/>
  <c r="Q21" i="2"/>
  <c r="G21" i="2" s="1"/>
  <c r="N14" i="31"/>
  <c r="G14" i="31"/>
  <c r="H14" i="31"/>
  <c r="I14" i="31"/>
  <c r="G15" i="31"/>
  <c r="H15" i="31"/>
  <c r="N15" i="31"/>
  <c r="N12" i="31"/>
  <c r="I12" i="31"/>
  <c r="Q19" i="2"/>
  <c r="G19" i="2" s="1"/>
  <c r="N17" i="31"/>
  <c r="G17" i="31"/>
  <c r="H17" i="31"/>
  <c r="N11" i="31"/>
  <c r="Q18" i="2"/>
  <c r="G18" i="2" s="1"/>
  <c r="I11" i="31"/>
  <c r="H11" i="31"/>
  <c r="I6" i="31"/>
  <c r="N10" i="31"/>
  <c r="Q17" i="2"/>
  <c r="G17" i="2" s="1"/>
  <c r="J39" i="31"/>
  <c r="K39" i="31" s="1"/>
  <c r="F26" i="31" s="1"/>
  <c r="L10" i="2"/>
  <c r="N6" i="31"/>
  <c r="F10" i="2"/>
  <c r="M10" i="31"/>
  <c r="G6" i="31"/>
  <c r="R15" i="31"/>
  <c r="G12" i="31"/>
  <c r="K37" i="31"/>
  <c r="H12" i="31"/>
  <c r="M12" i="31"/>
  <c r="R14" i="31"/>
  <c r="S14" i="31" s="1"/>
  <c r="R17" i="31"/>
  <c r="G13" i="31"/>
  <c r="T9" i="31"/>
  <c r="Q16" i="31"/>
  <c r="R16" i="31" s="1"/>
  <c r="H13" i="31"/>
  <c r="L11" i="31"/>
  <c r="T8" i="31"/>
  <c r="M13" i="31"/>
  <c r="M6" i="31"/>
  <c r="I7" i="31"/>
  <c r="G10" i="31"/>
  <c r="L14" i="31"/>
  <c r="T5" i="31"/>
  <c r="M11" i="31" s="1"/>
  <c r="H10" i="31"/>
  <c r="K36" i="31"/>
  <c r="M15" i="31"/>
  <c r="L6" i="31"/>
  <c r="Q18" i="31"/>
  <c r="R18" i="31" s="1"/>
  <c r="L13" i="31"/>
  <c r="S23" i="2"/>
  <c r="I23" i="2"/>
  <c r="S20" i="2"/>
  <c r="I20" i="2" s="1"/>
  <c r="R9" i="29"/>
  <c r="R8" i="29"/>
  <c r="R7" i="29"/>
  <c r="R6" i="29"/>
  <c r="R5" i="29"/>
  <c r="Q6" i="29"/>
  <c r="Q9" i="29"/>
  <c r="Q8" i="29"/>
  <c r="Q7" i="29"/>
  <c r="Q5" i="29"/>
  <c r="S21" i="19"/>
  <c r="I21" i="19"/>
  <c r="D21" i="19"/>
  <c r="AG9" i="29"/>
  <c r="AE9" i="29"/>
  <c r="AD9" i="29"/>
  <c r="AC9" i="29"/>
  <c r="AG8" i="29"/>
  <c r="AE8" i="29"/>
  <c r="AD8" i="29"/>
  <c r="AC8" i="29"/>
  <c r="AG7" i="29"/>
  <c r="AE7" i="29"/>
  <c r="AD7" i="29"/>
  <c r="AC7" i="29"/>
  <c r="AG6" i="29"/>
  <c r="AG5" i="29" s="1"/>
  <c r="AE6" i="29"/>
  <c r="AD6" i="29"/>
  <c r="AC6" i="29"/>
  <c r="AE5" i="29"/>
  <c r="AD5" i="29"/>
  <c r="AC5" i="29"/>
  <c r="N36" i="31" l="1"/>
  <c r="N30" i="2" s="1"/>
  <c r="Q30" i="2" s="1"/>
  <c r="M36" i="31"/>
  <c r="H24" i="31"/>
  <c r="I10" i="2" s="1"/>
  <c r="L36" i="31"/>
  <c r="V14" i="31"/>
  <c r="W5" i="31"/>
  <c r="W6" i="31"/>
  <c r="W7" i="31"/>
  <c r="V18" i="31"/>
  <c r="W9" i="31"/>
  <c r="V17" i="31"/>
  <c r="W8" i="31"/>
  <c r="U17" i="31"/>
  <c r="G24" i="31"/>
  <c r="H10" i="2" s="1"/>
  <c r="I20" i="12"/>
  <c r="R23" i="4"/>
  <c r="E21" i="26"/>
  <c r="E27" i="26"/>
  <c r="F27" i="26" s="1"/>
  <c r="E25" i="26"/>
  <c r="F25" i="26" s="1"/>
  <c r="E24" i="26"/>
  <c r="F24" i="26" s="1"/>
  <c r="P24" i="4"/>
  <c r="P23" i="4"/>
  <c r="P25" i="4"/>
  <c r="P26" i="4"/>
  <c r="E10" i="26"/>
  <c r="E11" i="26"/>
  <c r="E12" i="26"/>
  <c r="K27" i="29"/>
  <c r="K26" i="29"/>
  <c r="K25" i="29"/>
  <c r="K24" i="29"/>
  <c r="K23" i="29"/>
  <c r="K22" i="29"/>
  <c r="K21" i="29"/>
  <c r="K20" i="29"/>
  <c r="K19" i="29"/>
  <c r="P18" i="29"/>
  <c r="K18" i="29"/>
  <c r="P17" i="29"/>
  <c r="K17" i="29"/>
  <c r="H17" i="29" s="1"/>
  <c r="P16" i="29"/>
  <c r="K16" i="29"/>
  <c r="P15" i="29"/>
  <c r="H15" i="29"/>
  <c r="R14" i="29"/>
  <c r="S14" i="29" s="1"/>
  <c r="K14" i="29"/>
  <c r="K13" i="29"/>
  <c r="L13" i="29" s="1"/>
  <c r="K12" i="29"/>
  <c r="K11" i="29"/>
  <c r="K10" i="29"/>
  <c r="Q18" i="29"/>
  <c r="K8" i="29"/>
  <c r="M8" i="29" s="1"/>
  <c r="Q16" i="29"/>
  <c r="K7" i="29"/>
  <c r="M7" i="29" s="1"/>
  <c r="Q15" i="29"/>
  <c r="K6" i="29"/>
  <c r="D5" i="29"/>
  <c r="E12" i="2" s="1"/>
  <c r="B2" i="29"/>
  <c r="V9" i="28"/>
  <c r="V8" i="28"/>
  <c r="V7" i="28"/>
  <c r="V6" i="28"/>
  <c r="V5" i="28"/>
  <c r="V7" i="22"/>
  <c r="V6" i="22"/>
  <c r="V9" i="22"/>
  <c r="V8" i="22"/>
  <c r="V5" i="22"/>
  <c r="K7" i="4"/>
  <c r="K8" i="4"/>
  <c r="J39" i="29" l="1"/>
  <c r="K39" i="29" s="1"/>
  <c r="F26" i="29" s="1"/>
  <c r="U16" i="31"/>
  <c r="V16" i="31"/>
  <c r="V15" i="31"/>
  <c r="U15" i="31"/>
  <c r="S15" i="31"/>
  <c r="U14" i="31"/>
  <c r="S16" i="31"/>
  <c r="S17" i="31"/>
  <c r="U18" i="31"/>
  <c r="R15" i="29"/>
  <c r="S18" i="31"/>
  <c r="M10" i="29"/>
  <c r="S17" i="2"/>
  <c r="I17" i="2" s="1"/>
  <c r="L12" i="29"/>
  <c r="S19" i="2"/>
  <c r="I19" i="2" s="1"/>
  <c r="H11" i="29"/>
  <c r="S18" i="2"/>
  <c r="I18" i="2" s="1"/>
  <c r="L14" i="29"/>
  <c r="S21" i="2"/>
  <c r="I21" i="2" s="1"/>
  <c r="I7" i="29"/>
  <c r="F12" i="2"/>
  <c r="L12" i="2"/>
  <c r="M13" i="29"/>
  <c r="H10" i="29"/>
  <c r="H14" i="29"/>
  <c r="R18" i="29"/>
  <c r="G17" i="29"/>
  <c r="R16" i="29"/>
  <c r="H12" i="29"/>
  <c r="H6" i="29"/>
  <c r="E26" i="26"/>
  <c r="F26" i="26" s="1"/>
  <c r="M11" i="29"/>
  <c r="T9" i="29"/>
  <c r="M15" i="29"/>
  <c r="T8" i="29"/>
  <c r="L10" i="29"/>
  <c r="G13" i="29"/>
  <c r="M14" i="29"/>
  <c r="Q17" i="29"/>
  <c r="R17" i="29" s="1"/>
  <c r="M12" i="29"/>
  <c r="L6" i="29"/>
  <c r="T7" i="29"/>
  <c r="H13" i="29"/>
  <c r="L11" i="29"/>
  <c r="M6" i="29"/>
  <c r="T6" i="29"/>
  <c r="L15" i="29"/>
  <c r="Q17" i="28"/>
  <c r="Q16" i="28"/>
  <c r="Q15" i="28"/>
  <c r="R9" i="28"/>
  <c r="R8" i="28"/>
  <c r="R7" i="28"/>
  <c r="R6" i="28"/>
  <c r="R5" i="28"/>
  <c r="P18" i="28"/>
  <c r="P17" i="28"/>
  <c r="P14" i="28"/>
  <c r="R14" i="28" s="1"/>
  <c r="S14" i="28" s="1"/>
  <c r="P16" i="28"/>
  <c r="P15" i="28"/>
  <c r="F6" i="31" l="1"/>
  <c r="F24" i="31" s="1"/>
  <c r="G10" i="2" s="1"/>
  <c r="H24" i="29"/>
  <c r="I12" i="2" s="1"/>
  <c r="T8" i="28"/>
  <c r="T5" i="29"/>
  <c r="L36" i="29"/>
  <c r="R17" i="28"/>
  <c r="R16" i="28"/>
  <c r="R15" i="28"/>
  <c r="T6" i="28"/>
  <c r="T7" i="28"/>
  <c r="T9" i="28"/>
  <c r="Q18" i="28"/>
  <c r="R18" i="28" s="1"/>
  <c r="T5" i="28" l="1"/>
  <c r="K17" i="27" l="1"/>
  <c r="K27" i="28"/>
  <c r="K26" i="28"/>
  <c r="K25" i="28"/>
  <c r="K24" i="28"/>
  <c r="K23" i="28"/>
  <c r="K22" i="28"/>
  <c r="K21" i="28"/>
  <c r="K20" i="28"/>
  <c r="K19" i="28"/>
  <c r="K18" i="28"/>
  <c r="K17" i="28"/>
  <c r="K16" i="28"/>
  <c r="M15" i="28"/>
  <c r="K14" i="28"/>
  <c r="K13" i="28"/>
  <c r="K12" i="28"/>
  <c r="K11" i="28"/>
  <c r="K10" i="28"/>
  <c r="K8" i="28"/>
  <c r="M8" i="28" s="1"/>
  <c r="K7" i="28"/>
  <c r="M7" i="28" s="1"/>
  <c r="K6" i="28"/>
  <c r="J40" i="28" s="1"/>
  <c r="K40" i="28" s="1"/>
  <c r="F26" i="28" s="1"/>
  <c r="D5" i="28"/>
  <c r="E11" i="2" s="1"/>
  <c r="B2" i="28"/>
  <c r="K7" i="27"/>
  <c r="K8" i="27"/>
  <c r="K10" i="27"/>
  <c r="K11" i="27"/>
  <c r="K12" i="27"/>
  <c r="P19" i="2" s="1"/>
  <c r="F19" i="2" s="1"/>
  <c r="K13" i="27"/>
  <c r="P20" i="2" s="1"/>
  <c r="F20" i="2" s="1"/>
  <c r="K14" i="27"/>
  <c r="P21" i="2" s="1"/>
  <c r="F21" i="2" s="1"/>
  <c r="K16" i="27"/>
  <c r="K18" i="27"/>
  <c r="K6" i="27"/>
  <c r="I7" i="27" s="1"/>
  <c r="K10" i="4"/>
  <c r="K11" i="4"/>
  <c r="K12" i="4"/>
  <c r="K13" i="4"/>
  <c r="K14" i="4"/>
  <c r="K16" i="4"/>
  <c r="K17" i="4"/>
  <c r="K18" i="4"/>
  <c r="K19" i="4"/>
  <c r="K21" i="4"/>
  <c r="K22" i="4"/>
  <c r="K23" i="4"/>
  <c r="K24" i="4"/>
  <c r="K26" i="4"/>
  <c r="K27" i="4"/>
  <c r="K28" i="4"/>
  <c r="K6" i="4"/>
  <c r="K7" i="22"/>
  <c r="K8" i="22"/>
  <c r="K10" i="22"/>
  <c r="K11" i="22"/>
  <c r="K12" i="22"/>
  <c r="K13" i="22"/>
  <c r="K14" i="22"/>
  <c r="K17" i="22"/>
  <c r="K6" i="22"/>
  <c r="F7" i="2" s="1"/>
  <c r="F20" i="22"/>
  <c r="Q9" i="27"/>
  <c r="Q8" i="27"/>
  <c r="Q7" i="27"/>
  <c r="Q6" i="27"/>
  <c r="Q5" i="27"/>
  <c r="R9" i="27"/>
  <c r="R8" i="27"/>
  <c r="R6" i="27"/>
  <c r="R7" i="27"/>
  <c r="R5" i="27"/>
  <c r="U30" i="19"/>
  <c r="P30" i="19"/>
  <c r="K30" i="19"/>
  <c r="F30" i="19"/>
  <c r="P9" i="27"/>
  <c r="P8" i="27"/>
  <c r="P7" i="27"/>
  <c r="P6" i="27"/>
  <c r="P5" i="27"/>
  <c r="F24" i="21" l="1"/>
  <c r="G24" i="21"/>
  <c r="H24" i="21"/>
  <c r="F11" i="4"/>
  <c r="J49" i="4"/>
  <c r="K49" i="4" s="1"/>
  <c r="P18" i="2"/>
  <c r="F18" i="2" s="1"/>
  <c r="J36" i="27"/>
  <c r="K36" i="27" s="1"/>
  <c r="F26" i="27" s="1"/>
  <c r="I7" i="22"/>
  <c r="J38" i="22"/>
  <c r="K38" i="22" s="1"/>
  <c r="F28" i="22" s="1"/>
  <c r="R17" i="2"/>
  <c r="H17" i="2" s="1"/>
  <c r="H17" i="28"/>
  <c r="R23" i="2"/>
  <c r="H23" i="2" s="1"/>
  <c r="M11" i="28"/>
  <c r="R18" i="2"/>
  <c r="H18" i="2" s="1"/>
  <c r="H12" i="28"/>
  <c r="R19" i="2"/>
  <c r="H19" i="2" s="1"/>
  <c r="L13" i="28"/>
  <c r="R20" i="2"/>
  <c r="H20" i="2" s="1"/>
  <c r="H14" i="28"/>
  <c r="R21" i="2"/>
  <c r="H21" i="2" s="1"/>
  <c r="K29" i="4"/>
  <c r="I7" i="4"/>
  <c r="P23" i="2"/>
  <c r="F23" i="2" s="1"/>
  <c r="L11" i="2"/>
  <c r="F11" i="2"/>
  <c r="K25" i="4"/>
  <c r="G13" i="28"/>
  <c r="H6" i="28"/>
  <c r="L15" i="28"/>
  <c r="H10" i="28"/>
  <c r="M13" i="28"/>
  <c r="L14" i="28"/>
  <c r="M14" i="28"/>
  <c r="M6" i="28"/>
  <c r="I7" i="28"/>
  <c r="M12" i="28"/>
  <c r="L10" i="28"/>
  <c r="M10" i="28"/>
  <c r="H13" i="28"/>
  <c r="H11" i="28"/>
  <c r="H15" i="28"/>
  <c r="L11" i="28"/>
  <c r="F14" i="28"/>
  <c r="G14" i="28"/>
  <c r="F17" i="28"/>
  <c r="L12" i="28"/>
  <c r="F12" i="28"/>
  <c r="G17" i="28"/>
  <c r="L6" i="28"/>
  <c r="G12" i="28"/>
  <c r="Q17" i="27"/>
  <c r="P17" i="27"/>
  <c r="G17" i="27"/>
  <c r="H17" i="27"/>
  <c r="Q16" i="27"/>
  <c r="P16" i="27"/>
  <c r="Q15" i="27"/>
  <c r="P15" i="27"/>
  <c r="V15" i="27" s="1"/>
  <c r="M15" i="27"/>
  <c r="L15" i="27"/>
  <c r="G15" i="27"/>
  <c r="F15" i="27"/>
  <c r="P14" i="27"/>
  <c r="R14" i="27" s="1"/>
  <c r="S14" i="27" s="1"/>
  <c r="G14" i="27"/>
  <c r="H14" i="27"/>
  <c r="M13" i="27"/>
  <c r="L12" i="27"/>
  <c r="G12" i="27"/>
  <c r="F12" i="27"/>
  <c r="M11" i="27"/>
  <c r="H11" i="27"/>
  <c r="G11" i="27"/>
  <c r="F11" i="27"/>
  <c r="P18" i="27"/>
  <c r="V18" i="27" s="1"/>
  <c r="T8" i="27"/>
  <c r="M8" i="27"/>
  <c r="T7" i="27"/>
  <c r="M7" i="27"/>
  <c r="T6" i="27"/>
  <c r="D5" i="27"/>
  <c r="B2" i="27"/>
  <c r="I1" i="26"/>
  <c r="E7" i="26"/>
  <c r="I29" i="4"/>
  <c r="I25" i="4"/>
  <c r="C25" i="4"/>
  <c r="H25" i="4" l="1"/>
  <c r="F25" i="4"/>
  <c r="E13" i="26"/>
  <c r="F12" i="26"/>
  <c r="F11" i="26"/>
  <c r="F10" i="26"/>
  <c r="F13" i="26"/>
  <c r="G29" i="4"/>
  <c r="H29" i="4"/>
  <c r="F29" i="4"/>
  <c r="H24" i="28"/>
  <c r="I11" i="2" s="1"/>
  <c r="L36" i="28"/>
  <c r="F10" i="27"/>
  <c r="E9" i="2"/>
  <c r="M10" i="27"/>
  <c r="P17" i="2"/>
  <c r="F17" i="2" s="1"/>
  <c r="G10" i="27"/>
  <c r="H10" i="27"/>
  <c r="H6" i="27"/>
  <c r="L9" i="2"/>
  <c r="F9" i="2"/>
  <c r="R17" i="27"/>
  <c r="S17" i="27" s="1"/>
  <c r="U17" i="27"/>
  <c r="V16" i="27"/>
  <c r="R16" i="27"/>
  <c r="S16" i="27" s="1"/>
  <c r="U16" i="27"/>
  <c r="R15" i="27"/>
  <c r="S15" i="27" s="1"/>
  <c r="F6" i="27" s="1"/>
  <c r="V14" i="27"/>
  <c r="T5" i="27"/>
  <c r="U14" i="27" s="1"/>
  <c r="U15" i="27"/>
  <c r="L14" i="27"/>
  <c r="V17" i="27"/>
  <c r="H13" i="27"/>
  <c r="M6" i="27"/>
  <c r="M12" i="27"/>
  <c r="L6" i="27"/>
  <c r="H12" i="27"/>
  <c r="M14" i="27"/>
  <c r="Q18" i="27"/>
  <c r="R18" i="27" s="1"/>
  <c r="S18" i="27" s="1"/>
  <c r="T9" i="27"/>
  <c r="U18" i="27" s="1"/>
  <c r="L13" i="27"/>
  <c r="H15" i="27"/>
  <c r="G13" i="27"/>
  <c r="L10" i="27"/>
  <c r="L11" i="27"/>
  <c r="F14" i="27"/>
  <c r="F17" i="27"/>
  <c r="G6" i="27"/>
  <c r="H24" i="27" l="1"/>
  <c r="I9" i="2" s="1"/>
  <c r="G24" i="27"/>
  <c r="H9" i="2" s="1"/>
  <c r="F24" i="27"/>
  <c r="G9" i="2" s="1"/>
  <c r="L24" i="27"/>
  <c r="V8" i="12" l="1"/>
  <c r="T28" i="12"/>
  <c r="D5" i="1"/>
  <c r="B2" i="1"/>
  <c r="R9" i="22"/>
  <c r="R8" i="22"/>
  <c r="R7" i="22"/>
  <c r="R6" i="22"/>
  <c r="R5" i="22"/>
  <c r="Q9" i="22"/>
  <c r="P18" i="22" s="1"/>
  <c r="Q8" i="22"/>
  <c r="P17" i="22" s="1"/>
  <c r="Q7" i="22"/>
  <c r="P16" i="22" s="1"/>
  <c r="Q6" i="22"/>
  <c r="P15" i="22" s="1"/>
  <c r="Q5" i="22"/>
  <c r="P14" i="22" s="1"/>
  <c r="R14" i="22" s="1"/>
  <c r="S14" i="22" s="1"/>
  <c r="S26" i="19"/>
  <c r="N23" i="2"/>
  <c r="M15" i="22"/>
  <c r="H14" i="22"/>
  <c r="M13" i="22"/>
  <c r="M12" i="22"/>
  <c r="M11" i="22"/>
  <c r="M10" i="22"/>
  <c r="M8" i="22"/>
  <c r="M7" i="22"/>
  <c r="D5" i="22"/>
  <c r="B2" i="22"/>
  <c r="M21" i="4"/>
  <c r="L21" i="4" s="1"/>
  <c r="F21" i="4" s="1"/>
  <c r="F55" i="2"/>
  <c r="M18" i="2"/>
  <c r="H15" i="4"/>
  <c r="M23" i="2"/>
  <c r="T6" i="21"/>
  <c r="T27" i="21" s="1"/>
  <c r="V27" i="21" s="1"/>
  <c r="Q16" i="21"/>
  <c r="Q17" i="21"/>
  <c r="Q18" i="21"/>
  <c r="Q9" i="21"/>
  <c r="P18" i="21" s="1"/>
  <c r="T18" i="21" s="1"/>
  <c r="Q8" i="21"/>
  <c r="P17" i="21" s="1"/>
  <c r="T17" i="21" s="1"/>
  <c r="Q7" i="21"/>
  <c r="P16" i="21" s="1"/>
  <c r="T16" i="21" s="1"/>
  <c r="Q6" i="21"/>
  <c r="P15" i="21" s="1"/>
  <c r="T15" i="21" s="1"/>
  <c r="Q5" i="21"/>
  <c r="P14" i="21" s="1"/>
  <c r="T14" i="21" s="1"/>
  <c r="R9" i="21"/>
  <c r="R8" i="21"/>
  <c r="R7" i="21"/>
  <c r="R6" i="21"/>
  <c r="R5" i="21"/>
  <c r="P9" i="21"/>
  <c r="P8" i="21"/>
  <c r="P7" i="21" a="1"/>
  <c r="P7" i="21" s="1"/>
  <c r="P6" i="21"/>
  <c r="P5" i="21"/>
  <c r="O23" i="2"/>
  <c r="E23" i="2" s="1"/>
  <c r="M11" i="21"/>
  <c r="D10" i="21"/>
  <c r="K10" i="21" s="1"/>
  <c r="K36" i="21" s="1"/>
  <c r="M9" i="21"/>
  <c r="M8" i="21"/>
  <c r="B2" i="21"/>
  <c r="F19" i="12"/>
  <c r="F30" i="12" s="1"/>
  <c r="L19" i="12"/>
  <c r="Q18" i="4"/>
  <c r="Q17" i="4"/>
  <c r="Q16" i="4"/>
  <c r="Q15" i="4"/>
  <c r="T19" i="4" s="1"/>
  <c r="F28" i="4"/>
  <c r="F27" i="4"/>
  <c r="F26" i="4"/>
  <c r="P52" i="2"/>
  <c r="Q52" i="2" s="1"/>
  <c r="P51" i="2"/>
  <c r="Q51" i="2" s="1"/>
  <c r="R14" i="21" l="1"/>
  <c r="E12" i="25"/>
  <c r="S14" i="21"/>
  <c r="G7" i="21"/>
  <c r="G32" i="21" s="1"/>
  <c r="F12" i="25"/>
  <c r="L12" i="25"/>
  <c r="Q17" i="22"/>
  <c r="Q16" i="22"/>
  <c r="R16" i="22" s="1"/>
  <c r="T9" i="22"/>
  <c r="T6" i="22"/>
  <c r="L7" i="2"/>
  <c r="K14" i="12"/>
  <c r="E7" i="2"/>
  <c r="F58" i="2"/>
  <c r="L23" i="2"/>
  <c r="D16" i="12" s="1"/>
  <c r="K16" i="12" s="1"/>
  <c r="M10" i="21"/>
  <c r="O21" i="2"/>
  <c r="E21" i="2" s="1"/>
  <c r="O20" i="2"/>
  <c r="E20" i="2" s="1"/>
  <c r="D19" i="2"/>
  <c r="D18" i="2"/>
  <c r="N18" i="2"/>
  <c r="D21" i="2"/>
  <c r="N21" i="2"/>
  <c r="N20" i="2"/>
  <c r="D20" i="2"/>
  <c r="N19" i="2"/>
  <c r="D17" i="2"/>
  <c r="G17" i="4"/>
  <c r="C23" i="2"/>
  <c r="H17" i="22"/>
  <c r="D23" i="2"/>
  <c r="L6" i="2"/>
  <c r="R17" i="22"/>
  <c r="Q15" i="22"/>
  <c r="R15" i="22" s="1"/>
  <c r="Q18" i="22"/>
  <c r="R18" i="22" s="1"/>
  <c r="T8" i="21"/>
  <c r="N17" i="2"/>
  <c r="H13" i="22"/>
  <c r="L14" i="22"/>
  <c r="H10" i="22"/>
  <c r="M14" i="22"/>
  <c r="L13" i="22"/>
  <c r="L10" i="22"/>
  <c r="H11" i="22"/>
  <c r="F12" i="22"/>
  <c r="T5" i="22"/>
  <c r="H12" i="22"/>
  <c r="L12" i="22"/>
  <c r="G12" i="22"/>
  <c r="L6" i="22"/>
  <c r="Q15" i="21"/>
  <c r="R15" i="21" s="1"/>
  <c r="S15" i="21" s="1"/>
  <c r="H15" i="22"/>
  <c r="T7" i="22"/>
  <c r="H6" i="22"/>
  <c r="T8" i="22"/>
  <c r="L15" i="22"/>
  <c r="L11" i="22"/>
  <c r="O19" i="2"/>
  <c r="E19" i="2" s="1"/>
  <c r="O18" i="2"/>
  <c r="E18" i="2" s="1"/>
  <c r="R16" i="21"/>
  <c r="S16" i="21" s="1"/>
  <c r="R18" i="21"/>
  <c r="S18" i="21" s="1"/>
  <c r="O17" i="2"/>
  <c r="E17" i="2" s="1"/>
  <c r="L14" i="21"/>
  <c r="L12" i="21"/>
  <c r="V18" i="21"/>
  <c r="R17" i="21"/>
  <c r="S17" i="21" s="1"/>
  <c r="V17" i="21"/>
  <c r="V14" i="21"/>
  <c r="K32" i="21"/>
  <c r="V15" i="21"/>
  <c r="T5" i="21"/>
  <c r="T26" i="21" s="1"/>
  <c r="V26" i="21" s="1"/>
  <c r="U15" i="21"/>
  <c r="V16" i="21"/>
  <c r="L15" i="21"/>
  <c r="T9" i="21"/>
  <c r="L13" i="21"/>
  <c r="H7" i="21"/>
  <c r="H32" i="21" s="1"/>
  <c r="L11" i="21"/>
  <c r="L7" i="21"/>
  <c r="M7" i="21"/>
  <c r="M15" i="21"/>
  <c r="T7" i="21"/>
  <c r="L16" i="21"/>
  <c r="G15" i="4"/>
  <c r="L15" i="4"/>
  <c r="H17" i="4"/>
  <c r="U18" i="21" l="1"/>
  <c r="T30" i="21"/>
  <c r="V30" i="21" s="1"/>
  <c r="U17" i="21"/>
  <c r="T29" i="21"/>
  <c r="V29" i="21" s="1"/>
  <c r="U16" i="21"/>
  <c r="T28" i="21"/>
  <c r="V28" i="21" s="1"/>
  <c r="F7" i="21"/>
  <c r="F32" i="21" s="1"/>
  <c r="M14" i="21"/>
  <c r="U14" i="21"/>
  <c r="M16" i="21"/>
  <c r="M13" i="21"/>
  <c r="M12" i="21"/>
  <c r="L13" i="2"/>
  <c r="F13" i="2" s="1"/>
  <c r="G14" i="12"/>
  <c r="M6" i="22"/>
  <c r="H26" i="22"/>
  <c r="I7" i="2" s="1"/>
  <c r="H14" i="12"/>
  <c r="L16" i="12"/>
  <c r="H16" i="12"/>
  <c r="T23" i="2"/>
  <c r="J23" i="2" s="1"/>
  <c r="G16" i="12"/>
  <c r="L18" i="2"/>
  <c r="L26" i="22"/>
  <c r="L32" i="21"/>
  <c r="I12" i="25" l="1"/>
  <c r="I8" i="2"/>
  <c r="H12" i="25"/>
  <c r="H8" i="2"/>
  <c r="M32" i="21"/>
  <c r="M8" i="4"/>
  <c r="M7" i="4"/>
  <c r="T9" i="4"/>
  <c r="T8" i="4"/>
  <c r="T7" i="4"/>
  <c r="R9" i="4"/>
  <c r="R8" i="4"/>
  <c r="R7" i="4"/>
  <c r="R6" i="4"/>
  <c r="R5" i="4"/>
  <c r="Q9" i="4"/>
  <c r="P18" i="4" s="1"/>
  <c r="T18" i="4" s="1"/>
  <c r="Q8" i="4"/>
  <c r="Q7" i="4"/>
  <c r="P16" i="4" s="1"/>
  <c r="T16" i="4" s="1"/>
  <c r="Q6" i="4"/>
  <c r="P15" i="4" s="1"/>
  <c r="T15" i="4" s="1"/>
  <c r="Q5" i="4"/>
  <c r="P14" i="4" s="1"/>
  <c r="T14" i="4" s="1"/>
  <c r="P9" i="4"/>
  <c r="P8" i="4"/>
  <c r="P7" i="4"/>
  <c r="P6" i="4"/>
  <c r="P5" i="4"/>
  <c r="H50" i="2"/>
  <c r="H58" i="2" s="1"/>
  <c r="G50" i="2"/>
  <c r="G58" i="2" s="1"/>
  <c r="D68" i="20"/>
  <c r="D67" i="20"/>
  <c r="C66" i="20"/>
  <c r="C63" i="20"/>
  <c r="C64" i="20" s="1"/>
  <c r="D64" i="20" s="1"/>
  <c r="D62" i="20"/>
  <c r="D63" i="20" s="1"/>
  <c r="B2" i="12"/>
  <c r="J7" i="21" l="1"/>
  <c r="J12" i="21"/>
  <c r="J8" i="21"/>
  <c r="J19" i="21"/>
  <c r="J21" i="21"/>
  <c r="J20" i="21"/>
  <c r="J17" i="21"/>
  <c r="J13" i="21"/>
  <c r="J9" i="21"/>
  <c r="J23" i="21"/>
  <c r="J6" i="21"/>
  <c r="J22" i="21"/>
  <c r="J10" i="21"/>
  <c r="J14" i="21"/>
  <c r="J11" i="21"/>
  <c r="J18" i="21"/>
  <c r="J16" i="21"/>
  <c r="J15" i="21"/>
  <c r="J16" i="31"/>
  <c r="J24" i="31"/>
  <c r="J21" i="31"/>
  <c r="J18" i="31"/>
  <c r="J9" i="31"/>
  <c r="J11" i="31"/>
  <c r="J14" i="31"/>
  <c r="J19" i="29"/>
  <c r="J15" i="12"/>
  <c r="J17" i="12"/>
  <c r="J6" i="31"/>
  <c r="J20" i="12"/>
  <c r="J8" i="31"/>
  <c r="J10" i="31"/>
  <c r="J20" i="29"/>
  <c r="J18" i="12"/>
  <c r="J12" i="31"/>
  <c r="J8" i="12"/>
  <c r="J19" i="31"/>
  <c r="J15" i="31"/>
  <c r="J17" i="31"/>
  <c r="J21" i="29"/>
  <c r="J20" i="31"/>
  <c r="J7" i="12"/>
  <c r="J7" i="31"/>
  <c r="J36" i="31"/>
  <c r="J13" i="31"/>
  <c r="G17" i="22"/>
  <c r="J17" i="29"/>
  <c r="J16" i="29"/>
  <c r="J8" i="29"/>
  <c r="J9" i="29"/>
  <c r="J7" i="29"/>
  <c r="J18" i="29"/>
  <c r="J13" i="29"/>
  <c r="J20" i="22"/>
  <c r="J18" i="28"/>
  <c r="J9" i="28"/>
  <c r="J7" i="28"/>
  <c r="J12" i="28"/>
  <c r="J17" i="28"/>
  <c r="J13" i="28"/>
  <c r="J14" i="28"/>
  <c r="J8" i="28"/>
  <c r="J23" i="28"/>
  <c r="J22" i="28"/>
  <c r="J21" i="28"/>
  <c r="J16" i="28"/>
  <c r="J12" i="27"/>
  <c r="J8" i="27"/>
  <c r="J13" i="27"/>
  <c r="J9" i="27"/>
  <c r="J7" i="27"/>
  <c r="J10" i="27"/>
  <c r="J16" i="27"/>
  <c r="J17" i="27"/>
  <c r="J6" i="27"/>
  <c r="J15" i="27"/>
  <c r="J11" i="27"/>
  <c r="J14" i="27"/>
  <c r="J18" i="27"/>
  <c r="J24" i="27"/>
  <c r="J19" i="22"/>
  <c r="J12" i="22"/>
  <c r="J16" i="22"/>
  <c r="J8" i="22"/>
  <c r="J18" i="22"/>
  <c r="J7" i="22"/>
  <c r="J9" i="22"/>
  <c r="J21" i="4"/>
  <c r="J28" i="4"/>
  <c r="J27" i="4"/>
  <c r="J24" i="4"/>
  <c r="J9" i="4"/>
  <c r="J18" i="4"/>
  <c r="J30" i="4"/>
  <c r="J19" i="4"/>
  <c r="J20" i="4"/>
  <c r="J7" i="4"/>
  <c r="J31" i="4"/>
  <c r="J23" i="4"/>
  <c r="J16" i="4"/>
  <c r="J8" i="4"/>
  <c r="J22" i="4"/>
  <c r="J26" i="4"/>
  <c r="P17" i="4"/>
  <c r="C17" i="2"/>
  <c r="F6" i="2"/>
  <c r="R17" i="4"/>
  <c r="S17" i="4" s="1"/>
  <c r="R18" i="4"/>
  <c r="S18" i="4" s="1"/>
  <c r="V18" i="4"/>
  <c r="M14" i="4"/>
  <c r="F14" i="4"/>
  <c r="U16" i="4"/>
  <c r="F13" i="4" s="1"/>
  <c r="U18" i="4"/>
  <c r="R15" i="4"/>
  <c r="S15" i="4" s="1"/>
  <c r="V15" i="4"/>
  <c r="R14" i="4"/>
  <c r="S14" i="4" s="1"/>
  <c r="V14" i="4"/>
  <c r="F17" i="4" s="1"/>
  <c r="J17" i="4" s="1"/>
  <c r="R16" i="4"/>
  <c r="S16" i="4" s="1"/>
  <c r="V16" i="4"/>
  <c r="C20" i="2"/>
  <c r="M13" i="4"/>
  <c r="G14" i="4"/>
  <c r="C21" i="2"/>
  <c r="L12" i="4"/>
  <c r="C19" i="2"/>
  <c r="C18" i="2"/>
  <c r="M21" i="2"/>
  <c r="M20" i="2"/>
  <c r="M17" i="2"/>
  <c r="M19" i="2"/>
  <c r="L11" i="4"/>
  <c r="H10" i="4"/>
  <c r="M10" i="4"/>
  <c r="L14" i="4"/>
  <c r="H14" i="4"/>
  <c r="L13" i="4"/>
  <c r="M6" i="4"/>
  <c r="L10" i="4"/>
  <c r="L6" i="4"/>
  <c r="G12" i="4"/>
  <c r="G13" i="4"/>
  <c r="H13" i="4"/>
  <c r="H12" i="4"/>
  <c r="H11" i="4"/>
  <c r="G11" i="4"/>
  <c r="G10" i="4"/>
  <c r="G6" i="4"/>
  <c r="H6" i="4"/>
  <c r="D20" i="4"/>
  <c r="K20" i="4" s="1"/>
  <c r="D5" i="4"/>
  <c r="F10" i="4" s="1"/>
  <c r="V17" i="4" l="1"/>
  <c r="T17" i="4"/>
  <c r="G12" i="25"/>
  <c r="G8" i="2"/>
  <c r="H37" i="4"/>
  <c r="G37" i="4"/>
  <c r="J10" i="4"/>
  <c r="E6" i="2"/>
  <c r="F6" i="4"/>
  <c r="U17" i="4"/>
  <c r="J14" i="4"/>
  <c r="J25" i="4"/>
  <c r="J13" i="4"/>
  <c r="L37" i="4"/>
  <c r="L17" i="2"/>
  <c r="D9" i="12" s="1"/>
  <c r="L19" i="2"/>
  <c r="D11" i="12" s="1"/>
  <c r="K11" i="12" s="1"/>
  <c r="L20" i="2"/>
  <c r="D12" i="12" s="1"/>
  <c r="K12" i="12" s="1"/>
  <c r="L21" i="2"/>
  <c r="D13" i="12" s="1"/>
  <c r="K13" i="12" s="1"/>
  <c r="D6" i="12"/>
  <c r="D5" i="12" s="1"/>
  <c r="D10" i="12"/>
  <c r="K10" i="12" s="1"/>
  <c r="J6" i="4" l="1"/>
  <c r="E13" i="2"/>
  <c r="T21" i="2"/>
  <c r="J21" i="2" s="1"/>
  <c r="T20" i="2"/>
  <c r="J20" i="2" s="1"/>
  <c r="T18" i="2"/>
  <c r="J18" i="2" s="1"/>
  <c r="K6" i="12"/>
  <c r="G11" i="12"/>
  <c r="T19" i="2"/>
  <c r="J19" i="2" s="1"/>
  <c r="K9" i="12"/>
  <c r="G12" i="12"/>
  <c r="H12" i="12"/>
  <c r="N12" i="12"/>
  <c r="G13" i="12"/>
  <c r="H13" i="12"/>
  <c r="N13" i="12"/>
  <c r="N11" i="12"/>
  <c r="H11" i="12"/>
  <c r="N10" i="12"/>
  <c r="H10" i="12"/>
  <c r="G10" i="12"/>
  <c r="N9" i="12" l="1"/>
  <c r="G6" i="12"/>
  <c r="H6" i="12"/>
  <c r="K27" i="12"/>
  <c r="D8" i="12"/>
  <c r="G9" i="12"/>
  <c r="H9" i="12"/>
  <c r="T17" i="2"/>
  <c r="J17" i="2" s="1"/>
  <c r="N6" i="12"/>
  <c r="H28" i="12" l="1"/>
  <c r="I13" i="2" s="1"/>
  <c r="G28" i="12"/>
  <c r="H13" i="2" s="1"/>
  <c r="N27" i="12"/>
  <c r="E39" i="20" l="1"/>
  <c r="E38" i="20"/>
  <c r="E37" i="20"/>
  <c r="E36" i="20"/>
  <c r="E35" i="20"/>
  <c r="D35" i="20" s="1"/>
  <c r="F31" i="20"/>
  <c r="G31" i="20" s="1"/>
  <c r="J30" i="20"/>
  <c r="J29" i="20"/>
  <c r="F29" i="20"/>
  <c r="F30" i="20" s="1"/>
  <c r="J22" i="20"/>
  <c r="M22" i="20" s="1"/>
  <c r="M21" i="20"/>
  <c r="J21" i="20"/>
  <c r="J20" i="20"/>
  <c r="M20" i="20" s="1"/>
  <c r="M19" i="20"/>
  <c r="J19" i="20"/>
  <c r="J18" i="20"/>
  <c r="M18" i="20" s="1"/>
  <c r="H16" i="20"/>
  <c r="D12" i="20"/>
  <c r="J11" i="20"/>
  <c r="H11" i="20"/>
  <c r="D10" i="20"/>
  <c r="J10" i="20" s="1"/>
  <c r="N10" i="20" s="1"/>
  <c r="H9" i="20"/>
  <c r="D9" i="20"/>
  <c r="J9" i="20" s="1"/>
  <c r="D7" i="20"/>
  <c r="J7" i="20" s="1"/>
  <c r="D5" i="20"/>
  <c r="E123" i="19"/>
  <c r="E124" i="19" s="1"/>
  <c r="G121" i="19"/>
  <c r="E121" i="19"/>
  <c r="M120" i="19"/>
  <c r="M121" i="19" s="1"/>
  <c r="I120" i="19"/>
  <c r="I121" i="19" s="1"/>
  <c r="G120" i="19"/>
  <c r="E120" i="19"/>
  <c r="K112" i="19"/>
  <c r="M112" i="19" s="1"/>
  <c r="M110" i="19"/>
  <c r="K110" i="19"/>
  <c r="E110" i="19"/>
  <c r="O109" i="19"/>
  <c r="M109" i="19"/>
  <c r="K109" i="19"/>
  <c r="I109" i="19"/>
  <c r="G109" i="19"/>
  <c r="E109" i="19"/>
  <c r="M108" i="19"/>
  <c r="K108" i="19"/>
  <c r="E108" i="19"/>
  <c r="G108" i="19" s="1"/>
  <c r="O106" i="19"/>
  <c r="M106" i="19"/>
  <c r="K106" i="19"/>
  <c r="I106" i="19"/>
  <c r="G106" i="19"/>
  <c r="E106" i="19"/>
  <c r="O105" i="19"/>
  <c r="M105" i="19"/>
  <c r="K105" i="19"/>
  <c r="I105" i="19"/>
  <c r="G105" i="19"/>
  <c r="E105" i="19"/>
  <c r="R103" i="19"/>
  <c r="O103" i="19"/>
  <c r="M103" i="19"/>
  <c r="K103" i="19"/>
  <c r="I103" i="19"/>
  <c r="G103" i="19"/>
  <c r="E103" i="19"/>
  <c r="R102" i="19"/>
  <c r="O101" i="19"/>
  <c r="M101" i="19"/>
  <c r="K101" i="19"/>
  <c r="I101" i="19"/>
  <c r="G101" i="19"/>
  <c r="E101" i="19"/>
  <c r="O100" i="19"/>
  <c r="M100" i="19"/>
  <c r="K100" i="19"/>
  <c r="I100" i="19"/>
  <c r="G100" i="19"/>
  <c r="E100" i="19"/>
  <c r="R99" i="19"/>
  <c r="R100" i="19" s="1"/>
  <c r="N92" i="19"/>
  <c r="L89" i="19"/>
  <c r="J89" i="19"/>
  <c r="H89" i="19"/>
  <c r="F89" i="19"/>
  <c r="B89" i="19"/>
  <c r="H88" i="19"/>
  <c r="F88" i="19"/>
  <c r="B88" i="19"/>
  <c r="J87" i="19"/>
  <c r="H87" i="19"/>
  <c r="F87" i="19"/>
  <c r="B87" i="19"/>
  <c r="J86" i="19"/>
  <c r="H86" i="19"/>
  <c r="F86" i="19"/>
  <c r="B86" i="19"/>
  <c r="H85" i="19"/>
  <c r="F85" i="19"/>
  <c r="B85" i="19"/>
  <c r="H84" i="19"/>
  <c r="F84" i="19"/>
  <c r="L83" i="19"/>
  <c r="J83" i="19"/>
  <c r="H83" i="19"/>
  <c r="F83" i="19"/>
  <c r="B83" i="19"/>
  <c r="H82" i="19"/>
  <c r="F82" i="19"/>
  <c r="B82" i="19"/>
  <c r="L81" i="19"/>
  <c r="J81" i="19"/>
  <c r="H81" i="19"/>
  <c r="F81" i="19"/>
  <c r="B81" i="19"/>
  <c r="N71" i="19"/>
  <c r="O71" i="19"/>
  <c r="J70" i="19"/>
  <c r="J88" i="19" s="1"/>
  <c r="L69" i="19"/>
  <c r="L87" i="19" s="1"/>
  <c r="J69" i="19"/>
  <c r="J68" i="19"/>
  <c r="L68" i="19" s="1"/>
  <c r="J67" i="19"/>
  <c r="L67" i="19" s="1"/>
  <c r="J84" i="19"/>
  <c r="L65" i="19"/>
  <c r="N65" i="19" s="1"/>
  <c r="J65" i="19"/>
  <c r="J82" i="19"/>
  <c r="N63" i="19"/>
  <c r="O63" i="19"/>
  <c r="O62" i="19"/>
  <c r="N62" i="19"/>
  <c r="J56" i="19"/>
  <c r="L56" i="19" s="1"/>
  <c r="I56" i="19"/>
  <c r="H56" i="19"/>
  <c r="G56" i="19"/>
  <c r="F56" i="19"/>
  <c r="E56" i="19"/>
  <c r="L55" i="19"/>
  <c r="N55" i="19" s="1"/>
  <c r="O55" i="19" s="1"/>
  <c r="J55" i="19"/>
  <c r="K55" i="19" s="1"/>
  <c r="H55" i="19"/>
  <c r="I55" i="19" s="1"/>
  <c r="F55" i="19"/>
  <c r="G55" i="19" s="1"/>
  <c r="E55" i="19"/>
  <c r="H54" i="19"/>
  <c r="J54" i="19" s="1"/>
  <c r="G54" i="19"/>
  <c r="F54" i="19"/>
  <c r="E54" i="19"/>
  <c r="H53" i="19"/>
  <c r="J53" i="19" s="1"/>
  <c r="F53" i="19"/>
  <c r="G53" i="19" s="1"/>
  <c r="E53" i="19"/>
  <c r="H52" i="19"/>
  <c r="J52" i="19" s="1"/>
  <c r="F52" i="19"/>
  <c r="G52" i="19" s="1"/>
  <c r="E52" i="19"/>
  <c r="H51" i="19"/>
  <c r="J51" i="19" s="1"/>
  <c r="F51" i="19"/>
  <c r="G51" i="19" s="1"/>
  <c r="E51" i="19"/>
  <c r="I50" i="19"/>
  <c r="H50" i="19"/>
  <c r="J50" i="19" s="1"/>
  <c r="G50" i="19"/>
  <c r="F50" i="19"/>
  <c r="E50" i="19"/>
  <c r="N49" i="19"/>
  <c r="L49" i="19"/>
  <c r="K49" i="19"/>
  <c r="J49" i="19"/>
  <c r="H49" i="19"/>
  <c r="I49" i="19" s="1"/>
  <c r="G49" i="19"/>
  <c r="F49" i="19"/>
  <c r="D49" i="19"/>
  <c r="E49" i="19" s="1"/>
  <c r="H48" i="19"/>
  <c r="I48" i="19" s="1"/>
  <c r="D48" i="19"/>
  <c r="E48" i="19" s="1"/>
  <c r="N36" i="19"/>
  <c r="F36" i="19"/>
  <c r="AD33" i="19"/>
  <c r="Y33" i="19"/>
  <c r="T33" i="19"/>
  <c r="O33" i="19"/>
  <c r="J33" i="19"/>
  <c r="E33" i="19"/>
  <c r="AG30" i="19"/>
  <c r="AE30" i="19"/>
  <c r="AC30" i="19"/>
  <c r="AB30" i="19"/>
  <c r="Z30" i="19"/>
  <c r="W30" i="19"/>
  <c r="R30" i="19"/>
  <c r="M30" i="19"/>
  <c r="H30" i="19"/>
  <c r="AC28" i="19"/>
  <c r="X26" i="19"/>
  <c r="AC26" i="19" s="1"/>
  <c r="AC23" i="19"/>
  <c r="AC22" i="19"/>
  <c r="X21" i="19"/>
  <c r="AC20" i="19"/>
  <c r="AC18" i="19"/>
  <c r="AC17" i="19"/>
  <c r="AC16" i="19"/>
  <c r="AC15" i="19"/>
  <c r="AC14" i="19"/>
  <c r="X14" i="19"/>
  <c r="S14" i="19"/>
  <c r="P14" i="19"/>
  <c r="U14" i="19" s="1"/>
  <c r="Z14" i="19" s="1"/>
  <c r="AE14" i="19" s="1"/>
  <c r="K14" i="19"/>
  <c r="AC11" i="19"/>
  <c r="AC6" i="19"/>
  <c r="X6" i="19"/>
  <c r="K6" i="19"/>
  <c r="P6" i="19" s="1"/>
  <c r="U6" i="19" s="1"/>
  <c r="Z6" i="19" s="1"/>
  <c r="AE6" i="19" s="1"/>
  <c r="C6" i="19"/>
  <c r="K5" i="19"/>
  <c r="P5" i="19" s="1"/>
  <c r="U5" i="19" s="1"/>
  <c r="Z5" i="19" s="1"/>
  <c r="AE5" i="19" s="1"/>
  <c r="C5" i="19"/>
  <c r="I4" i="19"/>
  <c r="D4" i="19"/>
  <c r="C4" i="19"/>
  <c r="N4" i="19" s="1"/>
  <c r="P2" i="19"/>
  <c r="U2" i="19" s="1"/>
  <c r="Z2" i="19" s="1"/>
  <c r="AE2" i="19" s="1"/>
  <c r="K2" i="19"/>
  <c r="K50" i="19" l="1"/>
  <c r="J48" i="19"/>
  <c r="K48" i="19" s="1"/>
  <c r="L50" i="19"/>
  <c r="X4" i="19"/>
  <c r="S4" i="19"/>
  <c r="AC4" i="19" s="1"/>
  <c r="L51" i="19"/>
  <c r="L48" i="19" s="1"/>
  <c r="M48" i="19" s="1"/>
  <c r="K51" i="19"/>
  <c r="L85" i="19"/>
  <c r="N67" i="19"/>
  <c r="O67" i="19"/>
  <c r="L52" i="19"/>
  <c r="K52" i="19"/>
  <c r="N68" i="19"/>
  <c r="O68" i="19"/>
  <c r="L86" i="19"/>
  <c r="N56" i="19"/>
  <c r="O56" i="19" s="1"/>
  <c r="M56" i="19"/>
  <c r="K53" i="19"/>
  <c r="L53" i="19"/>
  <c r="R105" i="19"/>
  <c r="R106" i="19"/>
  <c r="L54" i="19"/>
  <c r="K54" i="19"/>
  <c r="I108" i="19"/>
  <c r="G110" i="19"/>
  <c r="K56" i="19"/>
  <c r="K120" i="19"/>
  <c r="K121" i="19" s="1"/>
  <c r="O69" i="19"/>
  <c r="H10" i="20"/>
  <c r="F48" i="19"/>
  <c r="G48" i="19" s="1"/>
  <c r="I52" i="19"/>
  <c r="N69" i="19"/>
  <c r="M49" i="19"/>
  <c r="O49" i="19"/>
  <c r="I51" i="19"/>
  <c r="M55" i="19"/>
  <c r="I54" i="19"/>
  <c r="G123" i="19"/>
  <c r="H7" i="20"/>
  <c r="L70" i="19"/>
  <c r="J85" i="19"/>
  <c r="M123" i="19"/>
  <c r="M124" i="19" s="1"/>
  <c r="I53" i="19"/>
  <c r="O65" i="19"/>
  <c r="I6" i="2" l="1"/>
  <c r="H44" i="2" s="1"/>
  <c r="N52" i="19"/>
  <c r="O52" i="19" s="1"/>
  <c r="M52" i="19"/>
  <c r="N53" i="19"/>
  <c r="O53" i="19" s="1"/>
  <c r="M53" i="19"/>
  <c r="G124" i="19"/>
  <c r="I123" i="19"/>
  <c r="N51" i="19"/>
  <c r="O51" i="19" s="1"/>
  <c r="M51" i="19"/>
  <c r="N50" i="19"/>
  <c r="M50" i="19"/>
  <c r="N70" i="19"/>
  <c r="L88" i="19"/>
  <c r="O70" i="19"/>
  <c r="O108" i="19"/>
  <c r="I110" i="19"/>
  <c r="N54" i="19"/>
  <c r="O54" i="19" s="1"/>
  <c r="M54" i="19"/>
  <c r="N66" i="19"/>
  <c r="L84" i="19"/>
  <c r="O66" i="19"/>
  <c r="L82" i="19"/>
  <c r="N64" i="19"/>
  <c r="O64" i="19"/>
  <c r="H40" i="2" l="1"/>
  <c r="O50" i="19"/>
  <c r="N48" i="19"/>
  <c r="O48" i="19" s="1"/>
  <c r="I124" i="19"/>
  <c r="K123" i="19"/>
  <c r="K124" i="19" s="1"/>
  <c r="F40" i="2" l="1"/>
  <c r="H6" i="2"/>
  <c r="H47" i="2"/>
  <c r="H51" i="2"/>
  <c r="H59" i="2" s="1"/>
  <c r="H41" i="2" l="1"/>
  <c r="H42" i="2" s="1"/>
  <c r="H62" i="2"/>
  <c r="V9" i="12" l="1"/>
  <c r="V7" i="12" l="1"/>
  <c r="N32" i="2" l="1"/>
  <c r="Q32" i="2" s="1"/>
  <c r="B2" i="4" l="1"/>
  <c r="V6" i="12" l="1"/>
  <c r="V5" i="12"/>
  <c r="F16" i="12" s="1"/>
  <c r="J16" i="12" s="1"/>
  <c r="T6" i="4"/>
  <c r="U15" i="4" s="1"/>
  <c r="J29" i="4" s="1"/>
  <c r="F14" i="12" l="1"/>
  <c r="J14" i="12" s="1"/>
  <c r="T5" i="4"/>
  <c r="M15" i="4" s="1"/>
  <c r="U14" i="4" l="1"/>
  <c r="F15" i="4" s="1"/>
  <c r="J15" i="4" s="1"/>
  <c r="M12" i="4"/>
  <c r="M11" i="4"/>
  <c r="F12" i="4" l="1"/>
  <c r="J11" i="4"/>
  <c r="J12" i="4" l="1"/>
  <c r="M9" i="4" l="1"/>
  <c r="M37" i="4" s="1"/>
  <c r="K37" i="4"/>
  <c r="K38" i="4"/>
  <c r="F14" i="22"/>
  <c r="G14" i="22"/>
  <c r="F17" i="22"/>
  <c r="J17" i="22" s="1"/>
  <c r="K26" i="22"/>
  <c r="M9" i="22"/>
  <c r="M26" i="22" s="1"/>
  <c r="K27" i="22"/>
  <c r="D9" i="4" l="1"/>
  <c r="I10" i="4" s="1"/>
  <c r="F39" i="4" s="1"/>
  <c r="D9" i="22"/>
  <c r="J14" i="22"/>
  <c r="M9" i="27" l="1"/>
  <c r="M24" i="27" s="1"/>
  <c r="K25" i="27"/>
  <c r="D9" i="27" s="1"/>
  <c r="K24" i="27"/>
  <c r="K36" i="28" l="1"/>
  <c r="M9" i="28"/>
  <c r="M36" i="28" s="1"/>
  <c r="K37" i="28"/>
  <c r="Y3" i="12" s="1"/>
  <c r="D9" i="28" l="1"/>
  <c r="V3" i="28"/>
  <c r="W5" i="28" s="1"/>
  <c r="W3" i="22"/>
  <c r="W3" i="28"/>
  <c r="W8" i="22" l="1"/>
  <c r="P8" i="22" s="1"/>
  <c r="U17" i="22"/>
  <c r="W6" i="22"/>
  <c r="P6" i="22" s="1"/>
  <c r="W5" i="22"/>
  <c r="P5" i="22" s="1"/>
  <c r="G15" i="22" s="1"/>
  <c r="W9" i="22"/>
  <c r="P9" i="22" s="1"/>
  <c r="W7" i="22"/>
  <c r="P7" i="22" s="1"/>
  <c r="S15" i="22"/>
  <c r="W9" i="28"/>
  <c r="P9" i="28" s="1"/>
  <c r="W8" i="28"/>
  <c r="P8" i="28" s="1"/>
  <c r="W6" i="28"/>
  <c r="P6" i="28" s="1"/>
  <c r="P5" i="28"/>
  <c r="S18" i="28"/>
  <c r="W7" i="28"/>
  <c r="P7" i="28" s="1"/>
  <c r="V14" i="22"/>
  <c r="U14" i="22"/>
  <c r="F15" i="22" s="1"/>
  <c r="V16" i="22"/>
  <c r="U16" i="22"/>
  <c r="S16" i="22"/>
  <c r="S18" i="22"/>
  <c r="V18" i="22"/>
  <c r="U18" i="22"/>
  <c r="J15" i="22" l="1"/>
  <c r="G11" i="22"/>
  <c r="G13" i="22"/>
  <c r="F10" i="22"/>
  <c r="G10" i="22"/>
  <c r="G10" i="28"/>
  <c r="G6" i="28"/>
  <c r="G6" i="22"/>
  <c r="G15" i="28"/>
  <c r="G11" i="28"/>
  <c r="V17" i="22"/>
  <c r="S17" i="22"/>
  <c r="F6" i="22" s="1"/>
  <c r="V15" i="22"/>
  <c r="U15" i="22"/>
  <c r="V18" i="28"/>
  <c r="U18" i="28"/>
  <c r="V14" i="28"/>
  <c r="U14" i="28"/>
  <c r="U15" i="28"/>
  <c r="S15" i="28"/>
  <c r="V15" i="28"/>
  <c r="U16" i="28"/>
  <c r="S16" i="28"/>
  <c r="V16" i="28"/>
  <c r="S17" i="28"/>
  <c r="F6" i="28" s="1"/>
  <c r="U17" i="28"/>
  <c r="V17" i="28"/>
  <c r="G26" i="22" l="1"/>
  <c r="H7" i="2" s="1"/>
  <c r="J10" i="22"/>
  <c r="J6" i="28"/>
  <c r="F11" i="22"/>
  <c r="J11" i="22" s="1"/>
  <c r="F13" i="22"/>
  <c r="J13" i="22" s="1"/>
  <c r="J6" i="22"/>
  <c r="G24" i="28"/>
  <c r="H11" i="2" s="1"/>
  <c r="F10" i="28"/>
  <c r="J10" i="28" s="1"/>
  <c r="F15" i="28"/>
  <c r="J15" i="28" s="1"/>
  <c r="F11" i="28"/>
  <c r="J11" i="28" s="1"/>
  <c r="F26" i="22" l="1"/>
  <c r="F24" i="28"/>
  <c r="G11" i="2" s="1"/>
  <c r="M9" i="29"/>
  <c r="M36" i="29" s="1"/>
  <c r="K36" i="29"/>
  <c r="K37" i="29"/>
  <c r="D9" i="31" s="1"/>
  <c r="J26" i="22" l="1"/>
  <c r="G7" i="2"/>
  <c r="J36" i="28"/>
  <c r="N36" i="2"/>
  <c r="Q36" i="2" s="1"/>
  <c r="X3" i="12"/>
  <c r="X6" i="12" s="1"/>
  <c r="Z6" i="12" s="1"/>
  <c r="AC6" i="12" s="1"/>
  <c r="AD6" i="12" s="1"/>
  <c r="D9" i="29"/>
  <c r="M12" i="12"/>
  <c r="M16" i="12"/>
  <c r="M14" i="12"/>
  <c r="M10" i="12"/>
  <c r="M9" i="12"/>
  <c r="W3" i="29"/>
  <c r="V3" i="29"/>
  <c r="X8" i="12" l="1"/>
  <c r="Z8" i="12" s="1"/>
  <c r="M13" i="12"/>
  <c r="X7" i="12"/>
  <c r="Z7" i="12" s="1"/>
  <c r="AC7" i="12" s="1"/>
  <c r="AD7" i="12" s="1"/>
  <c r="M11" i="12"/>
  <c r="AC8" i="12"/>
  <c r="AD8" i="12" s="1"/>
  <c r="L12" i="12"/>
  <c r="X9" i="12"/>
  <c r="Z9" i="12" s="1"/>
  <c r="X5" i="12"/>
  <c r="Z5" i="12" s="1"/>
  <c r="M6" i="12"/>
  <c r="L6" i="12"/>
  <c r="L11" i="12"/>
  <c r="AC9" i="12"/>
  <c r="AD9" i="12" s="1"/>
  <c r="F13" i="12" s="1"/>
  <c r="L13" i="12"/>
  <c r="AC5" i="12"/>
  <c r="AD5" i="12" s="1"/>
  <c r="L14" i="12"/>
  <c r="L9" i="12"/>
  <c r="L10" i="12"/>
  <c r="W8" i="29"/>
  <c r="P8" i="29" s="1"/>
  <c r="W5" i="29"/>
  <c r="P5" i="29" s="1"/>
  <c r="W7" i="29"/>
  <c r="P7" i="29" s="1"/>
  <c r="W6" i="29"/>
  <c r="P6" i="29" s="1"/>
  <c r="W9" i="29"/>
  <c r="P9" i="29" s="1"/>
  <c r="F9" i="12" l="1"/>
  <c r="M27" i="12"/>
  <c r="M34" i="2" s="1"/>
  <c r="F12" i="12"/>
  <c r="J12" i="12" s="1"/>
  <c r="V17" i="29"/>
  <c r="U17" i="29"/>
  <c r="S17" i="29"/>
  <c r="U16" i="29"/>
  <c r="S16" i="29"/>
  <c r="V16" i="29"/>
  <c r="U14" i="29"/>
  <c r="F10" i="29" s="1"/>
  <c r="V14" i="29"/>
  <c r="F11" i="12"/>
  <c r="J11" i="12" s="1"/>
  <c r="F6" i="12"/>
  <c r="G10" i="29"/>
  <c r="G11" i="29"/>
  <c r="G14" i="29"/>
  <c r="G15" i="29"/>
  <c r="V18" i="29"/>
  <c r="U18" i="29"/>
  <c r="F12" i="29" s="1"/>
  <c r="S18" i="29"/>
  <c r="S15" i="29"/>
  <c r="V15" i="29"/>
  <c r="U15" i="29"/>
  <c r="J42" i="2"/>
  <c r="Q34" i="2"/>
  <c r="F10" i="12"/>
  <c r="J10" i="12" s="1"/>
  <c r="J13" i="12"/>
  <c r="J9" i="12"/>
  <c r="G6" i="29"/>
  <c r="G12" i="29"/>
  <c r="L27" i="12"/>
  <c r="G30" i="2" s="1"/>
  <c r="F28" i="12" l="1"/>
  <c r="J10" i="29"/>
  <c r="J12" i="29"/>
  <c r="F6" i="29"/>
  <c r="J6" i="29" s="1"/>
  <c r="H30" i="2"/>
  <c r="E30" i="2" s="1"/>
  <c r="M31" i="2"/>
  <c r="N31" i="2" s="1"/>
  <c r="Q31" i="2" s="1"/>
  <c r="G24" i="29"/>
  <c r="H12" i="2" s="1"/>
  <c r="G44" i="2" s="1"/>
  <c r="J6" i="12"/>
  <c r="F11" i="29"/>
  <c r="J11" i="29" s="1"/>
  <c r="F15" i="29"/>
  <c r="J15" i="29" s="1"/>
  <c r="F14" i="29"/>
  <c r="J14" i="29" s="1"/>
  <c r="F24" i="29" l="1"/>
  <c r="J36" i="29" s="1"/>
  <c r="G13" i="2"/>
  <c r="J28" i="12"/>
  <c r="G47" i="2"/>
  <c r="M29" i="2"/>
  <c r="N29" i="2" s="1"/>
  <c r="G51" i="2"/>
  <c r="G59" i="2" s="1"/>
  <c r="G32" i="2"/>
  <c r="G31" i="2" s="1"/>
  <c r="J24" i="29" l="1"/>
  <c r="G62" i="2"/>
  <c r="G12" i="2"/>
  <c r="M33" i="2"/>
  <c r="F32" i="2"/>
  <c r="I32" i="2"/>
  <c r="Q29" i="2"/>
  <c r="G35" i="2"/>
  <c r="G36" i="2" s="1"/>
  <c r="G37" i="2" s="1"/>
  <c r="F33" i="2" l="1"/>
  <c r="N33" i="2"/>
  <c r="F38" i="2"/>
  <c r="N35" i="2"/>
  <c r="Q35" i="2" s="1"/>
  <c r="Q33" i="2" l="1"/>
  <c r="N38" i="2"/>
  <c r="F42" i="2"/>
  <c r="Q38" i="2" l="1"/>
  <c r="F32" i="4" l="1"/>
  <c r="J32" i="4" l="1"/>
  <c r="F37" i="4"/>
  <c r="G6" i="2" l="1"/>
  <c r="F44" i="2" s="1"/>
  <c r="J37" i="4"/>
  <c r="F47" i="2" l="1"/>
  <c r="F48" i="2" s="1"/>
  <c r="H48" i="2" s="1"/>
  <c r="M38" i="2" s="1"/>
  <c r="O39" i="2" s="1"/>
  <c r="F51" i="2"/>
  <c r="F59" i="2" l="1"/>
  <c r="F52" i="2"/>
  <c r="H52" i="2" s="1"/>
  <c r="L38" i="2"/>
  <c r="L39" i="2" s="1"/>
  <c r="F60" i="2" l="1"/>
  <c r="F62" i="2"/>
  <c r="H60" i="2" l="1"/>
  <c r="F64" i="2"/>
  <c r="I5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tc={D663FE22-328F-4442-A0FB-1768C5CE58ED}</author>
    <author>tc={F5659805-0337-A74D-AC50-323D88AD549F}</author>
  </authors>
  <commentList>
    <comment ref="D11" authorId="0" shapeId="0" xr:uid="{D663FE22-328F-4442-A0FB-1768C5CE58ED}">
      <text>
        <t xml:space="preserve">[Threaded comment]
Your version of Excel allows you to read this threaded comment; however, any edits to it will get removed if the file is opened in a newer version of Excel. Learn more: https://go.microsoft.com/fwlink/?linkid=870924
Comment:
    Cost of infra on ROKS is about 30% higher
</t>
      </text>
    </comment>
    <comment ref="D12" authorId="1" shapeId="0" xr:uid="{F5659805-0337-A74D-AC50-323D88AD549F}">
      <text>
        <t xml:space="preserve">[Threaded comment]
Your version of Excel allows you to read this threaded comment; however, any edits to it will get removed if the file is opened in a newer version of Excel. Learn more: https://go.microsoft.com/fwlink/?linkid=870924
Comment:
    Cost of infra on ROKS is about 30% higher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tc={DE79D45B-0390-1049-99A7-E9452715E1F3}</author>
    <author>tc={C5E71692-A792-F849-884B-49AB93055717}</author>
    <author>tc={54394CC1-092D-B34F-9A19-8A52B7B278D4}</author>
    <author>tc={CABB2868-8408-D045-AE0E-52DC97620AA6}</author>
    <author>tc={ADAAC77A-C334-D846-901D-515A33C6B079}</author>
    <author>Microsoft Office User</author>
  </authors>
  <commentList>
    <comment ref="C4" authorId="0" shapeId="0" xr:uid="{DE79D45B-0390-1049-99A7-E9452715E1F3}">
      <text>
        <t>[Threaded comment]
Your version of Excel allows you to read this threaded comment; however, any edits to it will get removed if the file is opened in a newer version of Excel. Learn more: https://go.microsoft.com/fwlink/?linkid=870924
Comment:
    Min OCP 4.3 cluster:     3 master nodes ( 3* (4CPU ,16 GB) )   + 2 worker Nodes ( 2 * (2 CPU , 8 GB)),  - Note: the production env should use a load balancer  but customer can provision/use any external LB - so that will not be included in the VPCs count for pricing consideration</t>
      </text>
    </comment>
    <comment ref="C5" authorId="1" shapeId="0" xr:uid="{C5E71692-A792-F849-884B-49AB93055717}">
      <text>
        <t>[Threaded comment]
Your version of Excel allows you to read this threaded comment; however, any edits to it will get removed if the file is opened in a newer version of Excel. Learn more: https://go.microsoft.com/fwlink/?linkid=870924
Comment:
    Min OCP 4.3 cluster:     3 master nodes ( 3* (4CPU ,16 GB) )   + 2 worker Nodes ( 2 * (2 CPU , 8 GB)),  - Note: the production env should use a load balancer  but customer can provision/use any external LB - so that will not be included in the VPCs count for pricing consideration
Reply:
    based on https://docs.openshift.com/container-platform/4.3/installing/installing_bare_metal/installing-bare-metal.html#machine-requirements_installing-bare-metal</t>
      </text>
    </comment>
    <comment ref="C14" authorId="2" shapeId="0" xr:uid="{54394CC1-092D-B34F-9A19-8A52B7B278D4}">
      <text>
        <t>[Threaded comment]
Your version of Excel allows you to read this threaded comment; however, any edits to it will get removed if the file is opened in a newer version of Excel. Learn more: https://go.microsoft.com/fwlink/?linkid=870924
Comment:
    for master node req- CP4D 2.5 required 3*8 CPus. ( i.e. 4 more than the min from OCP
For worker nodes, Adam Strom gave info that new version will need 3x4 CPUs
Reply:
    BAsed on CP4D sizings</t>
      </text>
    </comment>
    <comment ref="C18" authorId="3" shapeId="0" xr:uid="{CABB2868-8408-D045-AE0E-52DC97620AA6}">
      <text>
        <t xml:space="preserve">[Threaded comment]
Your version of Excel allows you to read this threaded comment; however, any edits to it will get removed if the file is opened in a newer version of Excel. Learn more: https://go.microsoft.com/fwlink/?linkid=870924
Comment:
    Min deployment recommended for production for Mongo is 3*4 CPUs
Reply:
    Based on Cp4D docs - Mongo Medium config is 8 CPUs
</t>
      </text>
    </comment>
    <comment ref="C19" authorId="4" shapeId="0" xr:uid="{ADAAC77A-C334-D846-901D-515A33C6B079}">
      <text>
        <t xml:space="preserve">[Threaded comment]
Your version of Excel allows you to read this threaded comment; however, any edits to it will get removed if the file is opened in a newer version of Excel. Learn more: https://go.microsoft.com/fwlink/?linkid=870924
Comment:
    Min deployment recommended for production for Mongo is 3*4 CPUs
Reply:
    Based on Cp4D docs - Mongo Medium config is 8 CPUs
</t>
      </text>
    </comment>
    <comment ref="B48" authorId="5" shapeId="0" xr:uid="{EDA42A70-C6C3-7B49-BC23-DCE9F55E0DE1}">
      <text>
        <r>
          <rPr>
            <sz val="10"/>
            <color rgb="FF000000"/>
            <rFont val="Tahoma"/>
            <family val="2"/>
          </rPr>
          <t xml:space="preserve">Each VM deployed into the account comes with a free quota of 250GB of bandwidth per month - will reserve that as capacity for console access and data extraction, and estimate only the data points from devices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<sst xmlns="http://schemas.openxmlformats.org/spreadsheetml/2006/main" count="1246" uniqueCount="621">
  <si>
    <t>Manage Application</t>
  </si>
  <si>
    <t>Yes/no</t>
  </si>
  <si>
    <t>Yes</t>
  </si>
  <si>
    <t>No</t>
  </si>
  <si>
    <t>VPC</t>
  </si>
  <si>
    <t>Compute: VPC</t>
  </si>
  <si>
    <t>Data: Gigabyte</t>
  </si>
  <si>
    <t xml:space="preserve">Size of Application Environment 
</t>
  </si>
  <si>
    <t>Small</t>
  </si>
  <si>
    <t>Provision Application</t>
  </si>
  <si>
    <t>Yes, Production w/ nonProduction</t>
  </si>
  <si>
    <t>MAS Core</t>
  </si>
  <si>
    <t>EffortLevel</t>
  </si>
  <si>
    <t>Medium</t>
  </si>
  <si>
    <t xml:space="preserve">Migration for Manage </t>
  </si>
  <si>
    <t>Is this a Cloud Starter Deal?</t>
  </si>
  <si>
    <t># of IP Allowlisting Instance</t>
  </si>
  <si>
    <t>Health Application</t>
  </si>
  <si>
    <t>How should the Health Application be provisioned?</t>
  </si>
  <si>
    <t>healthstand</t>
  </si>
  <si>
    <t>Stand Alone</t>
  </si>
  <si>
    <t>Ontop of Manage</t>
  </si>
  <si>
    <t>small</t>
  </si>
  <si>
    <t>Monitor</t>
  </si>
  <si>
    <t>Health</t>
  </si>
  <si>
    <t>Predict</t>
  </si>
  <si>
    <t>Visual Inspection</t>
  </si>
  <si>
    <t>y</t>
  </si>
  <si>
    <t>Assist</t>
  </si>
  <si>
    <t>Safety</t>
  </si>
  <si>
    <t>Manage</t>
  </si>
  <si>
    <t>VPCs</t>
  </si>
  <si>
    <t>Block Storage</t>
  </si>
  <si>
    <t>GB</t>
  </si>
  <si>
    <t>XS</t>
  </si>
  <si>
    <t>S</t>
  </si>
  <si>
    <t>M</t>
  </si>
  <si>
    <t>L</t>
  </si>
  <si>
    <t>Y</t>
  </si>
  <si>
    <t>Discounted</t>
  </si>
  <si>
    <t>per year</t>
  </si>
  <si>
    <t>Cost per VPC</t>
  </si>
  <si>
    <t>Monthly Cost</t>
  </si>
  <si>
    <t>storage</t>
  </si>
  <si>
    <t>Other costs ( band+Security+etc)</t>
  </si>
  <si>
    <t>FTEs</t>
  </si>
  <si>
    <t>Shared infrastructure</t>
  </si>
  <si>
    <t>Mem</t>
  </si>
  <si>
    <t>Mongo</t>
  </si>
  <si>
    <t xml:space="preserve">Scenarios -&gt; </t>
  </si>
  <si>
    <t>Suite - Start</t>
  </si>
  <si>
    <t>Dev</t>
  </si>
  <si>
    <t>XSmall</t>
  </si>
  <si>
    <t>large</t>
  </si>
  <si>
    <t>xlarge</t>
  </si>
  <si>
    <t>Footprint</t>
  </si>
  <si>
    <t>File Storage (GB)</t>
  </si>
  <si>
    <t>Block Storage (GB)</t>
  </si>
  <si>
    <t>COS Storage (GB)</t>
  </si>
  <si>
    <t>Base</t>
  </si>
  <si>
    <t>OpenShift Master + LB (if prod)</t>
  </si>
  <si>
    <t>Base OpenShift workers</t>
  </si>
  <si>
    <t>MAS core</t>
  </si>
  <si>
    <t>HW reqs</t>
  </si>
  <si>
    <t>GPU - Visual Inspection</t>
  </si>
  <si>
    <t>nnnn</t>
  </si>
  <si>
    <t>Bare Metal</t>
  </si>
  <si>
    <t>SW Pre-Reqs</t>
  </si>
  <si>
    <t>ICP4D base</t>
  </si>
  <si>
    <t>DB2 Warehouse - Monitor</t>
  </si>
  <si>
    <t>DB2 Warehouse - Health</t>
  </si>
  <si>
    <t>DB2 Warehouse - Manage</t>
  </si>
  <si>
    <t>Couchdb</t>
  </si>
  <si>
    <t>Watson Studio</t>
  </si>
  <si>
    <t>Watson Discovery</t>
  </si>
  <si>
    <t>Machine Learning</t>
  </si>
  <si>
    <t>Kafka/Event Streams</t>
  </si>
  <si>
    <t>Apps</t>
  </si>
  <si>
    <t>Monitor (App)</t>
  </si>
  <si>
    <t>Monitor (IoT Platform)</t>
  </si>
  <si>
    <t>Safety ( TBD)</t>
  </si>
  <si>
    <t>all apps and all pre-reqs managed by SRE - Storage in IBM Cloud</t>
  </si>
  <si>
    <t>Cost/ Month</t>
  </si>
  <si>
    <t>Large</t>
  </si>
  <si>
    <t>IBM Cloud Storage</t>
  </si>
  <si>
    <t>Block Storage - IBM Performance 1000IOPs</t>
  </si>
  <si>
    <t>1 TB (+ 1TB Snapshost)</t>
  </si>
  <si>
    <t xml:space="preserve">bandwidth ( GB ) </t>
  </si>
  <si>
    <t>Total</t>
  </si>
  <si>
    <t>IOTP</t>
  </si>
  <si>
    <t>Visual inspection</t>
  </si>
  <si>
    <t xml:space="preserve">NON-PROD or TRIAL </t>
  </si>
  <si>
    <t>Resources FTE</t>
  </si>
  <si>
    <t>MAS core + Infrastructure</t>
  </si>
  <si>
    <t>24 x 7  - env per  person: shifts</t>
  </si>
  <si>
    <t xml:space="preserve"># of environments 1 person is able to manage </t>
  </si>
  <si>
    <t>iotP</t>
  </si>
  <si>
    <t>Pre-Reqs on IBM Cloud when available</t>
  </si>
  <si>
    <t>Mongo DB on Cloud</t>
  </si>
  <si>
    <t>200 GB Disk</t>
  </si>
  <si>
    <t>400 GB Disk</t>
  </si>
  <si>
    <t>12 G Ram</t>
  </si>
  <si>
    <t>Event String capacity analysis</t>
  </si>
  <si>
    <t>1 VPC</t>
  </si>
  <si>
    <t>8 VPC</t>
  </si>
  <si>
    <t>12 VPC</t>
  </si>
  <si>
    <t>points</t>
  </si>
  <si>
    <t>DB2 Warehouse on Cloud</t>
  </si>
  <si>
    <t>bytes/min</t>
  </si>
  <si>
    <t xml:space="preserve"> plan / Instance </t>
  </si>
  <si>
    <t>Flex one</t>
  </si>
  <si>
    <t>Flex</t>
  </si>
  <si>
    <t>KB bytes/sec</t>
  </si>
  <si>
    <t>single ES part</t>
  </si>
  <si>
    <t>MB /sec</t>
  </si>
  <si>
    <t>Ram</t>
  </si>
  <si>
    <t>Required # part</t>
  </si>
  <si>
    <t>GB of storage</t>
  </si>
  <si>
    <t xml:space="preserve">Total data ( GB ) </t>
  </si>
  <si>
    <t>Event Stream (**)</t>
  </si>
  <si>
    <t>Partition</t>
  </si>
  <si>
    <t>GB out</t>
  </si>
  <si>
    <t>Standard 1 user</t>
  </si>
  <si>
    <t>Each addtl user</t>
  </si>
  <si>
    <t>discounted</t>
  </si>
  <si>
    <t>OR</t>
  </si>
  <si>
    <t>Enterprise</t>
  </si>
  <si>
    <t>10 users</t>
  </si>
  <si>
    <t>Integration with Analytics</t>
  </si>
  <si>
    <t xml:space="preserve">MAS </t>
  </si>
  <si>
    <t>MAS - loaded vpcs</t>
  </si>
  <si>
    <t>unlimited users</t>
  </si>
  <si>
    <t>Machine learning</t>
  </si>
  <si>
    <t>0.50 / capacity unit hour</t>
  </si>
  <si>
    <t>]</t>
  </si>
  <si>
    <t>or</t>
  </si>
  <si>
    <t>1000 + 0.40 / CU hour</t>
  </si>
  <si>
    <t>MAS</t>
  </si>
  <si>
    <t xml:space="preserve">Standard -  instance roughly sized based on numer of documents (  $ 0.01 per doc )  ( 500 for dev,  1,500 next level for 1M docs ( 0.0015 / doc ) + 0.05 / news query )) </t>
  </si>
  <si>
    <t>Premium - have to request quote - onky one to provide HA and  SLA</t>
  </si>
  <si>
    <t>+HC</t>
  </si>
  <si>
    <t>Provision a Production Manage Environment?</t>
  </si>
  <si>
    <t>tshirtsizes</t>
  </si>
  <si>
    <t>xSmall</t>
  </si>
  <si>
    <t>Beyond Large</t>
  </si>
  <si>
    <t>GPUs</t>
  </si>
  <si>
    <t>MAS apps (VPCs)</t>
  </si>
  <si>
    <t>single tenant pre-reqs  (VPC)</t>
  </si>
  <si>
    <t>addtl cluster capacity  (VPCs)</t>
  </si>
  <si>
    <t>5K IOPoints, 50K IOPoints, and 300K IOPoints then I guess that would be .... 10K IOPoints, 100KIOPoints, and 600K IOPoints for Kafka egress</t>
  </si>
  <si>
    <t xml:space="preserve">IBM Discount </t>
  </si>
  <si>
    <t>(discount to be applied over alll IBM Softlayer costs)</t>
  </si>
  <si>
    <t xml:space="preserve">( discount to be applied to IBM Cloud services - e.g. ROKS ) </t>
  </si>
  <si>
    <t>IO Point</t>
  </si>
  <si>
    <t xml:space="preserve">bytes/Min </t>
  </si>
  <si>
    <t>GB / months</t>
  </si>
  <si>
    <t>b3c.v16x64</t>
  </si>
  <si>
    <t>VM Cost</t>
  </si>
  <si>
    <t>Roks Compute</t>
  </si>
  <si>
    <t>Cost/Month</t>
  </si>
  <si>
    <t>VM size</t>
  </si>
  <si>
    <t># of VPCs</t>
  </si>
  <si>
    <t>b3c.v8x32</t>
  </si>
  <si>
    <t>ROKS GPU Nodes</t>
  </si>
  <si>
    <t>32x384  2xP100</t>
  </si>
  <si>
    <t>GPU Node cost</t>
  </si>
  <si>
    <t>AC1.8x60</t>
  </si>
  <si>
    <t>Block/File Storage</t>
  </si>
  <si>
    <t>ASSUMPTION for DB Storage</t>
  </si>
  <si>
    <t xml:space="preserve">   For each 1 GB of DB Storage we will need to keep  the last 2 backup files in hot storage in case it is needed , plus the last 6 incrementals  ( assuming 10% change) with a 70% compression</t>
  </si>
  <si>
    <t>DB Size</t>
  </si>
  <si>
    <t>1GB</t>
  </si>
  <si>
    <t>Hot backup Storage Needs</t>
  </si>
  <si>
    <t>cost Hot Storage</t>
  </si>
  <si>
    <t>10  IOPS/GB</t>
  </si>
  <si>
    <t>replication</t>
  </si>
  <si>
    <t>Cost/GB</t>
  </si>
  <si>
    <t>Discounted Cost</t>
  </si>
  <si>
    <t>/GB</t>
  </si>
  <si>
    <t>performance storage</t>
  </si>
  <si>
    <t xml:space="preserve"> per/GB</t>
  </si>
  <si>
    <t>Cost per IOPS</t>
  </si>
  <si>
    <t>100 IOPS</t>
  </si>
  <si>
    <t>fixed fee</t>
  </si>
  <si>
    <t>1000 IOPS</t>
  </si>
  <si>
    <t>4000 IOPS</t>
  </si>
  <si>
    <t>COS backup</t>
  </si>
  <si>
    <t>Db2 Compression rate</t>
  </si>
  <si>
    <t xml:space="preserve">Prrod Data retention ( months ) </t>
  </si>
  <si>
    <t xml:space="preserve">Dev Data retention ( months ) </t>
  </si>
  <si>
    <t>number of full backups</t>
  </si>
  <si>
    <t xml:space="preserve">Prod - X Factor  for backup data </t>
  </si>
  <si>
    <t xml:space="preserve">Dev- X Factor  for backup data </t>
  </si>
  <si>
    <t>Cost of COS cold storage</t>
  </si>
  <si>
    <t xml:space="preserve">(based on a 1TB in cold storage rregional with 100 GB of retrieval ) </t>
  </si>
  <si>
    <t>Cost of bandwidth GB</t>
  </si>
  <si>
    <t>TB</t>
  </si>
  <si>
    <t>cost per month</t>
  </si>
  <si>
    <t>Included</t>
  </si>
  <si>
    <t>per deployed VM</t>
  </si>
  <si>
    <t>0verage</t>
  </si>
  <si>
    <t>per GB</t>
  </si>
  <si>
    <t>LaborYear</t>
  </si>
  <si>
    <t>Baseline</t>
  </si>
  <si>
    <t>person team</t>
  </si>
  <si>
    <t>additional HC</t>
  </si>
  <si>
    <t>after 12 customers</t>
  </si>
  <si>
    <t>after 1st year</t>
  </si>
  <si>
    <t>YesNoList</t>
  </si>
  <si>
    <t>N</t>
  </si>
  <si>
    <t>SML_List</t>
  </si>
  <si>
    <t>managesizes</t>
  </si>
  <si>
    <t>xSmall (up to 50 users)</t>
  </si>
  <si>
    <t>Small (51 - 100 users)</t>
  </si>
  <si>
    <t>Medium (101-250 users)</t>
  </si>
  <si>
    <t>Large (251 - 500 users)</t>
  </si>
  <si>
    <t>Beyond Large (over 501 users)</t>
  </si>
  <si>
    <t>Provision any non-Production Manage Environment?</t>
  </si>
  <si>
    <t>managesizesyesno</t>
  </si>
  <si>
    <t>Yes, Large (251 - 500 users)</t>
  </si>
  <si>
    <t>Yes, Small (51 - 100 users)</t>
  </si>
  <si>
    <t>Yes, Medium (101-250 users)</t>
  </si>
  <si>
    <r>
      <t>Provision a non-production environment for Proof of Concept (</t>
    </r>
    <r>
      <rPr>
        <b/>
        <sz val="12"/>
        <color theme="1"/>
        <rFont val="Calibri"/>
        <family val="2"/>
        <scheme val="minor"/>
      </rPr>
      <t>PoC</t>
    </r>
    <r>
      <rPr>
        <sz val="12"/>
        <color theme="1"/>
        <rFont val="Calibri"/>
        <family val="2"/>
        <scheme val="minor"/>
      </rPr>
      <t>) Purposes</t>
    </r>
  </si>
  <si>
    <t>None</t>
  </si>
  <si>
    <t>Select size of the 1st non-production:</t>
  </si>
  <si>
    <t>Select size of the 2nd non-production:</t>
  </si>
  <si>
    <t>Select size of the 3rd non-production:</t>
  </si>
  <si>
    <t>Select size of the 4th non-production:</t>
  </si>
  <si>
    <t>Select size of the 5th non-production:</t>
  </si>
  <si>
    <t>Number of additional non-productions, all of size Dev:</t>
  </si>
  <si>
    <t>production</t>
  </si>
  <si>
    <t>Yes, Dev (up to 30 Users) - Non HA</t>
  </si>
  <si>
    <t>MAS MS : Capacity Units</t>
  </si>
  <si>
    <t>onethrufive</t>
  </si>
  <si>
    <t>If this a Migration (SaaS Flex or On Prem), Select the migration effort level:</t>
  </si>
  <si>
    <t>managesizes1stnonprod</t>
  </si>
  <si>
    <t>Dev (up to 30 Users) - Non HA</t>
  </si>
  <si>
    <t>shareddedicated</t>
  </si>
  <si>
    <t>Shared</t>
  </si>
  <si>
    <t>Dedicated</t>
  </si>
  <si>
    <t>(1 Worker node: b3c.v16x64) = 16 VPC | Cost (month)</t>
  </si>
  <si>
    <t>1 VPC Cost (month). 1/16 of above "IBM Cost (with IBM 28% discount)"</t>
  </si>
  <si>
    <t>1VPC cost (Year)</t>
  </si>
  <si>
    <t>GB Data Cost (month)</t>
  </si>
  <si>
    <t>GB Data Cost (Year)</t>
  </si>
  <si>
    <t xml:space="preserve">Capacity Unit Cost </t>
  </si>
  <si>
    <t xml:space="preserve">Capacity Unit List </t>
  </si>
  <si>
    <t>dev</t>
  </si>
  <si>
    <t>-</t>
  </si>
  <si>
    <t>Provision a Production MAS Core Environment?</t>
  </si>
  <si>
    <t>MASCoreSizes</t>
  </si>
  <si>
    <t>Size of the 1st non-production:</t>
  </si>
  <si>
    <t>Size of the 2nd non-production:</t>
  </si>
  <si>
    <t>Size of the 3rd non-production:</t>
  </si>
  <si>
    <t>Size of the 4th non-production:</t>
  </si>
  <si>
    <t>Size of the 5th non-production:</t>
  </si>
  <si>
    <t>Applications</t>
  </si>
  <si>
    <t>Is the Application Deployed</t>
  </si>
  <si>
    <t>MVI</t>
  </si>
  <si>
    <t>Numerical Sizing</t>
  </si>
  <si>
    <t>Part Number:</t>
  </si>
  <si>
    <t>D02QTZX - IBM Maximo Application Suite Managed Service</t>
  </si>
  <si>
    <t>D02QWZX - IBM Maximo Application Suite Managed Service VPC</t>
  </si>
  <si>
    <t>D02QUZX - IBM Maximo Application Suite Managed Service Data</t>
  </si>
  <si>
    <t>:Numbers for SQO Entry</t>
  </si>
  <si>
    <t xml:space="preserve">Total Quantities: </t>
  </si>
  <si>
    <t>Costs</t>
  </si>
  <si>
    <t>Unit Cost (not Shown to Sales)</t>
  </si>
  <si>
    <t>Annual Cost</t>
  </si>
  <si>
    <t>Cost (not Shown to Sales)</t>
  </si>
  <si>
    <t>Total Cost (not shown to Sales)</t>
  </si>
  <si>
    <t>List Prices</t>
  </si>
  <si>
    <t>Unit List price</t>
  </si>
  <si>
    <t>Annual Price</t>
  </si>
  <si>
    <t>Price per Item</t>
  </si>
  <si>
    <t>Total List Price</t>
  </si>
  <si>
    <t>Monthly Price</t>
  </si>
  <si>
    <t>xmsall</t>
  </si>
  <si>
    <t>medium</t>
  </si>
  <si>
    <t>DB2</t>
  </si>
  <si>
    <t>DB2 Data</t>
  </si>
  <si>
    <t>FTE Prod</t>
  </si>
  <si>
    <t>FTE Add NonP</t>
  </si>
  <si>
    <t>Prod Total</t>
  </si>
  <si>
    <t>CapUs</t>
  </si>
  <si>
    <t>Prod</t>
  </si>
  <si>
    <t>CapUsAddnProd</t>
  </si>
  <si>
    <t>Shared Costs</t>
  </si>
  <si>
    <t>Data GB</t>
  </si>
  <si>
    <t>DB2 VPC</t>
  </si>
  <si>
    <t>CapUCosts</t>
  </si>
  <si>
    <t>CapuUs</t>
  </si>
  <si>
    <t>ICP4D VPC</t>
  </si>
  <si>
    <t>ICP4D Data</t>
  </si>
  <si>
    <t>ICP4D Costs</t>
  </si>
  <si>
    <t>Actual VPC (non Charged)</t>
  </si>
  <si>
    <t>Deployed Costs</t>
  </si>
  <si>
    <t>IPC4D Deployed</t>
  </si>
  <si>
    <t>single tenant prereq</t>
  </si>
  <si>
    <t>Additional Cluster Capacity</t>
  </si>
  <si>
    <t>total for other</t>
  </si>
  <si>
    <t>workernodes</t>
  </si>
  <si>
    <t>FTE</t>
  </si>
  <si>
    <t>Storage (non Charged GB)</t>
  </si>
  <si>
    <t>Sales Calc</t>
  </si>
  <si>
    <t>CP From Arlindo</t>
  </si>
  <si>
    <t>Block storage adder ( because of storage cost is low)</t>
  </si>
  <si>
    <t>CapUcosts (other costs)</t>
  </si>
  <si>
    <t>Other Costs(costs at 110)</t>
  </si>
  <si>
    <t>Additional Cluster capacity (cap U's)</t>
  </si>
  <si>
    <t>&lt;- this is charged under storage per month</t>
  </si>
  <si>
    <t>largest</t>
  </si>
  <si>
    <t>Yes, Low</t>
  </si>
  <si>
    <t>Yes, Medium</t>
  </si>
  <si>
    <t>Yes, High</t>
  </si>
  <si>
    <t>Yes, Custom</t>
  </si>
  <si>
    <t>N/A</t>
  </si>
  <si>
    <t>db2 vpc</t>
  </si>
  <si>
    <t>VPC+FTE</t>
  </si>
  <si>
    <t>List price delta month for reporting db</t>
  </si>
  <si>
    <t>zerothrufive</t>
  </si>
  <si>
    <t>Output Notes:</t>
  </si>
  <si>
    <t>Disc.
 Price</t>
  </si>
  <si>
    <t>Unit Discounted Price</t>
  </si>
  <si>
    <t>Discounted price</t>
  </si>
  <si>
    <t>Total Discounted Price</t>
  </si>
  <si>
    <t>Capacity Unit</t>
  </si>
  <si>
    <t>Data Gigabyte</t>
  </si>
  <si>
    <t>GP% Per Part</t>
  </si>
  <si>
    <t>Total GP %</t>
  </si>
  <si>
    <t>CapUsPoC</t>
  </si>
  <si>
    <t xml:space="preserve">Add-Ons for MAS Core </t>
  </si>
  <si>
    <t>Select the architecture of the environment:</t>
  </si>
  <si>
    <t>Enable App Connect Integration?</t>
  </si>
  <si>
    <t>Enable Omnio Integration? (Adds 1 VPN IPSec Tunnel Instance)</t>
  </si>
  <si>
    <t xml:space="preserve">Compute: (VPC) Virtual processing Core </t>
  </si>
  <si>
    <t xml:space="preserve"> Storage: Data Gigabyte</t>
  </si>
  <si>
    <t>Subtotals for Manage Application:</t>
  </si>
  <si>
    <t>xSmall (up to 1 user)</t>
  </si>
  <si>
    <t>Small (2 - 5 users)</t>
  </si>
  <si>
    <t>Medium (6-15 users)</t>
  </si>
  <si>
    <t>Large (15 - 35 users)</t>
  </si>
  <si>
    <t>Beyond Large (over 36 users)</t>
  </si>
  <si>
    <t>HealthSizes</t>
  </si>
  <si>
    <t>Yes, Dev (1 User) - Non HA</t>
  </si>
  <si>
    <t>Yes, xSmall (31 to 50 users)</t>
  </si>
  <si>
    <t>Yes, Small (2 - 5 users)</t>
  </si>
  <si>
    <t>Yes, Medium (6-15 users)</t>
  </si>
  <si>
    <t>Yes, Large (15 - 35 users)</t>
  </si>
  <si>
    <t>Yes, Beyond Large (over 36 users)</t>
  </si>
  <si>
    <t>healthsizesyesno</t>
  </si>
  <si>
    <t>Subtotals for Health Application:</t>
  </si>
  <si>
    <t>Enable Health &amp; Predict Utilities?</t>
  </si>
  <si>
    <t>Discount %</t>
  </si>
  <si>
    <t>BP Discount %</t>
  </si>
  <si>
    <t>Set Discounts:</t>
  </si>
  <si>
    <t>Total Discount:</t>
  </si>
  <si>
    <t>Discount Guidance:</t>
  </si>
  <si>
    <t>~25% to ~35%</t>
  </si>
  <si>
    <t>~15% to ~25%</t>
  </si>
  <si>
    <t>~0% to ~8%</t>
  </si>
  <si>
    <t>duration index</t>
  </si>
  <si>
    <t>Monitor Application</t>
  </si>
  <si>
    <r>
      <t xml:space="preserve">Select size of production, based number of </t>
    </r>
    <r>
      <rPr>
        <b/>
        <sz val="12"/>
        <color theme="1"/>
        <rFont val="Calibri"/>
        <family val="2"/>
        <scheme val="minor"/>
      </rPr>
      <t>Concurrent Users</t>
    </r>
    <r>
      <rPr>
        <sz val="12"/>
        <color theme="1"/>
        <rFont val="Calibri"/>
        <family val="2"/>
        <scheme val="minor"/>
      </rPr>
      <t xml:space="preserve"> in the environment:</t>
    </r>
  </si>
  <si>
    <r>
      <t xml:space="preserve">Select size of production, based number of </t>
    </r>
    <r>
      <rPr>
        <b/>
        <sz val="12"/>
        <color theme="1"/>
        <rFont val="Calibri"/>
        <family val="2"/>
        <scheme val="minor"/>
      </rPr>
      <t>Concurrent Users (Reliability Engineers)</t>
    </r>
    <r>
      <rPr>
        <sz val="12"/>
        <color theme="1"/>
        <rFont val="Calibri"/>
        <family val="2"/>
        <scheme val="minor"/>
      </rPr>
      <t xml:space="preserve"> in the environment:</t>
    </r>
  </si>
  <si>
    <t>MonitorSizes</t>
  </si>
  <si>
    <t>xSmall (up to 1,000 I/O Points)</t>
  </si>
  <si>
    <t>Small (up to 5,000 I/O Points)</t>
  </si>
  <si>
    <t>Medium (up to 50,000 I/O Points)</t>
  </si>
  <si>
    <t>What is an I/O Point: Click to See Definitions and Examples</t>
  </si>
  <si>
    <t>Yes, xSmall (up to 1,000 I/O Points)</t>
  </si>
  <si>
    <t>Yes, Small (up to 5,000 I/O Points)</t>
  </si>
  <si>
    <t>Yes, Medium (up to 50,000 I/O Points)</t>
  </si>
  <si>
    <t>monitorsizesyesno</t>
  </si>
  <si>
    <t>Provision any non-Production Health Environment?</t>
  </si>
  <si>
    <t>Provision any non-Production Monitor Environment?</t>
  </si>
  <si>
    <t xml:space="preserve">Add-Ons for Monitor </t>
  </si>
  <si>
    <t>Monitor+iopt</t>
  </si>
  <si>
    <t>FTE Prod (iotp+monitor)</t>
  </si>
  <si>
    <t>Single tenat Prereqs</t>
  </si>
  <si>
    <t>Instructions:</t>
  </si>
  <si>
    <t>Visit the MAS Sales play in Seismic. MAS MS has a subdirectory there with all the MAS MS assets.</t>
  </si>
  <si>
    <t>See the details on the MAS MS - Manage Cloud Starter promotion</t>
  </si>
  <si>
    <t>MAS MS Level 1 Presentation</t>
  </si>
  <si>
    <t>1. Always get the latest version of the calculator from Seismic</t>
  </si>
  <si>
    <t>MAS MS Overview Enablement and Recording</t>
  </si>
  <si>
    <t>MAS MS - Manage Specific Resources</t>
  </si>
  <si>
    <t>MAS MS SaaS Flex Migration Enablement and Recording</t>
  </si>
  <si>
    <t>Details:</t>
  </si>
  <si>
    <t>Visit the External MAS MS Wiki for additional information about the offering</t>
  </si>
  <si>
    <t>See the MAS MS Announcement Letter</t>
  </si>
  <si>
    <t>See the MAS MS Service Description</t>
  </si>
  <si>
    <t>See the MAS MS Datasheet</t>
  </si>
  <si>
    <t>2. Work your way from left to right through the tabs, tabs represent applications in the suite. If an application is not needed then the tab can be skipped</t>
  </si>
  <si>
    <t>4. View the 'Output Dashboard' Tab to see the final requirement for the configured environment</t>
  </si>
  <si>
    <t>5. The green '# to Order' summary box displays the quantities of the 3 building block components that need to go into SQO. There is also a no charge SLA part number.</t>
  </si>
  <si>
    <t>7. Save excel file and attach to SQO Bid.</t>
  </si>
  <si>
    <t>Click to See more details around sizing for Health &amp; Predict based on Number of Assets</t>
  </si>
  <si>
    <t>Set Discount</t>
  </si>
  <si>
    <t>Support for custom retention periods</t>
  </si>
  <si>
    <t>Go to Output Dashboard</t>
  </si>
  <si>
    <t xml:space="preserve">MAS Core:  </t>
  </si>
  <si>
    <t>Duration of Manage Services Contract? (Years)</t>
  </si>
  <si>
    <t>Yearly discounted sales price</t>
  </si>
  <si>
    <t>Enhanced Disaster Recovery for Production Manage only environments</t>
  </si>
  <si>
    <t># of Additional VPN IPSec Tunnel Instance</t>
  </si>
  <si>
    <t xml:space="preserve">MAS MS Add-Ons for Manage </t>
  </si>
  <si>
    <t>3. Answer all drop down questions in Yellow, use the hyperlinks for faster navigation through tabs</t>
  </si>
  <si>
    <t>Reporting DB</t>
  </si>
  <si>
    <t>SaaS flex</t>
  </si>
  <si>
    <t>List</t>
  </si>
  <si>
    <t>month</t>
  </si>
  <si>
    <t xml:space="preserve"> @ 65% Dicount</t>
  </si>
  <si>
    <t>sales price per month</t>
  </si>
  <si>
    <t>MAS MS</t>
  </si>
  <si>
    <t>Cap U to get to same sales price</t>
  </si>
  <si>
    <t>saas flex discount</t>
  </si>
  <si>
    <t>mas ms discount</t>
  </si>
  <si>
    <t>CapU List price per month</t>
  </si>
  <si>
    <t>20% off</t>
  </si>
  <si>
    <t>CAPU for reporting db</t>
  </si>
  <si>
    <t>Enhanced DR</t>
  </si>
  <si>
    <t>1st</t>
  </si>
  <si>
    <t>2nd</t>
  </si>
  <si>
    <t>3rd</t>
  </si>
  <si>
    <t>4th</t>
  </si>
  <si>
    <t>PoC</t>
  </si>
  <si>
    <t>5th</t>
  </si>
  <si>
    <t>Mas Core</t>
  </si>
  <si>
    <r>
      <t xml:space="preserve">Select size of production, based number of </t>
    </r>
    <r>
      <rPr>
        <b/>
        <sz val="12"/>
        <color theme="1"/>
        <rFont val="Calibri"/>
        <family val="2"/>
        <scheme val="minor"/>
      </rPr>
      <t xml:space="preserve">I/O Points </t>
    </r>
    <r>
      <rPr>
        <sz val="12"/>
        <color theme="1"/>
        <rFont val="Calibri"/>
        <family val="2"/>
        <scheme val="minor"/>
      </rPr>
      <t>the environment supports:</t>
    </r>
  </si>
  <si>
    <t>Subtotals for Monitor Application:</t>
  </si>
  <si>
    <t>Predict Application</t>
  </si>
  <si>
    <t>Provision a Production Predict Environment?</t>
  </si>
  <si>
    <t>Click to See  details around sizing for Health &amp; Predict based on Number of Assets</t>
  </si>
  <si>
    <t>Deeper Predict Sizing can be done on 'predict Data points' tab download</t>
  </si>
  <si>
    <t>PredictSizes</t>
  </si>
  <si>
    <t>xSmall (up to 100 I/O Points)</t>
  </si>
  <si>
    <t>Small (up to 200 I/O Points)</t>
  </si>
  <si>
    <t>Medium (up to 1,000 I/O Points)</t>
  </si>
  <si>
    <t>Large (up to 10,000 I/O Points)</t>
  </si>
  <si>
    <t>Beyond Large (Above 10,000 I/O Points)</t>
  </si>
  <si>
    <t>Provision any non-Production Predict Environment?</t>
  </si>
  <si>
    <t>Subtotals for Predict Application:</t>
  </si>
  <si>
    <t>Predict DB</t>
  </si>
  <si>
    <t>GB Open, Core, Mongo</t>
  </si>
  <si>
    <t>Studio+ML</t>
  </si>
  <si>
    <t>CP4D Sharable</t>
  </si>
  <si>
    <t>xs manage dev manage</t>
  </si>
  <si>
    <t>Non-Production Environments</t>
  </si>
  <si>
    <t>D02QVZX - IBM Maximo Application Suite MS SLA</t>
  </si>
  <si>
    <t>Safety Application</t>
  </si>
  <si>
    <t>Provision a Production Safety Environment?</t>
  </si>
  <si>
    <r>
      <t xml:space="preserve">Select size of production, based number of </t>
    </r>
    <r>
      <rPr>
        <b/>
        <sz val="12"/>
        <color theme="1"/>
        <rFont val="Calibri"/>
        <family val="2"/>
        <scheme val="minor"/>
      </rPr>
      <t xml:space="preserve">Concurrent Workers </t>
    </r>
    <r>
      <rPr>
        <sz val="12"/>
        <color theme="1"/>
        <rFont val="Calibri"/>
        <family val="2"/>
        <scheme val="minor"/>
      </rPr>
      <t>Monitored:</t>
    </r>
  </si>
  <si>
    <t>SafetytSizes</t>
  </si>
  <si>
    <t>xSmall (up to 50 workers)</t>
  </si>
  <si>
    <t>Small (up to 250 workers)</t>
  </si>
  <si>
    <t>Large (up to 10,000 workers)</t>
  </si>
  <si>
    <t>Beyond Large (Above 10,000 workers)</t>
  </si>
  <si>
    <t>predictsizesyesno</t>
  </si>
  <si>
    <t>Yes, Large (up to 300,000 I/O Points)</t>
  </si>
  <si>
    <t>Yes, Beyond Large (Above 300,000 I/O Points)</t>
  </si>
  <si>
    <t>Large (up to 300,000 I/O Points)</t>
  </si>
  <si>
    <t>Yes, xSmall (up to 100 I/O Points)</t>
  </si>
  <si>
    <t>Yes, Small (up to 200 I/O Points)</t>
  </si>
  <si>
    <t>Yes, Medium (up to 1,000 I/O Points)</t>
  </si>
  <si>
    <t>Yes, Large (up to 10,000 I/O Points)</t>
  </si>
  <si>
    <t>Yes, Beyond Large (Above 10,000 I/O Points)</t>
  </si>
  <si>
    <t>Beyond Large (Above 300,000 I/O Points)</t>
  </si>
  <si>
    <t>safetysizesyesno</t>
  </si>
  <si>
    <t>Yes, xSmall (up to 50 workers)</t>
  </si>
  <si>
    <t>Yes, Small (up to 250 workers)</t>
  </si>
  <si>
    <t>Yes, Large (up to 10,000 workers)</t>
  </si>
  <si>
    <t>Yes, Beyond Large (Above 10,000 workers)</t>
  </si>
  <si>
    <t>Provision any non-Production Safety Environment?</t>
  </si>
  <si>
    <t>DB?</t>
  </si>
  <si>
    <t>Anywhere Users</t>
  </si>
  <si>
    <t>Will any Industry Solutions will be deployed?</t>
  </si>
  <si>
    <t>IOTP VPC</t>
  </si>
  <si>
    <t>Do we need IOTP VPC</t>
  </si>
  <si>
    <t>safety or monitor deployed?</t>
  </si>
  <si>
    <t xml:space="preserve">safety&amp; monitor </t>
  </si>
  <si>
    <t>IOTP Labor Costs</t>
  </si>
  <si>
    <t>IF($V$3,0.05*laboryear/12,0)</t>
  </si>
  <si>
    <t>The number of workers (or assets) that can be monitored by the solution sizes is reduced to half as many if worker or asset location tracking is used</t>
  </si>
  <si>
    <t>Assist Application</t>
  </si>
  <si>
    <t>Provision a Production Assist Environment?</t>
  </si>
  <si>
    <t>Provision any non-Production Assist Environment?</t>
  </si>
  <si>
    <t>assistSizes</t>
  </si>
  <si>
    <t>xSmall (up to 2 concurrent users)</t>
  </si>
  <si>
    <t>Small (up to 3 concurrent users)</t>
  </si>
  <si>
    <t>Medium (up to 5 concurrent users)</t>
  </si>
  <si>
    <t>Beyond Large (Above 15 concurrent users)</t>
  </si>
  <si>
    <t>Large (up to 15 concurrent users)</t>
  </si>
  <si>
    <t>dicounted</t>
  </si>
  <si>
    <t>20% off%</t>
  </si>
  <si>
    <t>30% off</t>
  </si>
  <si>
    <t># to Order:</t>
  </si>
  <si>
    <t>Offering ID: 5900-AAA</t>
  </si>
  <si>
    <t>add indicators for extras on the backlog</t>
  </si>
  <si>
    <t>clean up pricing tab</t>
  </si>
  <si>
    <t>Deploy health on its own tab</t>
  </si>
  <si>
    <t>health and monitor utilities</t>
  </si>
  <si>
    <t>Yes, xSmall (up to 2 concurrent users)</t>
  </si>
  <si>
    <t>Yes, Small (up to 3 concurrent users)</t>
  </si>
  <si>
    <t>Yes, Large (up to 15 concurrent users)</t>
  </si>
  <si>
    <t>Yes,Medium (up to 5 concurrent users)</t>
  </si>
  <si>
    <t>Yes, Beyond Large (Above  15 concurrent users)</t>
  </si>
  <si>
    <t>Yes,Medium (up to 2,500 workers)</t>
  </si>
  <si>
    <t>Medium (up to 2,500 workers)</t>
  </si>
  <si>
    <t>Assistsizesyesno</t>
  </si>
  <si>
    <t>assist</t>
  </si>
  <si>
    <t>reporting DB for other apps</t>
  </si>
  <si>
    <t>couch data GB</t>
  </si>
  <si>
    <t>couch+discovery</t>
  </si>
  <si>
    <t>VPC App</t>
  </si>
  <si>
    <t>Single Tenant VPC</t>
  </si>
  <si>
    <t>CP4D Single (predict or assist</t>
  </si>
  <si>
    <t>Version</t>
  </si>
  <si>
    <t>Change</t>
  </si>
  <si>
    <t>Initial Distribution</t>
  </si>
  <si>
    <t>Report issues to : Drew.A.Sens@ibm.com</t>
  </si>
  <si>
    <t>extra nonprods for manage add to extra non prods for the others , needs to be max only, this is for addiontal #s</t>
  </si>
  <si>
    <t>MVI Application</t>
  </si>
  <si>
    <t>Provision a Production MVI Environment?</t>
  </si>
  <si>
    <t>Provision any non-Production MVI Environment?</t>
  </si>
  <si>
    <t>mviSizes</t>
  </si>
  <si>
    <t>Medium (up to 8 concurrent users)</t>
  </si>
  <si>
    <t>Large (up to 16 concurrent users)</t>
  </si>
  <si>
    <t>mvisizesyesno</t>
  </si>
  <si>
    <t>Yes,Medium (up to 8 concurrent users)</t>
  </si>
  <si>
    <t>Yes, Large (up to 16 concurrent users)</t>
  </si>
  <si>
    <t>Beyond Large (Above 16 concurrent users)</t>
  </si>
  <si>
    <t>Yes, Beyond Large (Above  16 concurrent users)</t>
  </si>
  <si>
    <r>
      <t xml:space="preserve">Select size of production, based number of </t>
    </r>
    <r>
      <rPr>
        <b/>
        <sz val="12"/>
        <color theme="1"/>
        <rFont val="Calibri"/>
        <family val="2"/>
        <scheme val="minor"/>
      </rPr>
      <t xml:space="preserve">Concurrent Users (Studio) </t>
    </r>
    <r>
      <rPr>
        <sz val="12"/>
        <color theme="1"/>
        <rFont val="Calibri"/>
        <family val="2"/>
        <scheme val="minor"/>
      </rPr>
      <t>in the environment:</t>
    </r>
  </si>
  <si>
    <r>
      <t xml:space="preserve">Select size of production, based number of </t>
    </r>
    <r>
      <rPr>
        <b/>
        <sz val="12"/>
        <color theme="1"/>
        <rFont val="Calibri"/>
        <family val="2"/>
        <scheme val="minor"/>
      </rPr>
      <t xml:space="preserve">Concurrent Users (S.M.E) </t>
    </r>
    <r>
      <rPr>
        <sz val="12"/>
        <color theme="1"/>
        <rFont val="Calibri"/>
        <family val="2"/>
        <scheme val="minor"/>
      </rPr>
      <t>in the environment:</t>
    </r>
  </si>
  <si>
    <t>MVI DB</t>
  </si>
  <si>
    <t>Other GB</t>
  </si>
  <si>
    <t>Number GPUs</t>
  </si>
  <si>
    <t>Cost per GPU</t>
  </si>
  <si>
    <t>GPU Cost (arlindo)</t>
  </si>
  <si>
    <t>Other Warnings</t>
  </si>
  <si>
    <t>Warnings:</t>
  </si>
  <si>
    <t>beyond large calculations</t>
  </si>
  <si>
    <t>Contains 2 P100 GPUs</t>
  </si>
  <si>
    <t>Contains 4 P100 GPUs</t>
  </si>
  <si>
    <t>Contains 8 P100 GPUs</t>
  </si>
  <si>
    <t xml:space="preserve"> </t>
  </si>
  <si>
    <t>Provision a Production Monitor Environment?</t>
  </si>
  <si>
    <t>Single tenant Prereqs</t>
  </si>
  <si>
    <t>Sum</t>
  </si>
  <si>
    <t>The Size of the MAS Core Environment:</t>
  </si>
  <si>
    <t>NOTE: The above general T-Shirt sizing is designed to fit Clients in a given size profile who consume and store an average number of functions and data within MAS. Should actual consumption vary from guided levels, clients must refine their environment with the purchase of additional MAS MS part quantitates.</t>
  </si>
  <si>
    <t>MAS MS SaaS Flex Migration Checklist</t>
  </si>
  <si>
    <t>6. If desired, adjust the discount percentage to see where the cutoff is that required escalated approval process. NOTE: this is informative only, indicative pricing and currency conversion comes from SQO</t>
  </si>
  <si>
    <t>Additional Resources and Information:</t>
  </si>
  <si>
    <t>MAS MS Pricing Calculator</t>
  </si>
  <si>
    <r>
      <rPr>
        <b/>
        <sz val="10"/>
        <rFont val="Calibri"/>
        <family val="2"/>
        <scheme val="minor"/>
      </rPr>
      <t xml:space="preserve">NOTE: </t>
    </r>
    <r>
      <rPr>
        <sz val="10"/>
        <rFont val="Calibri"/>
        <family val="2"/>
        <scheme val="minor"/>
      </rPr>
      <t>Concurrent users includes ALL users in the Manage environment, including industry solutions and mobile user</t>
    </r>
  </si>
  <si>
    <t>CAPU for enhanced DR</t>
  </si>
  <si>
    <t># of Additional APIKEYS for file transfer capability (5 API Keys per Order)</t>
  </si>
  <si>
    <t>Yes, Dev (up to 500 I/O Points) - Non HA</t>
  </si>
  <si>
    <t>Yes, Dev (up to 100 I/O Points) - Non HA</t>
  </si>
  <si>
    <t>Yes, Dev (up to 50 workers) - Non HA</t>
  </si>
  <si>
    <t>Yes, Dev (1 consurrent users) - Non HA</t>
  </si>
  <si>
    <t>Yes, Dev (1 concurrent user) - Non HA</t>
  </si>
  <si>
    <t>Small (up to 4 concurrent users) - Non HA</t>
  </si>
  <si>
    <t>safety</t>
  </si>
  <si>
    <t xml:space="preserve">BUG:  adding safety or monitor with IOTP dependencys seems to work for prod, but no checking for each non prod environment </t>
  </si>
  <si>
    <t>Discovery GB and assist gb</t>
  </si>
  <si>
    <t>Working Area</t>
  </si>
  <si>
    <t>Production Environment Size of Application Environment</t>
  </si>
  <si>
    <t>Corrected MVI PoC logic error</t>
  </si>
  <si>
    <t>Subtotals for MAS Core:</t>
  </si>
  <si>
    <t>Provision any non-Production MAS Core Environment?</t>
  </si>
  <si>
    <t xml:space="preserve">Yes, xSmall (1 concurrent user) - Non HA </t>
  </si>
  <si>
    <t>Yes, Small (up to 4 concurrent users) - Non HA</t>
  </si>
  <si>
    <t xml:space="preserve">FTE Prod </t>
  </si>
  <si>
    <t>GPU Costs</t>
  </si>
  <si>
    <r>
      <rPr>
        <sz val="12"/>
        <color theme="5" tint="0.39997558519241921"/>
        <rFont val="Calibri (Body)"/>
      </rPr>
      <t>NOTE</t>
    </r>
    <r>
      <rPr>
        <sz val="12"/>
        <color theme="1"/>
        <rFont val="Calibri"/>
        <family val="2"/>
        <scheme val="minor"/>
      </rPr>
      <t>: No non-productions are inlcuded in above production, order below exactly the # needed</t>
    </r>
  </si>
  <si>
    <r>
      <t>Select size of the 1st non-production</t>
    </r>
    <r>
      <rPr>
        <sz val="12"/>
        <color theme="5" tint="0.39997558519241921"/>
        <rFont val="Calibri"/>
        <family val="2"/>
        <scheme val="minor"/>
      </rPr>
      <t xml:space="preserve"> </t>
    </r>
    <r>
      <rPr>
        <sz val="12"/>
        <color theme="5" tint="0.39997558519241921"/>
        <rFont val="Calibri (Body)"/>
      </rPr>
      <t>(A producion manage MUST have at least 1 nonprod):</t>
    </r>
  </si>
  <si>
    <t>Corrected external dependencies error</t>
  </si>
  <si>
    <t>capu1st nonprod</t>
  </si>
  <si>
    <t>Additional Infrastructure Required</t>
  </si>
  <si>
    <t>Compute (Number VPCs)</t>
  </si>
  <si>
    <t>Storage (# of GBs)</t>
  </si>
  <si>
    <t>GB*undercharge</t>
  </si>
  <si>
    <t>Cost per GB month</t>
  </si>
  <si>
    <t>Added beyond large manage preliminary sizing support</t>
  </si>
  <si>
    <t>Done</t>
  </si>
  <si>
    <t>cappacity addons for anything other than dev add back actra FTE - need to fix in the future (fixed for manage)</t>
  </si>
  <si>
    <t>adding VPC or GBs to recommendation (added but will hide in this release)</t>
  </si>
  <si>
    <t xml:space="preserve">MAS Industry Solutions </t>
  </si>
  <si>
    <t>Provision a Production Health Environment?</t>
  </si>
  <si>
    <t xml:space="preserve">Enable stand alone health application - in it own tab </t>
  </si>
  <si>
    <t>This calculation assumes about 10 hazards/worker/shift and a location update intervall of 5 minutes during shift.</t>
  </si>
  <si>
    <t>Corrected a Monitor formula error</t>
  </si>
  <si>
    <t>Added Health and Predict - Utilities</t>
  </si>
  <si>
    <t>hputilities</t>
  </si>
  <si>
    <t>Ontop of Health</t>
  </si>
  <si>
    <t>Ontop of Health &amp; Predict</t>
  </si>
  <si>
    <r>
      <t xml:space="preserve">Select size of production, based number of </t>
    </r>
    <r>
      <rPr>
        <b/>
        <sz val="12"/>
        <color theme="1"/>
        <rFont val="Calibri"/>
        <family val="2"/>
        <scheme val="minor"/>
      </rPr>
      <t>asset classes</t>
    </r>
    <r>
      <rPr>
        <sz val="12"/>
        <color theme="1"/>
        <rFont val="Calibri"/>
        <family val="2"/>
        <scheme val="minor"/>
      </rPr>
      <t xml:space="preserve"> in the environment:</t>
    </r>
  </si>
  <si>
    <t>HPUtilities</t>
  </si>
  <si>
    <t>xSmall (1 concurrent users) - Non HA</t>
  </si>
  <si>
    <t xml:space="preserve">xSmall (up to 5 asset classes) </t>
  </si>
  <si>
    <t xml:space="preserve">Small (up to 10 asset classes) </t>
  </si>
  <si>
    <t xml:space="preserve">Medium (up to 30 asset classes) </t>
  </si>
  <si>
    <t xml:space="preserve">Large (up to 50 asset classes) </t>
  </si>
  <si>
    <t xml:space="preserve">Beyond Large (above 50 asset classes) </t>
  </si>
  <si>
    <t>HP Utilties</t>
  </si>
  <si>
    <t xml:space="preserve">Ontop of health </t>
  </si>
  <si>
    <t>ontop HP</t>
  </si>
  <si>
    <t>watson studio</t>
  </si>
  <si>
    <t>studio db data</t>
  </si>
  <si>
    <t>CapU</t>
  </si>
  <si>
    <t>HP Utilites Warnings</t>
  </si>
  <si>
    <t>beyond large</t>
  </si>
  <si>
    <t>enabled w/ no szie</t>
  </si>
  <si>
    <t>size not enabl</t>
  </si>
  <si>
    <r>
      <t xml:space="preserve">Health and Predict Utilities Production </t>
    </r>
    <r>
      <rPr>
        <sz val="12"/>
        <color theme="1"/>
        <rFont val="Calibri"/>
        <family val="2"/>
        <scheme val="minor"/>
      </rPr>
      <t>(NOTE: Health is a prerequisite for Health &amp; Predict Utilities)</t>
    </r>
  </si>
  <si>
    <t>GB DB Addn Non prod</t>
  </si>
  <si>
    <t>VPC Need for watson studio (only if predict is not deployed )</t>
  </si>
  <si>
    <t>MAS Managed Service Calculator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</si>
</sst>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quot;$&quot;* #,##0_);_(&quot;$&quot;* \(#,##0\);_(&quot;$&quot;* &quot;-&quot;??_);_(@_)"/>
    <numFmt numFmtId="165" formatCode="0.0"/>
    <numFmt numFmtId="166" formatCode="_(&quot;$&quot;* #,##0.000_);_(&quot;$&quot;* \(#,##0.000\);_(&quot;$&quot;* &quot;-&quot;??_);_(@_)"/>
    <numFmt numFmtId="167" formatCode="_([$$-409]* #,##0.00_);_([$$-409]* \(#,##0.00\);_([$$-409]* &quot;-&quot;??_);_(@_)"/>
    <numFmt numFmtId="168" formatCode="_(&quot;$&quot;* #,##0.00000_);_(&quot;$&quot;* \(#,##0.00000\);_(&quot;$&quot;* &quot;-&quot;??_);_(@_)"/>
    <numFmt numFmtId="169" formatCode="_(&quot;$&quot;* #,##0.0000_);_(&quot;$&quot;* \(#,##0.0000\);_(&quot;$&quot;* &quot;-&quot;??_);_(@_)"/>
    <numFmt numFmtId="170" formatCode="_(&quot;$&quot;* #,##0.0_);_(&quot;$&quot;* \(#,##0.0\);_(&quot;$&quot;* &quot;-&quot;??_);_(@_)"/>
    <numFmt numFmtId="171" formatCode="_(* #,##0_);_(* \(#,##0\);_(* &quot;-&quot;??_);_(@_)"/>
    <numFmt numFmtId="172" formatCode="&quot;$&quot;#,##0"/>
    <numFmt numFmtId="173" formatCode="&quot;$&quot;#,##0.00"/>
    <numFmt numFmtId="174" formatCode="_(* #,##0.0_);_(* \(#,##0.0\);_(* &quot;-&quot;??_);_(@_)"/>
    <numFmt numFmtId="175" formatCode="0.00000"/>
    <numFmt numFmtId="176" formatCode="0.0%"/>
    <numFmt numFmtId="177" formatCode="_(* #,##0.0_);_(* \(#,##0.0\);_(* &quot;-&quot;?_);_(@_)"/>
  </numFmts>
  <fonts count="5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1"/>
      <color theme="1"/>
      <name val="Calibri"/>
      <family val="2"/>
      <scheme val="minor"/>
    </font>
    <font>
      <b/>
      <sz val="11"/>
      <color rgb="FF000000"/>
      <name val="Calibri"/>
      <family val="2"/>
    </font>
    <font>
      <sz val="11"/>
      <color theme="1"/>
      <name val="Calibri"/>
      <family val="2"/>
      <scheme val="minor"/>
    </font>
    <font>
      <sz val="10"/>
      <color theme="1"/>
      <name val="Calibri"/>
      <family val="2"/>
      <scheme val="minor"/>
    </font>
    <font>
      <sz val="12"/>
      <color rgb="FF000000"/>
      <name val="Calibri"/>
      <family val="2"/>
      <scheme val="minor"/>
    </font>
    <font>
      <b/>
      <sz val="12"/>
      <name val="Calibri"/>
      <family val="2"/>
      <scheme val="minor"/>
    </font>
    <font>
      <sz val="12"/>
      <name val="Calibri"/>
      <family val="2"/>
      <scheme val="minor"/>
    </font>
    <font>
      <sz val="10"/>
      <color rgb="FF000000"/>
      <name val="Tahoma"/>
      <family val="2"/>
    </font>
    <font>
      <b/>
      <sz val="11"/>
      <color theme="0"/>
      <name val="Calibri"/>
      <family val="2"/>
      <scheme val="minor"/>
    </font>
    <font>
      <sz val="11"/>
      <color theme="2" tint="-9.9948118533890809E-2"/>
      <name val="Calibri"/>
      <family val="2"/>
      <scheme val="minor"/>
    </font>
    <font>
      <sz val="11"/>
      <color theme="0"/>
      <name val="Calibri"/>
      <family val="2"/>
      <scheme val="minor"/>
    </font>
    <font>
      <sz val="12"/>
      <color theme="2" tint="-9.9948118533890809E-2"/>
      <name val="Calibri"/>
      <family val="2"/>
      <scheme val="minor"/>
    </font>
    <font>
      <sz val="11"/>
      <name val="Calibri"/>
      <family val="2"/>
      <scheme val="minor"/>
    </font>
    <font>
      <sz val="11"/>
      <color theme="2"/>
      <name val="Calibri"/>
      <family val="2"/>
      <scheme val="minor"/>
    </font>
    <font>
      <sz val="11"/>
      <color rgb="FF0070C0"/>
      <name val="Calibri"/>
      <family val="2"/>
      <scheme val="minor"/>
    </font>
    <font>
      <sz val="11"/>
      <color rgb="FF00B0F0"/>
      <name val="Calibri"/>
      <family val="2"/>
      <scheme val="minor"/>
    </font>
    <font>
      <sz val="12"/>
      <color rgb="FF00B0F0"/>
      <name val="Calibri"/>
      <family val="2"/>
      <scheme val="minor"/>
    </font>
    <font>
      <sz val="11"/>
      <color theme="0" tint="-0.14999847407452621"/>
      <name val="Calibri"/>
      <family val="2"/>
      <scheme val="minor"/>
    </font>
    <font>
      <sz val="12"/>
      <color theme="0" tint="-0.14999847407452621"/>
      <name val="Calibri"/>
      <family val="2"/>
      <scheme val="minor"/>
    </font>
    <font>
      <sz val="11"/>
      <color theme="8"/>
      <name val="Calibri"/>
      <family val="2"/>
      <scheme val="minor"/>
    </font>
    <font>
      <b/>
      <sz val="14"/>
      <color theme="0"/>
      <name val="Calibri"/>
      <family val="2"/>
      <scheme val="minor"/>
    </font>
    <font>
      <b/>
      <sz val="11"/>
      <color theme="0" tint="-0.14999847407452621"/>
      <name val="Calibri"/>
      <family val="2"/>
      <scheme val="minor"/>
    </font>
    <font>
      <b/>
      <sz val="12"/>
      <color theme="0" tint="-0.14999847407452621"/>
      <name val="Calibri"/>
      <family val="2"/>
      <scheme val="minor"/>
    </font>
    <font>
      <i/>
      <sz val="12"/>
      <name val="Calibri"/>
      <family val="2"/>
      <scheme val="minor"/>
    </font>
    <font>
      <b/>
      <sz val="11"/>
      <name val="Calibri"/>
      <family val="2"/>
      <scheme val="minor"/>
    </font>
    <font>
      <b/>
      <sz val="12"/>
      <color rgb="FFFF0000"/>
      <name val="Calibri"/>
      <family val="2"/>
      <scheme val="minor"/>
    </font>
    <font>
      <sz val="8"/>
      <name val="Calibri"/>
      <family val="2"/>
      <scheme val="minor"/>
    </font>
    <font>
      <u/>
      <sz val="12"/>
      <color theme="10"/>
      <name val="Calibri"/>
      <family val="2"/>
      <scheme val="minor"/>
    </font>
    <font>
      <sz val="10"/>
      <color rgb="FF000000"/>
      <name val="Calibri"/>
      <family val="2"/>
      <scheme val="minor"/>
    </font>
    <font>
      <b/>
      <sz val="10"/>
      <color rgb="FF000000"/>
      <name val="Calibri"/>
      <family val="2"/>
      <scheme val="minor"/>
    </font>
    <font>
      <sz val="10"/>
      <color rgb="FFFF0000"/>
      <name val="Calibri"/>
      <family val="2"/>
      <scheme val="minor"/>
    </font>
    <font>
      <u/>
      <sz val="10"/>
      <color theme="10"/>
      <name val="Calibri"/>
      <family val="2"/>
      <scheme val="minor"/>
    </font>
    <font>
      <u/>
      <sz val="11"/>
      <color theme="10"/>
      <name val="Calibri"/>
      <family val="2"/>
      <scheme val="minor"/>
    </font>
    <font>
      <b/>
      <sz val="12"/>
      <color theme="5" tint="-0.499984740745262"/>
      <name val="Calibri"/>
      <family val="2"/>
    </font>
    <font>
      <sz val="9"/>
      <color rgb="FFFF0000"/>
      <name val="Calibri"/>
      <family val="2"/>
      <scheme val="minor"/>
    </font>
    <font>
      <sz val="9"/>
      <color theme="1"/>
      <name val="Calibri"/>
      <family val="2"/>
      <scheme val="minor"/>
    </font>
    <font>
      <sz val="11"/>
      <color rgb="FF000000"/>
      <name val="Calibri"/>
      <family val="2"/>
      <scheme val="minor"/>
    </font>
    <font>
      <sz val="10"/>
      <name val="Calibri"/>
      <family val="2"/>
      <scheme val="minor"/>
    </font>
    <font>
      <b/>
      <sz val="10"/>
      <name val="Calibri"/>
      <family val="2"/>
      <scheme val="minor"/>
    </font>
    <font>
      <sz val="11"/>
      <color theme="1"/>
      <name val="Calibri (Body)"/>
    </font>
    <font>
      <b/>
      <sz val="11"/>
      <color theme="1"/>
      <name val="Calibri (Body)"/>
    </font>
    <font>
      <b/>
      <sz val="11"/>
      <color rgb="FF000000"/>
      <name val="Calibri (Body)"/>
    </font>
    <font>
      <u/>
      <sz val="11"/>
      <color theme="10"/>
      <name val="Calibri (Body)"/>
    </font>
    <font>
      <b/>
      <u/>
      <sz val="11"/>
      <color theme="1"/>
      <name val="Calibri (Body)"/>
    </font>
    <font>
      <sz val="11"/>
      <color rgb="FFFF0000"/>
      <name val="Calibri (Body)"/>
    </font>
    <font>
      <sz val="11"/>
      <color rgb="FF000000"/>
      <name val="Calibri (Body)"/>
    </font>
    <font>
      <sz val="11"/>
      <name val="Calibri (Body)"/>
    </font>
    <font>
      <sz val="12"/>
      <color theme="5" tint="0.39997558519241921"/>
      <name val="Calibri (Body)"/>
    </font>
    <font>
      <sz val="12"/>
      <color theme="5" tint="0.39997558519241921"/>
      <name val="Calibri"/>
      <family val="2"/>
      <scheme val="minor"/>
    </font>
    <font>
      <sz val="13"/>
      <color rgb="FF121212"/>
      <name val="Arial"/>
      <family val="2"/>
    </font>
    <font>
      <sz val="11"/>
      <color rgb="FFFF0000"/>
      <name val="Calibri"/>
      <family val="2"/>
      <scheme val="minor"/>
    </font>
    <font>
      <sz val="14"/>
      <color rgb="FFFF00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002060"/>
        <bgColor indexed="64"/>
      </patternFill>
    </fill>
    <fill>
      <patternFill patternType="solid">
        <fgColor rgb="FFFFFFF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8" tint="-0.249977111117893"/>
        <bgColor indexed="64"/>
      </patternFill>
    </fill>
  </fills>
  <borders count="10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medium">
        <color indexed="64"/>
      </right>
      <top/>
      <bottom style="medium">
        <color indexed="64"/>
      </bottom>
      <diagonal/>
    </border>
    <border>
      <left style="medium">
        <color theme="4"/>
      </left>
      <right/>
      <top style="medium">
        <color theme="4"/>
      </top>
      <bottom/>
      <diagonal/>
    </border>
    <border>
      <left/>
      <right style="thin">
        <color theme="4"/>
      </right>
      <top style="medium">
        <color theme="4"/>
      </top>
      <bottom/>
      <diagonal/>
    </border>
    <border>
      <left style="thin">
        <color theme="4"/>
      </left>
      <right style="thin">
        <color theme="4"/>
      </right>
      <top style="medium">
        <color theme="4"/>
      </top>
      <bottom/>
      <diagonal/>
    </border>
    <border>
      <left/>
      <right/>
      <top style="medium">
        <color theme="4"/>
      </top>
      <bottom/>
      <diagonal/>
    </border>
    <border>
      <left style="medium">
        <color theme="4"/>
      </left>
      <right/>
      <top/>
      <bottom/>
      <diagonal/>
    </border>
    <border>
      <left/>
      <right style="thin">
        <color theme="4"/>
      </right>
      <top/>
      <bottom/>
      <diagonal/>
    </border>
    <border>
      <left style="thin">
        <color theme="4"/>
      </left>
      <right style="thin">
        <color theme="4"/>
      </right>
      <top/>
      <bottom/>
      <diagonal/>
    </border>
    <border>
      <left style="medium">
        <color theme="4"/>
      </left>
      <right/>
      <top/>
      <bottom style="medium">
        <color theme="4"/>
      </bottom>
      <diagonal/>
    </border>
    <border>
      <left/>
      <right style="thin">
        <color theme="4"/>
      </right>
      <top/>
      <bottom style="medium">
        <color theme="4"/>
      </bottom>
      <diagonal/>
    </border>
    <border>
      <left style="thin">
        <color theme="4"/>
      </left>
      <right style="thin">
        <color theme="4"/>
      </right>
      <top/>
      <bottom style="medium">
        <color theme="4"/>
      </bottom>
      <diagonal/>
    </border>
    <border>
      <left/>
      <right/>
      <top/>
      <bottom style="medium">
        <color theme="4"/>
      </bottom>
      <diagonal/>
    </border>
    <border>
      <left style="medium">
        <color theme="1"/>
      </left>
      <right/>
      <top style="medium">
        <color theme="1"/>
      </top>
      <bottom/>
      <diagonal/>
    </border>
    <border>
      <left/>
      <right style="thin">
        <color theme="4"/>
      </right>
      <top style="medium">
        <color theme="1"/>
      </top>
      <bottom/>
      <diagonal/>
    </border>
    <border>
      <left/>
      <right/>
      <top style="medium">
        <color theme="1"/>
      </top>
      <bottom/>
      <diagonal/>
    </border>
    <border>
      <left style="thin">
        <color theme="1"/>
      </left>
      <right/>
      <top style="medium">
        <color theme="1"/>
      </top>
      <bottom/>
      <diagonal/>
    </border>
    <border>
      <left style="thin">
        <color indexed="64"/>
      </left>
      <right style="thin">
        <color theme="4"/>
      </right>
      <top style="thin">
        <color indexed="64"/>
      </top>
      <bottom/>
      <diagonal/>
    </border>
    <border>
      <left/>
      <right style="thin">
        <color indexed="64"/>
      </right>
      <top style="thin">
        <color indexed="64"/>
      </top>
      <bottom/>
      <diagonal/>
    </border>
    <border>
      <left/>
      <right style="medium">
        <color theme="1"/>
      </right>
      <top style="medium">
        <color theme="1"/>
      </top>
      <bottom/>
      <diagonal/>
    </border>
    <border>
      <left style="medium">
        <color theme="1"/>
      </left>
      <right/>
      <top/>
      <bottom/>
      <diagonal/>
    </border>
    <border>
      <left style="thin">
        <color theme="1"/>
      </left>
      <right/>
      <top/>
      <bottom/>
      <diagonal/>
    </border>
    <border>
      <left/>
      <right style="medium">
        <color theme="1"/>
      </right>
      <top/>
      <bottom/>
      <diagonal/>
    </border>
    <border>
      <left style="medium">
        <color theme="1"/>
      </left>
      <right/>
      <top/>
      <bottom style="medium">
        <color theme="1"/>
      </bottom>
      <diagonal/>
    </border>
    <border>
      <left/>
      <right style="thin">
        <color theme="4"/>
      </right>
      <top/>
      <bottom style="medium">
        <color theme="1"/>
      </bottom>
      <diagonal/>
    </border>
    <border>
      <left/>
      <right/>
      <top/>
      <bottom style="medium">
        <color theme="1"/>
      </bottom>
      <diagonal/>
    </border>
    <border>
      <left style="thin">
        <color theme="1"/>
      </left>
      <right/>
      <top/>
      <bottom style="medium">
        <color theme="1"/>
      </bottom>
      <diagonal/>
    </border>
    <border>
      <left style="thin">
        <color indexed="64"/>
      </left>
      <right/>
      <top/>
      <bottom style="medium">
        <color theme="1"/>
      </bottom>
      <diagonal/>
    </border>
    <border>
      <left style="medium">
        <color rgb="FF000000"/>
      </left>
      <right/>
      <top style="medium">
        <color rgb="FF000000"/>
      </top>
      <bottom style="medium">
        <color rgb="FF000000"/>
      </bottom>
      <diagonal/>
    </border>
    <border>
      <left/>
      <right style="thin">
        <color theme="4"/>
      </right>
      <top style="medium">
        <color rgb="FF000000"/>
      </top>
      <bottom style="medium">
        <color rgb="FF000000"/>
      </bottom>
      <diagonal/>
    </border>
    <border>
      <left/>
      <right/>
      <top style="medium">
        <color rgb="FF000000"/>
      </top>
      <bottom style="medium">
        <color rgb="FF000000"/>
      </bottom>
      <diagonal/>
    </border>
    <border>
      <left/>
      <right style="thin">
        <color theme="4"/>
      </right>
      <top style="medium">
        <color indexed="64"/>
      </top>
      <bottom style="medium">
        <color indexed="64"/>
      </bottom>
      <diagonal/>
    </border>
    <border>
      <left style="medium">
        <color rgb="FF000000"/>
      </left>
      <right/>
      <top style="medium">
        <color rgb="FF000000"/>
      </top>
      <bottom/>
      <diagonal/>
    </border>
    <border>
      <left style="medium">
        <color theme="4"/>
      </left>
      <right/>
      <top style="medium">
        <color rgb="FF000000"/>
      </top>
      <bottom/>
      <diagonal/>
    </border>
    <border>
      <left style="thin">
        <color theme="4"/>
      </left>
      <right style="thin">
        <color theme="4"/>
      </right>
      <top style="medium">
        <color rgb="FF000000"/>
      </top>
      <bottom/>
      <diagonal/>
    </border>
    <border>
      <left/>
      <right/>
      <top style="medium">
        <color rgb="FF000000"/>
      </top>
      <bottom/>
      <diagonal/>
    </border>
    <border>
      <left/>
      <right style="thin">
        <color theme="4"/>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theme="4"/>
      </left>
      <right/>
      <top/>
      <bottom/>
      <diagonal/>
    </border>
    <border>
      <left style="medium">
        <color rgb="FF000000"/>
      </left>
      <right/>
      <top/>
      <bottom style="medium">
        <color rgb="FF000000"/>
      </bottom>
      <diagonal/>
    </border>
    <border>
      <left/>
      <right style="thin">
        <color theme="4"/>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cellStyleXfs>
  <cellXfs count="663">
    <xf numFmtId="0" fontId="0" fillId="0" borderId="0" xfId="0"/>
    <xf numFmtId="0" fontId="0" fillId="0" borderId="0" xfId="0" applyAlignment="1">
      <alignment horizontal="right"/>
    </xf>
    <xf numFmtId="0" fontId="3" fillId="0" borderId="0" xfId="0" applyFont="1"/>
    <xf numFmtId="0" fontId="6" fillId="0" borderId="0" xfId="0" applyFont="1"/>
    <xf numFmtId="0" fontId="0" fillId="2" borderId="4" xfId="0" applyFill="1" applyBorder="1" applyAlignment="1">
      <alignment horizontal="center"/>
    </xf>
    <xf numFmtId="0" fontId="0" fillId="0" borderId="0" xfId="0" applyBorder="1"/>
    <xf numFmtId="0" fontId="10" fillId="0" borderId="0" xfId="0" applyFont="1"/>
    <xf numFmtId="164" fontId="0" fillId="0" borderId="0" xfId="0" applyNumberFormat="1"/>
    <xf numFmtId="44" fontId="0" fillId="0" borderId="0" xfId="0" applyNumberFormat="1"/>
    <xf numFmtId="9" fontId="0" fillId="0" borderId="0" xfId="2" applyFont="1"/>
    <xf numFmtId="0" fontId="2" fillId="0" borderId="0" xfId="0" applyFont="1"/>
    <xf numFmtId="9" fontId="0" fillId="0" borderId="0" xfId="0" applyNumberFormat="1"/>
    <xf numFmtId="0" fontId="12" fillId="4" borderId="26" xfId="0" applyFont="1" applyFill="1" applyBorder="1"/>
    <xf numFmtId="0" fontId="12" fillId="4" borderId="27" xfId="0" applyFont="1" applyFill="1" applyBorder="1"/>
    <xf numFmtId="0" fontId="13" fillId="5" borderId="28" xfId="0" applyFont="1" applyFill="1" applyBorder="1" applyAlignment="1">
      <alignment horizontal="center"/>
    </xf>
    <xf numFmtId="0" fontId="14" fillId="5" borderId="29" xfId="0" applyFont="1" applyFill="1" applyBorder="1" applyAlignment="1">
      <alignment horizontal="center"/>
    </xf>
    <xf numFmtId="0" fontId="14" fillId="5" borderId="27" xfId="0" applyFont="1" applyFill="1" applyBorder="1" applyAlignment="1">
      <alignment horizontal="center"/>
    </xf>
    <xf numFmtId="0" fontId="0" fillId="6" borderId="30" xfId="0" applyFill="1" applyBorder="1"/>
    <xf numFmtId="0" fontId="0" fillId="6" borderId="31" xfId="0" applyFill="1" applyBorder="1"/>
    <xf numFmtId="0" fontId="15" fillId="6" borderId="32" xfId="0" applyFont="1" applyFill="1" applyBorder="1"/>
    <xf numFmtId="0" fontId="0" fillId="6" borderId="0" xfId="0" applyFill="1"/>
    <xf numFmtId="0" fontId="0" fillId="3" borderId="30" xfId="0" applyFill="1" applyBorder="1"/>
    <xf numFmtId="0" fontId="0" fillId="3" borderId="31" xfId="0" applyFill="1" applyBorder="1"/>
    <xf numFmtId="0" fontId="15" fillId="3" borderId="32" xfId="0" applyFont="1" applyFill="1" applyBorder="1" applyAlignment="1">
      <alignment horizontal="right" indent="3"/>
    </xf>
    <xf numFmtId="0" fontId="0" fillId="3" borderId="0" xfId="0" applyFill="1" applyAlignment="1">
      <alignment horizontal="right" indent="3"/>
    </xf>
    <xf numFmtId="0" fontId="0" fillId="3" borderId="31" xfId="0" applyFill="1" applyBorder="1" applyAlignment="1">
      <alignment horizontal="right" indent="3"/>
    </xf>
    <xf numFmtId="0" fontId="16" fillId="0" borderId="30" xfId="0" applyFont="1" applyBorder="1"/>
    <xf numFmtId="0" fontId="17" fillId="0" borderId="31" xfId="0" applyFont="1" applyBorder="1"/>
    <xf numFmtId="0" fontId="17" fillId="0" borderId="32" xfId="0" applyFont="1" applyBorder="1" applyAlignment="1">
      <alignment horizontal="right" indent="3"/>
    </xf>
    <xf numFmtId="0" fontId="17" fillId="0" borderId="0" xfId="0" applyFont="1" applyAlignment="1">
      <alignment horizontal="right" indent="3"/>
    </xf>
    <xf numFmtId="0" fontId="17" fillId="0" borderId="31" xfId="0" applyFont="1" applyBorder="1" applyAlignment="1">
      <alignment horizontal="right" indent="3"/>
    </xf>
    <xf numFmtId="0" fontId="16" fillId="0" borderId="31" xfId="0" applyFont="1" applyBorder="1"/>
    <xf numFmtId="0" fontId="13" fillId="0" borderId="32" xfId="0" applyFont="1" applyBorder="1" applyAlignment="1">
      <alignment horizontal="right" indent="3"/>
    </xf>
    <xf numFmtId="0" fontId="16" fillId="0" borderId="0" xfId="0" applyFont="1" applyAlignment="1">
      <alignment horizontal="right" indent="3"/>
    </xf>
    <xf numFmtId="0" fontId="16" fillId="0" borderId="31" xfId="0" applyFont="1" applyBorder="1" applyAlignment="1">
      <alignment horizontal="right" indent="3"/>
    </xf>
    <xf numFmtId="0" fontId="18" fillId="0" borderId="0" xfId="0" applyFont="1" applyAlignment="1">
      <alignment horizontal="right" indent="3"/>
    </xf>
    <xf numFmtId="0" fontId="6" fillId="0" borderId="0" xfId="0" applyFont="1" applyAlignment="1">
      <alignment horizontal="right" indent="3"/>
    </xf>
    <xf numFmtId="0" fontId="19" fillId="0" borderId="0" xfId="0" applyFont="1" applyAlignment="1">
      <alignment horizontal="right" indent="3"/>
    </xf>
    <xf numFmtId="0" fontId="6" fillId="0" borderId="31" xfId="0" applyFont="1" applyBorder="1" applyAlignment="1">
      <alignment horizontal="right" indent="3"/>
    </xf>
    <xf numFmtId="0" fontId="20" fillId="0" borderId="0" xfId="0" applyFont="1" applyAlignment="1">
      <alignment horizontal="right" indent="3"/>
    </xf>
    <xf numFmtId="0" fontId="20" fillId="0" borderId="31" xfId="0" applyFont="1" applyBorder="1" applyAlignment="1">
      <alignment horizontal="right" indent="3"/>
    </xf>
    <xf numFmtId="0" fontId="21" fillId="0" borderId="30" xfId="0" applyFont="1" applyBorder="1"/>
    <xf numFmtId="0" fontId="21" fillId="0" borderId="31" xfId="0" applyFont="1" applyBorder="1"/>
    <xf numFmtId="0" fontId="21" fillId="0" borderId="32" xfId="0" applyFont="1" applyBorder="1" applyAlignment="1">
      <alignment horizontal="right" indent="3"/>
    </xf>
    <xf numFmtId="0" fontId="21" fillId="0" borderId="0" xfId="0" applyFont="1" applyAlignment="1">
      <alignment horizontal="right" indent="3"/>
    </xf>
    <xf numFmtId="0" fontId="21" fillId="0" borderId="31" xfId="0" applyFont="1" applyBorder="1" applyAlignment="1">
      <alignment horizontal="right" indent="3"/>
    </xf>
    <xf numFmtId="0" fontId="22" fillId="0" borderId="0" xfId="0" applyFont="1"/>
    <xf numFmtId="0" fontId="19" fillId="0" borderId="31" xfId="0" applyFont="1" applyBorder="1" applyAlignment="1">
      <alignment horizontal="right" indent="3"/>
    </xf>
    <xf numFmtId="0" fontId="16" fillId="0" borderId="32" xfId="0" applyFont="1" applyBorder="1" applyAlignment="1">
      <alignment horizontal="right" indent="3"/>
    </xf>
    <xf numFmtId="0" fontId="16" fillId="2" borderId="31" xfId="0" applyFont="1" applyFill="1" applyBorder="1"/>
    <xf numFmtId="0" fontId="23" fillId="0" borderId="0" xfId="0" applyFont="1" applyAlignment="1">
      <alignment horizontal="right" indent="3"/>
    </xf>
    <xf numFmtId="0" fontId="16" fillId="7" borderId="33" xfId="0" applyFont="1" applyFill="1" applyBorder="1"/>
    <xf numFmtId="0" fontId="16" fillId="7" borderId="34" xfId="0" applyFont="1" applyFill="1" applyBorder="1"/>
    <xf numFmtId="0" fontId="13" fillId="7" borderId="35" xfId="0" applyFont="1" applyFill="1" applyBorder="1" applyAlignment="1">
      <alignment horizontal="center"/>
    </xf>
    <xf numFmtId="0" fontId="19" fillId="7" borderId="36" xfId="0" applyFont="1" applyFill="1" applyBorder="1" applyAlignment="1">
      <alignment horizontal="center"/>
    </xf>
    <xf numFmtId="0" fontId="19" fillId="7" borderId="34" xfId="0" applyFont="1" applyFill="1" applyBorder="1" applyAlignment="1">
      <alignment horizontal="center"/>
    </xf>
    <xf numFmtId="0" fontId="20" fillId="0" borderId="0" xfId="0" applyFont="1"/>
    <xf numFmtId="0" fontId="24" fillId="4" borderId="37" xfId="0" applyFont="1" applyFill="1" applyBorder="1"/>
    <xf numFmtId="0" fontId="12" fillId="4" borderId="38" xfId="0" applyFont="1" applyFill="1" applyBorder="1"/>
    <xf numFmtId="0" fontId="12" fillId="4" borderId="38" xfId="0" applyFont="1" applyFill="1" applyBorder="1" applyAlignment="1">
      <alignment horizontal="center"/>
    </xf>
    <xf numFmtId="0" fontId="12" fillId="4" borderId="39" xfId="0" applyFont="1" applyFill="1" applyBorder="1" applyAlignment="1">
      <alignment horizontal="center"/>
    </xf>
    <xf numFmtId="0" fontId="12" fillId="4" borderId="40" xfId="0" applyFont="1" applyFill="1" applyBorder="1" applyAlignment="1">
      <alignment horizontal="center"/>
    </xf>
    <xf numFmtId="0" fontId="12" fillId="4" borderId="41" xfId="0" applyFont="1" applyFill="1" applyBorder="1" applyAlignment="1">
      <alignment horizontal="center"/>
    </xf>
    <xf numFmtId="0" fontId="12" fillId="4" borderId="42" xfId="0" applyFont="1" applyFill="1" applyBorder="1" applyAlignment="1">
      <alignment horizontal="center"/>
    </xf>
    <xf numFmtId="0" fontId="25" fillId="4" borderId="38" xfId="0" applyFont="1" applyFill="1" applyBorder="1" applyAlignment="1">
      <alignment horizontal="center"/>
    </xf>
    <xf numFmtId="0" fontId="25" fillId="4" borderId="43" xfId="0" applyFont="1" applyFill="1" applyBorder="1" applyAlignment="1">
      <alignment horizontal="center"/>
    </xf>
    <xf numFmtId="0" fontId="0" fillId="0" borderId="44" xfId="0" applyBorder="1"/>
    <xf numFmtId="0" fontId="0" fillId="0" borderId="31" xfId="0" applyBorder="1"/>
    <xf numFmtId="164" fontId="0" fillId="0" borderId="31" xfId="1" applyNumberFormat="1" applyFont="1" applyBorder="1"/>
    <xf numFmtId="0" fontId="0" fillId="0" borderId="45" xfId="0" applyBorder="1"/>
    <xf numFmtId="0" fontId="0" fillId="0" borderId="21" xfId="0" applyBorder="1"/>
    <xf numFmtId="164" fontId="22" fillId="0" borderId="46" xfId="1" applyNumberFormat="1" applyFont="1" applyBorder="1"/>
    <xf numFmtId="0" fontId="3" fillId="0" borderId="31" xfId="0" applyFont="1" applyBorder="1" applyAlignment="1">
      <alignment horizontal="left"/>
    </xf>
    <xf numFmtId="0" fontId="0" fillId="0" borderId="31" xfId="0" applyBorder="1" applyAlignment="1">
      <alignment horizontal="right"/>
    </xf>
    <xf numFmtId="164" fontId="0" fillId="0" borderId="31" xfId="1" applyNumberFormat="1" applyFont="1" applyFill="1" applyBorder="1"/>
    <xf numFmtId="164" fontId="22" fillId="0" borderId="46" xfId="1" applyNumberFormat="1" applyFont="1" applyFill="1" applyBorder="1"/>
    <xf numFmtId="166" fontId="0" fillId="0" borderId="31" xfId="1" applyNumberFormat="1" applyFont="1" applyBorder="1"/>
    <xf numFmtId="164" fontId="10" fillId="0" borderId="31" xfId="1" applyNumberFormat="1" applyFont="1" applyBorder="1" applyAlignment="1">
      <alignment horizontal="right"/>
    </xf>
    <xf numFmtId="164" fontId="10" fillId="0" borderId="31" xfId="1" applyNumberFormat="1" applyFont="1" applyFill="1" applyBorder="1" applyAlignment="1">
      <alignment horizontal="right"/>
    </xf>
    <xf numFmtId="0" fontId="3" fillId="0" borderId="31" xfId="0" applyFont="1" applyBorder="1"/>
    <xf numFmtId="164" fontId="0" fillId="0" borderId="31" xfId="1" applyNumberFormat="1" applyFont="1" applyBorder="1" applyAlignment="1">
      <alignment horizontal="right"/>
    </xf>
    <xf numFmtId="2" fontId="0" fillId="0" borderId="0" xfId="0" applyNumberFormat="1"/>
    <xf numFmtId="164" fontId="10" fillId="0" borderId="31" xfId="1" applyNumberFormat="1" applyFont="1" applyBorder="1"/>
    <xf numFmtId="2" fontId="22" fillId="0" borderId="0" xfId="0" applyNumberFormat="1" applyFont="1"/>
    <xf numFmtId="2" fontId="10" fillId="0" borderId="0" xfId="0" applyNumberFormat="1" applyFont="1"/>
    <xf numFmtId="165" fontId="10" fillId="0" borderId="0" xfId="0" applyNumberFormat="1" applyFont="1"/>
    <xf numFmtId="165" fontId="10" fillId="0" borderId="45" xfId="0" applyNumberFormat="1" applyFont="1" applyBorder="1"/>
    <xf numFmtId="165" fontId="10" fillId="0" borderId="21" xfId="0" applyNumberFormat="1" applyFont="1" applyBorder="1"/>
    <xf numFmtId="165" fontId="22" fillId="0" borderId="0" xfId="0" applyNumberFormat="1" applyFont="1"/>
    <xf numFmtId="0" fontId="10" fillId="0" borderId="45" xfId="0" applyFont="1" applyBorder="1"/>
    <xf numFmtId="0" fontId="10" fillId="0" borderId="21" xfId="0" applyFont="1" applyBorder="1"/>
    <xf numFmtId="44" fontId="22" fillId="0" borderId="46" xfId="1" applyFont="1" applyBorder="1"/>
    <xf numFmtId="0" fontId="16" fillId="7" borderId="47" xfId="0" applyFont="1" applyFill="1" applyBorder="1"/>
    <xf numFmtId="0" fontId="9" fillId="7" borderId="48" xfId="0" applyFont="1" applyFill="1" applyBorder="1"/>
    <xf numFmtId="0" fontId="9" fillId="7" borderId="48" xfId="0" applyFont="1" applyFill="1" applyBorder="1" applyAlignment="1">
      <alignment horizontal="right" indent="3"/>
    </xf>
    <xf numFmtId="164" fontId="9" fillId="7" borderId="49" xfId="0" applyNumberFormat="1" applyFont="1" applyFill="1" applyBorder="1" applyAlignment="1">
      <alignment horizontal="right" indent="3"/>
    </xf>
    <xf numFmtId="164" fontId="9" fillId="7" borderId="48" xfId="1" applyNumberFormat="1" applyFont="1" applyFill="1" applyBorder="1" applyAlignment="1">
      <alignment horizontal="right" indent="3"/>
    </xf>
    <xf numFmtId="164" fontId="9" fillId="7" borderId="49" xfId="1" applyNumberFormat="1" applyFont="1" applyFill="1" applyBorder="1" applyAlignment="1">
      <alignment horizontal="right" indent="3"/>
    </xf>
    <xf numFmtId="164" fontId="9" fillId="7" borderId="50" xfId="1" applyNumberFormat="1" applyFont="1" applyFill="1" applyBorder="1" applyAlignment="1">
      <alignment horizontal="right" indent="3"/>
    </xf>
    <xf numFmtId="164" fontId="9" fillId="7" borderId="51" xfId="1" applyNumberFormat="1" applyFont="1" applyFill="1" applyBorder="1" applyAlignment="1">
      <alignment horizontal="right" indent="3"/>
    </xf>
    <xf numFmtId="164" fontId="26" fillId="7" borderId="49" xfId="1" applyNumberFormat="1" applyFont="1" applyFill="1" applyBorder="1" applyAlignment="1">
      <alignment horizontal="right" indent="3"/>
    </xf>
    <xf numFmtId="0" fontId="16" fillId="7" borderId="52" xfId="0" applyFont="1" applyFill="1" applyBorder="1"/>
    <xf numFmtId="0" fontId="9" fillId="7" borderId="53" xfId="0" applyFont="1" applyFill="1" applyBorder="1"/>
    <xf numFmtId="0" fontId="9" fillId="7" borderId="53" xfId="0" applyFont="1" applyFill="1" applyBorder="1" applyAlignment="1">
      <alignment horizontal="center"/>
    </xf>
    <xf numFmtId="0" fontId="9" fillId="7" borderId="54" xfId="0" applyFont="1" applyFill="1" applyBorder="1" applyAlignment="1">
      <alignment horizontal="center"/>
    </xf>
    <xf numFmtId="164" fontId="9" fillId="7" borderId="53" xfId="1" applyNumberFormat="1" applyFont="1" applyFill="1" applyBorder="1" applyAlignment="1">
      <alignment horizontal="center"/>
    </xf>
    <xf numFmtId="44" fontId="9" fillId="7" borderId="54" xfId="1" applyFont="1" applyFill="1" applyBorder="1" applyAlignment="1">
      <alignment horizontal="center"/>
    </xf>
    <xf numFmtId="44" fontId="26" fillId="7" borderId="54" xfId="1" applyFont="1" applyFill="1" applyBorder="1" applyAlignment="1">
      <alignment horizontal="center"/>
    </xf>
    <xf numFmtId="44" fontId="26" fillId="7" borderId="53" xfId="1" applyFont="1" applyFill="1" applyBorder="1" applyAlignment="1">
      <alignment horizontal="center"/>
    </xf>
    <xf numFmtId="2" fontId="27" fillId="0" borderId="0" xfId="0" applyNumberFormat="1" applyFont="1"/>
    <xf numFmtId="0" fontId="10" fillId="0" borderId="44" xfId="0" applyFont="1" applyBorder="1"/>
    <xf numFmtId="0" fontId="10" fillId="0" borderId="31" xfId="0" applyFont="1" applyBorder="1" applyAlignment="1">
      <alignment horizontal="right"/>
    </xf>
    <xf numFmtId="44" fontId="10" fillId="0" borderId="46" xfId="1" applyFont="1" applyBorder="1"/>
    <xf numFmtId="2" fontId="10" fillId="0" borderId="45" xfId="0" applyNumberFormat="1" applyFont="1" applyBorder="1"/>
    <xf numFmtId="2" fontId="10" fillId="0" borderId="21" xfId="0" applyNumberFormat="1" applyFont="1" applyBorder="1"/>
    <xf numFmtId="2" fontId="9" fillId="7" borderId="49" xfId="0" applyNumberFormat="1" applyFont="1" applyFill="1" applyBorder="1" applyAlignment="1">
      <alignment horizontal="right" indent="3"/>
    </xf>
    <xf numFmtId="0" fontId="16" fillId="7" borderId="7" xfId="0" applyFont="1" applyFill="1" applyBorder="1"/>
    <xf numFmtId="0" fontId="9" fillId="7" borderId="55" xfId="0" applyFont="1" applyFill="1" applyBorder="1"/>
    <xf numFmtId="0" fontId="9" fillId="7" borderId="55" xfId="0" applyFont="1" applyFill="1" applyBorder="1" applyAlignment="1">
      <alignment horizontal="center"/>
    </xf>
    <xf numFmtId="0" fontId="9" fillId="7" borderId="20" xfId="0" applyFont="1" applyFill="1" applyBorder="1" applyAlignment="1">
      <alignment horizontal="center"/>
    </xf>
    <xf numFmtId="164" fontId="9" fillId="7" borderId="55" xfId="1" applyNumberFormat="1" applyFont="1" applyFill="1" applyBorder="1" applyAlignment="1">
      <alignment horizontal="center"/>
    </xf>
    <xf numFmtId="44" fontId="9" fillId="7" borderId="20" xfId="1" applyFont="1" applyFill="1" applyBorder="1" applyAlignment="1">
      <alignment horizontal="center"/>
    </xf>
    <xf numFmtId="44" fontId="26" fillId="7" borderId="20" xfId="1" applyFont="1" applyFill="1" applyBorder="1" applyAlignment="1">
      <alignment horizontal="center"/>
    </xf>
    <xf numFmtId="1" fontId="0" fillId="0" borderId="0" xfId="0" applyNumberFormat="1"/>
    <xf numFmtId="44" fontId="2" fillId="0" borderId="0" xfId="1" applyFont="1"/>
    <xf numFmtId="44" fontId="0" fillId="0" borderId="0" xfId="1" applyFont="1"/>
    <xf numFmtId="0" fontId="24" fillId="4" borderId="56" xfId="0" applyFont="1" applyFill="1" applyBorder="1"/>
    <xf numFmtId="0" fontId="24" fillId="4" borderId="57" xfId="0" applyFont="1" applyFill="1" applyBorder="1"/>
    <xf numFmtId="0" fontId="14" fillId="8" borderId="58" xfId="0" applyFont="1" applyFill="1" applyBorder="1" applyAlignment="1">
      <alignment horizontal="center"/>
    </xf>
    <xf numFmtId="0" fontId="14" fillId="8" borderId="59" xfId="0" applyFont="1" applyFill="1" applyBorder="1" applyAlignment="1">
      <alignment horizontal="center"/>
    </xf>
    <xf numFmtId="0" fontId="14" fillId="8" borderId="60" xfId="0" applyFont="1" applyFill="1" applyBorder="1" applyAlignment="1">
      <alignment horizontal="center"/>
    </xf>
    <xf numFmtId="0" fontId="14" fillId="8" borderId="61" xfId="0" applyFont="1" applyFill="1" applyBorder="1" applyAlignment="1">
      <alignment horizontal="center"/>
    </xf>
    <xf numFmtId="0" fontId="21" fillId="8" borderId="59" xfId="0" applyFont="1" applyFill="1" applyBorder="1" applyAlignment="1">
      <alignment horizontal="center"/>
    </xf>
    <xf numFmtId="0" fontId="21" fillId="8" borderId="61" xfId="0" applyFont="1" applyFill="1" applyBorder="1" applyAlignment="1">
      <alignment horizontal="center"/>
    </xf>
    <xf numFmtId="0" fontId="0" fillId="0" borderId="62" xfId="0" applyBorder="1"/>
    <xf numFmtId="0" fontId="0" fillId="0" borderId="32" xfId="0" applyBorder="1"/>
    <xf numFmtId="167" fontId="0" fillId="0" borderId="31" xfId="1" applyNumberFormat="1" applyFont="1" applyBorder="1"/>
    <xf numFmtId="44" fontId="0" fillId="0" borderId="31" xfId="1" applyFont="1" applyBorder="1"/>
    <xf numFmtId="44" fontId="0" fillId="0" borderId="63" xfId="1" applyFont="1" applyBorder="1"/>
    <xf numFmtId="44" fontId="22" fillId="0" borderId="63" xfId="1" applyFont="1" applyBorder="1"/>
    <xf numFmtId="0" fontId="22" fillId="0" borderId="0" xfId="0" applyFont="1" applyAlignment="1">
      <alignment horizontal="right"/>
    </xf>
    <xf numFmtId="0" fontId="6" fillId="0" borderId="0" xfId="0" applyFont="1" applyAlignment="1">
      <alignment horizontal="right"/>
    </xf>
    <xf numFmtId="167" fontId="6" fillId="0" borderId="31" xfId="1" applyNumberFormat="1" applyFont="1" applyBorder="1"/>
    <xf numFmtId="0" fontId="6" fillId="0" borderId="32" xfId="0" applyFont="1" applyBorder="1"/>
    <xf numFmtId="44" fontId="6" fillId="0" borderId="31" xfId="1" applyFont="1" applyBorder="1"/>
    <xf numFmtId="44" fontId="6" fillId="0" borderId="63" xfId="1" applyFont="1" applyBorder="1"/>
    <xf numFmtId="0" fontId="22" fillId="0" borderId="32" xfId="0" applyFont="1" applyBorder="1"/>
    <xf numFmtId="1" fontId="0" fillId="0" borderId="32" xfId="0" applyNumberFormat="1" applyBorder="1"/>
    <xf numFmtId="1" fontId="6" fillId="0" borderId="32" xfId="0" applyNumberFormat="1" applyFont="1" applyBorder="1"/>
    <xf numFmtId="1" fontId="22" fillId="0" borderId="32" xfId="0" applyNumberFormat="1" applyFont="1" applyBorder="1"/>
    <xf numFmtId="167" fontId="10" fillId="0" borderId="31" xfId="1" applyNumberFormat="1" applyFont="1" applyBorder="1" applyAlignment="1">
      <alignment horizontal="right"/>
    </xf>
    <xf numFmtId="44" fontId="10" fillId="0" borderId="31" xfId="1" applyFont="1" applyBorder="1" applyAlignment="1">
      <alignment horizontal="right"/>
    </xf>
    <xf numFmtId="44" fontId="10" fillId="0" borderId="63" xfId="1" applyFont="1" applyBorder="1" applyAlignment="1">
      <alignment horizontal="right"/>
    </xf>
    <xf numFmtId="44" fontId="22" fillId="0" borderId="63" xfId="1" applyFont="1" applyBorder="1" applyAlignment="1">
      <alignment horizontal="right"/>
    </xf>
    <xf numFmtId="1" fontId="0" fillId="0" borderId="64" xfId="0" applyNumberFormat="1" applyBorder="1"/>
    <xf numFmtId="1" fontId="22" fillId="0" borderId="64" xfId="0" applyNumberFormat="1" applyFont="1" applyBorder="1"/>
    <xf numFmtId="167" fontId="16" fillId="0" borderId="31" xfId="1" applyNumberFormat="1" applyFont="1" applyBorder="1" applyAlignment="1">
      <alignment horizontal="right"/>
    </xf>
    <xf numFmtId="0" fontId="16" fillId="0" borderId="0" xfId="0" applyFont="1"/>
    <xf numFmtId="44" fontId="16" fillId="0" borderId="31" xfId="1" applyFont="1" applyBorder="1" applyAlignment="1">
      <alignment horizontal="right"/>
    </xf>
    <xf numFmtId="44" fontId="16" fillId="0" borderId="63" xfId="1" applyFont="1" applyBorder="1" applyAlignment="1">
      <alignment horizontal="right"/>
    </xf>
    <xf numFmtId="0" fontId="21" fillId="0" borderId="0" xfId="0" applyFont="1"/>
    <xf numFmtId="44" fontId="21" fillId="0" borderId="63" xfId="1" applyFont="1" applyBorder="1" applyAlignment="1">
      <alignment horizontal="right"/>
    </xf>
    <xf numFmtId="44" fontId="21" fillId="0" borderId="63" xfId="1" applyFont="1" applyBorder="1"/>
    <xf numFmtId="0" fontId="3" fillId="0" borderId="31" xfId="0" applyFont="1" applyBorder="1" applyAlignment="1">
      <alignment horizontal="right"/>
    </xf>
    <xf numFmtId="0" fontId="16" fillId="7" borderId="65" xfId="0" applyFont="1" applyFill="1" applyBorder="1"/>
    <xf numFmtId="0" fontId="9" fillId="7" borderId="66" xfId="0" applyFont="1" applyFill="1" applyBorder="1"/>
    <xf numFmtId="0" fontId="28" fillId="7" borderId="66" xfId="0" applyFont="1" applyFill="1" applyBorder="1" applyAlignment="1">
      <alignment horizontal="right" indent="3"/>
    </xf>
    <xf numFmtId="0" fontId="28" fillId="7" borderId="67" xfId="0" applyFont="1" applyFill="1" applyBorder="1" applyAlignment="1">
      <alignment horizontal="right" indent="3"/>
    </xf>
    <xf numFmtId="167" fontId="28" fillId="7" borderId="66" xfId="1" applyNumberFormat="1" applyFont="1" applyFill="1" applyBorder="1" applyAlignment="1">
      <alignment horizontal="right" indent="3"/>
    </xf>
    <xf numFmtId="44" fontId="28" fillId="7" borderId="67" xfId="1" applyFont="1" applyFill="1" applyBorder="1" applyAlignment="1">
      <alignment horizontal="right" indent="3"/>
    </xf>
    <xf numFmtId="44" fontId="28" fillId="7" borderId="66" xfId="1" applyFont="1" applyFill="1" applyBorder="1" applyAlignment="1">
      <alignment horizontal="right" indent="3"/>
    </xf>
    <xf numFmtId="44" fontId="28" fillId="7" borderId="68" xfId="1" applyFont="1" applyFill="1" applyBorder="1" applyAlignment="1">
      <alignment horizontal="right" indent="3"/>
    </xf>
    <xf numFmtId="44" fontId="26" fillId="7" borderId="67" xfId="1" applyFont="1" applyFill="1" applyBorder="1" applyAlignment="1">
      <alignment horizontal="right" indent="3"/>
    </xf>
    <xf numFmtId="44" fontId="26" fillId="7" borderId="68" xfId="1" applyFont="1" applyFill="1" applyBorder="1" applyAlignment="1">
      <alignment horizontal="right" indent="3"/>
    </xf>
    <xf numFmtId="0" fontId="9" fillId="9" borderId="0" xfId="0" applyFont="1" applyFill="1"/>
    <xf numFmtId="0" fontId="9" fillId="9" borderId="0" xfId="0" applyFont="1" applyFill="1" applyAlignment="1">
      <alignment horizontal="right" indent="3"/>
    </xf>
    <xf numFmtId="44" fontId="9" fillId="9" borderId="0" xfId="1" applyFont="1" applyFill="1" applyBorder="1" applyAlignment="1">
      <alignment horizontal="right" indent="3"/>
    </xf>
    <xf numFmtId="44" fontId="26" fillId="9" borderId="0" xfId="1" applyFont="1" applyFill="1" applyBorder="1" applyAlignment="1">
      <alignment horizontal="right" indent="3"/>
    </xf>
    <xf numFmtId="44" fontId="9" fillId="7" borderId="53" xfId="1" applyFont="1" applyFill="1" applyBorder="1" applyAlignment="1">
      <alignment horizontal="center"/>
    </xf>
    <xf numFmtId="44" fontId="0" fillId="0" borderId="0" xfId="1" quotePrefix="1" applyFont="1"/>
    <xf numFmtId="44" fontId="22" fillId="0" borderId="0" xfId="1" applyFont="1"/>
    <xf numFmtId="0" fontId="6" fillId="0" borderId="30" xfId="0" applyFont="1" applyBorder="1"/>
    <xf numFmtId="0" fontId="6" fillId="0" borderId="31" xfId="0" applyFont="1" applyBorder="1"/>
    <xf numFmtId="0" fontId="6" fillId="0" borderId="32" xfId="0" applyFont="1" applyBorder="1" applyAlignment="1">
      <alignment horizontal="right" indent="3"/>
    </xf>
    <xf numFmtId="44" fontId="10" fillId="0" borderId="0" xfId="1" applyFont="1"/>
    <xf numFmtId="0" fontId="10" fillId="0" borderId="31" xfId="0" applyFont="1" applyBorder="1"/>
    <xf numFmtId="168" fontId="0" fillId="0" borderId="0" xfId="1" applyNumberFormat="1" applyFont="1"/>
    <xf numFmtId="169" fontId="0" fillId="0" borderId="0" xfId="0" applyNumberFormat="1"/>
    <xf numFmtId="168" fontId="0" fillId="0" borderId="0" xfId="1" applyNumberFormat="1" applyFont="1" applyAlignment="1">
      <alignment horizontal="right"/>
    </xf>
    <xf numFmtId="168" fontId="6" fillId="0" borderId="0" xfId="1" applyNumberFormat="1" applyFont="1"/>
    <xf numFmtId="0" fontId="0" fillId="0" borderId="0" xfId="1" applyNumberFormat="1" applyFont="1" applyFill="1"/>
    <xf numFmtId="2" fontId="0" fillId="0" borderId="0" xfId="1" applyNumberFormat="1" applyFont="1"/>
    <xf numFmtId="166" fontId="0" fillId="0" borderId="0" xfId="0" applyNumberFormat="1"/>
    <xf numFmtId="0" fontId="29" fillId="0" borderId="0" xfId="0" applyFont="1"/>
    <xf numFmtId="0" fontId="10" fillId="0" borderId="0" xfId="1" applyNumberFormat="1" applyFont="1"/>
    <xf numFmtId="164" fontId="0" fillId="0" borderId="0" xfId="1" applyNumberFormat="1" applyFont="1"/>
    <xf numFmtId="164" fontId="0" fillId="2" borderId="0" xfId="1" applyNumberFormat="1" applyFont="1" applyFill="1"/>
    <xf numFmtId="0" fontId="16" fillId="0" borderId="1" xfId="0" applyFont="1" applyBorder="1" applyProtection="1">
      <protection hidden="1"/>
    </xf>
    <xf numFmtId="164" fontId="10" fillId="0" borderId="18" xfId="1" applyNumberFormat="1" applyFont="1" applyFill="1" applyBorder="1" applyProtection="1">
      <protection hidden="1"/>
    </xf>
    <xf numFmtId="164" fontId="16" fillId="0" borderId="9" xfId="1" applyNumberFormat="1" applyFont="1" applyFill="1" applyBorder="1" applyProtection="1">
      <protection hidden="1"/>
    </xf>
    <xf numFmtId="0" fontId="16" fillId="0" borderId="13" xfId="0" applyFont="1" applyBorder="1" applyProtection="1">
      <protection hidden="1"/>
    </xf>
    <xf numFmtId="164" fontId="16" fillId="0" borderId="0" xfId="1" applyNumberFormat="1" applyFont="1" applyFill="1" applyBorder="1" applyProtection="1">
      <protection hidden="1"/>
    </xf>
    <xf numFmtId="164" fontId="16" fillId="0" borderId="14" xfId="1" applyNumberFormat="1" applyFont="1" applyFill="1" applyBorder="1" applyProtection="1">
      <protection hidden="1"/>
    </xf>
    <xf numFmtId="44" fontId="16" fillId="0" borderId="0" xfId="1" applyFont="1" applyFill="1" applyBorder="1" applyProtection="1">
      <protection hidden="1"/>
    </xf>
    <xf numFmtId="44" fontId="16" fillId="0" borderId="14" xfId="1" applyFont="1" applyFill="1" applyBorder="1" applyProtection="1">
      <protection hidden="1"/>
    </xf>
    <xf numFmtId="0" fontId="16" fillId="0" borderId="15" xfId="0" applyFont="1" applyBorder="1" applyAlignment="1" applyProtection="1">
      <alignment horizontal="left"/>
      <protection hidden="1"/>
    </xf>
    <xf numFmtId="164" fontId="16" fillId="0" borderId="16" xfId="1" applyNumberFormat="1" applyFont="1" applyFill="1" applyBorder="1" applyProtection="1">
      <protection hidden="1"/>
    </xf>
    <xf numFmtId="164" fontId="16" fillId="0" borderId="17" xfId="1" applyNumberFormat="1" applyFont="1" applyFill="1" applyBorder="1" applyProtection="1">
      <protection hidden="1"/>
    </xf>
    <xf numFmtId="171" fontId="0" fillId="0" borderId="0" xfId="3" applyNumberFormat="1" applyFont="1"/>
    <xf numFmtId="44" fontId="16" fillId="0" borderId="0" xfId="1" applyNumberFormat="1" applyFont="1" applyFill="1" applyBorder="1" applyProtection="1">
      <protection hidden="1"/>
    </xf>
    <xf numFmtId="171" fontId="0" fillId="0" borderId="0" xfId="0" applyNumberFormat="1"/>
    <xf numFmtId="174" fontId="0" fillId="0" borderId="0" xfId="3" applyNumberFormat="1" applyFont="1"/>
    <xf numFmtId="175" fontId="0" fillId="0" borderId="0" xfId="0" applyNumberFormat="1"/>
    <xf numFmtId="0" fontId="0" fillId="0" borderId="80" xfId="0" applyBorder="1"/>
    <xf numFmtId="0" fontId="0" fillId="0" borderId="84" xfId="0" applyBorder="1"/>
    <xf numFmtId="0" fontId="0" fillId="0" borderId="82" xfId="0" applyBorder="1"/>
    <xf numFmtId="0" fontId="0" fillId="16" borderId="4" xfId="0" applyFill="1" applyBorder="1" applyAlignment="1">
      <alignment horizontal="right"/>
    </xf>
    <xf numFmtId="0" fontId="16" fillId="16" borderId="30" xfId="0" applyFont="1" applyFill="1" applyBorder="1"/>
    <xf numFmtId="0" fontId="16" fillId="16" borderId="31" xfId="0" applyFont="1" applyFill="1" applyBorder="1"/>
    <xf numFmtId="0" fontId="13" fillId="16" borderId="32" xfId="0" applyFont="1" applyFill="1" applyBorder="1" applyAlignment="1">
      <alignment horizontal="right" indent="3"/>
    </xf>
    <xf numFmtId="0" fontId="16" fillId="16" borderId="0" xfId="0" applyFont="1" applyFill="1" applyAlignment="1">
      <alignment horizontal="right" indent="3"/>
    </xf>
    <xf numFmtId="0" fontId="19" fillId="16" borderId="31" xfId="0" applyFont="1" applyFill="1" applyBorder="1" applyAlignment="1">
      <alignment horizontal="right" indent="3"/>
    </xf>
    <xf numFmtId="0" fontId="0" fillId="16" borderId="0" xfId="0" applyFill="1"/>
    <xf numFmtId="0" fontId="0" fillId="0" borderId="0" xfId="0" applyAlignment="1">
      <alignment horizontal="left" vertical="top"/>
    </xf>
    <xf numFmtId="0" fontId="31" fillId="0" borderId="0" xfId="4"/>
    <xf numFmtId="0" fontId="32" fillId="0" borderId="0" xfId="0" applyFont="1"/>
    <xf numFmtId="0" fontId="0" fillId="0" borderId="90" xfId="0" applyFill="1" applyBorder="1" applyAlignment="1">
      <alignment horizontal="right"/>
    </xf>
    <xf numFmtId="0" fontId="0" fillId="0" borderId="0" xfId="0" applyBorder="1" applyAlignment="1" applyProtection="1">
      <alignment horizontal="right"/>
      <protection hidden="1"/>
    </xf>
    <xf numFmtId="0" fontId="0" fillId="18" borderId="0" xfId="0" applyFill="1"/>
    <xf numFmtId="0" fontId="0" fillId="18" borderId="21" xfId="0" applyFill="1" applyBorder="1"/>
    <xf numFmtId="0" fontId="31" fillId="18" borderId="77" xfId="4" applyFill="1" applyBorder="1" applyAlignment="1">
      <alignment horizontal="center"/>
    </xf>
    <xf numFmtId="0" fontId="4" fillId="18" borderId="77" xfId="0" applyFont="1" applyFill="1" applyBorder="1" applyAlignment="1">
      <alignment horizontal="center" vertical="center"/>
    </xf>
    <xf numFmtId="0" fontId="4" fillId="18" borderId="3" xfId="0" applyFont="1" applyFill="1" applyBorder="1" applyAlignment="1">
      <alignment horizontal="center" vertical="center" wrapText="1"/>
    </xf>
    <xf numFmtId="43" fontId="0" fillId="18" borderId="3" xfId="3" applyFont="1" applyFill="1" applyBorder="1" applyAlignment="1">
      <alignment horizontal="center" vertical="center"/>
    </xf>
    <xf numFmtId="0" fontId="0" fillId="18" borderId="0" xfId="0" applyFill="1" applyBorder="1"/>
    <xf numFmtId="0" fontId="0" fillId="18" borderId="70" xfId="0" applyFill="1" applyBorder="1"/>
    <xf numFmtId="0" fontId="2" fillId="0" borderId="0" xfId="0" applyFont="1" applyFill="1" applyBorder="1" applyAlignment="1">
      <alignment horizontal="right"/>
    </xf>
    <xf numFmtId="0" fontId="40" fillId="0" borderId="0" xfId="0" applyFont="1" applyAlignment="1">
      <alignment horizontal="left" vertical="center" indent="4"/>
    </xf>
    <xf numFmtId="177" fontId="0" fillId="0" borderId="0" xfId="0" applyNumberFormat="1"/>
    <xf numFmtId="165" fontId="0" fillId="0" borderId="0" xfId="0" applyNumberFormat="1"/>
    <xf numFmtId="0" fontId="43" fillId="0" borderId="18" xfId="0" applyFont="1" applyBorder="1" applyAlignment="1" applyProtection="1">
      <alignment horizontal="right"/>
      <protection hidden="1"/>
    </xf>
    <xf numFmtId="172" fontId="43" fillId="0" borderId="18" xfId="0" applyNumberFormat="1" applyFont="1" applyBorder="1" applyAlignment="1" applyProtection="1">
      <alignment horizontal="center"/>
      <protection hidden="1"/>
    </xf>
    <xf numFmtId="173" fontId="43" fillId="0" borderId="18" xfId="0" applyNumberFormat="1" applyFont="1" applyBorder="1" applyAlignment="1" applyProtection="1">
      <alignment horizontal="center"/>
      <protection hidden="1"/>
    </xf>
    <xf numFmtId="0" fontId="43" fillId="0" borderId="9" xfId="0" applyFont="1" applyBorder="1" applyProtection="1">
      <protection hidden="1"/>
    </xf>
    <xf numFmtId="0" fontId="43" fillId="0" borderId="0" xfId="0" applyFont="1" applyBorder="1" applyAlignment="1" applyProtection="1">
      <alignment horizontal="right"/>
      <protection hidden="1"/>
    </xf>
    <xf numFmtId="172" fontId="43" fillId="0" borderId="0" xfId="0" applyNumberFormat="1" applyFont="1" applyBorder="1" applyAlignment="1" applyProtection="1">
      <alignment horizontal="center"/>
      <protection hidden="1"/>
    </xf>
    <xf numFmtId="0" fontId="43" fillId="0" borderId="14" xfId="0" applyFont="1" applyBorder="1" applyProtection="1">
      <protection hidden="1"/>
    </xf>
    <xf numFmtId="0" fontId="44" fillId="0" borderId="16" xfId="0" applyFont="1" applyBorder="1" applyAlignment="1" applyProtection="1">
      <alignment horizontal="right"/>
      <protection hidden="1"/>
    </xf>
    <xf numFmtId="172" fontId="44" fillId="0" borderId="16" xfId="0" applyNumberFormat="1" applyFont="1" applyBorder="1" applyAlignment="1" applyProtection="1">
      <alignment horizontal="center"/>
      <protection hidden="1"/>
    </xf>
    <xf numFmtId="0" fontId="43" fillId="0" borderId="16" xfId="0" applyFont="1" applyBorder="1" applyProtection="1">
      <protection hidden="1"/>
    </xf>
    <xf numFmtId="164" fontId="43" fillId="3" borderId="7" xfId="0" applyNumberFormat="1" applyFont="1" applyFill="1" applyBorder="1" applyProtection="1">
      <protection hidden="1"/>
    </xf>
    <xf numFmtId="0" fontId="43" fillId="3" borderId="8" xfId="0" applyFont="1" applyFill="1" applyBorder="1" applyProtection="1">
      <protection hidden="1"/>
    </xf>
    <xf numFmtId="176" fontId="43" fillId="2" borderId="8" xfId="2" applyNumberFormat="1" applyFont="1" applyFill="1" applyBorder="1" applyAlignment="1" applyProtection="1">
      <alignment horizontal="center"/>
      <protection locked="0"/>
    </xf>
    <xf numFmtId="176" fontId="43" fillId="2" borderId="5" xfId="2" applyNumberFormat="1" applyFont="1" applyFill="1" applyBorder="1" applyAlignment="1" applyProtection="1">
      <alignment horizontal="center"/>
      <protection locked="0"/>
    </xf>
    <xf numFmtId="0" fontId="0" fillId="0" borderId="21" xfId="0" applyBorder="1" applyProtection="1">
      <protection hidden="1"/>
    </xf>
    <xf numFmtId="0" fontId="0" fillId="0" borderId="0" xfId="0" applyBorder="1" applyProtection="1">
      <protection hidden="1"/>
    </xf>
    <xf numFmtId="171" fontId="0" fillId="0" borderId="0" xfId="3" applyNumberFormat="1" applyFont="1" applyBorder="1" applyProtection="1">
      <protection hidden="1"/>
    </xf>
    <xf numFmtId="0" fontId="0" fillId="0" borderId="70" xfId="0" applyBorder="1" applyProtection="1">
      <protection hidden="1"/>
    </xf>
    <xf numFmtId="164" fontId="0" fillId="0" borderId="0" xfId="1" applyNumberFormat="1" applyFont="1" applyBorder="1" applyProtection="1">
      <protection hidden="1"/>
    </xf>
    <xf numFmtId="0" fontId="0" fillId="0" borderId="0" xfId="0" applyProtection="1">
      <protection hidden="1"/>
    </xf>
    <xf numFmtId="171" fontId="0" fillId="0" borderId="0" xfId="3" applyNumberFormat="1" applyFont="1" applyProtection="1">
      <protection hidden="1"/>
    </xf>
    <xf numFmtId="164" fontId="0" fillId="0" borderId="0" xfId="1" applyNumberFormat="1" applyFont="1" applyProtection="1">
      <protection hidden="1"/>
    </xf>
    <xf numFmtId="0" fontId="0" fillId="0" borderId="0" xfId="0" applyBorder="1" applyAlignment="1" applyProtection="1">
      <alignment horizontal="center"/>
      <protection hidden="1"/>
    </xf>
    <xf numFmtId="0" fontId="5" fillId="0" borderId="70" xfId="0" applyFont="1" applyBorder="1" applyAlignment="1" applyProtection="1">
      <alignment horizontal="center"/>
      <protection hidden="1"/>
    </xf>
    <xf numFmtId="171" fontId="0" fillId="0" borderId="0" xfId="0" applyNumberFormat="1" applyProtection="1">
      <protection hidden="1"/>
    </xf>
    <xf numFmtId="0" fontId="3" fillId="0" borderId="0" xfId="0" applyFont="1" applyBorder="1" applyAlignment="1" applyProtection="1">
      <alignment horizontal="center"/>
      <protection hidden="1"/>
    </xf>
    <xf numFmtId="165" fontId="0" fillId="0" borderId="70" xfId="0" applyNumberFormat="1" applyBorder="1" applyProtection="1">
      <protection hidden="1"/>
    </xf>
    <xf numFmtId="0" fontId="3" fillId="0" borderId="0" xfId="0" applyFont="1" applyBorder="1" applyAlignment="1" applyProtection="1">
      <alignment horizontal="right"/>
      <protection hidden="1"/>
    </xf>
    <xf numFmtId="43" fontId="2" fillId="0" borderId="70" xfId="3" applyFont="1" applyBorder="1" applyAlignment="1" applyProtection="1">
      <alignment horizontal="left" vertical="top" wrapText="1"/>
      <protection hidden="1"/>
    </xf>
    <xf numFmtId="0" fontId="0" fillId="0" borderId="24" xfId="0" applyBorder="1" applyProtection="1">
      <protection hidden="1"/>
    </xf>
    <xf numFmtId="0" fontId="0" fillId="0" borderId="23" xfId="0" applyBorder="1" applyProtection="1">
      <protection hidden="1"/>
    </xf>
    <xf numFmtId="0" fontId="0" fillId="0" borderId="23" xfId="0" applyBorder="1" applyAlignment="1" applyProtection="1">
      <alignment horizontal="center"/>
      <protection hidden="1"/>
    </xf>
    <xf numFmtId="43" fontId="2" fillId="0" borderId="71" xfId="3" applyFont="1" applyBorder="1" applyAlignment="1" applyProtection="1">
      <alignment horizontal="left" vertical="top" wrapText="1"/>
      <protection hidden="1"/>
    </xf>
    <xf numFmtId="0" fontId="3" fillId="0" borderId="0" xfId="0" applyFont="1" applyBorder="1" applyProtection="1">
      <protection hidden="1"/>
    </xf>
    <xf numFmtId="174" fontId="0" fillId="0" borderId="0" xfId="3" applyNumberFormat="1" applyFont="1" applyProtection="1">
      <protection hidden="1"/>
    </xf>
    <xf numFmtId="0" fontId="3" fillId="0" borderId="0" xfId="0" applyFont="1" applyProtection="1">
      <protection hidden="1"/>
    </xf>
    <xf numFmtId="0" fontId="0" fillId="0" borderId="4" xfId="0" applyBorder="1" applyAlignment="1" applyProtection="1">
      <alignment horizontal="right"/>
      <protection hidden="1"/>
    </xf>
    <xf numFmtId="0" fontId="0" fillId="0" borderId="4" xfId="0" applyBorder="1" applyProtection="1">
      <protection hidden="1"/>
    </xf>
    <xf numFmtId="44" fontId="0" fillId="0" borderId="0" xfId="0" applyNumberFormat="1" applyProtection="1">
      <protection hidden="1"/>
    </xf>
    <xf numFmtId="0" fontId="0" fillId="0" borderId="6" xfId="0" applyBorder="1" applyAlignment="1" applyProtection="1">
      <alignment horizontal="right"/>
      <protection hidden="1"/>
    </xf>
    <xf numFmtId="0" fontId="7" fillId="0" borderId="69" xfId="0" applyFont="1" applyBorder="1" applyProtection="1">
      <protection hidden="1"/>
    </xf>
    <xf numFmtId="0" fontId="0" fillId="0" borderId="22" xfId="0" applyBorder="1" applyProtection="1">
      <protection hidden="1"/>
    </xf>
    <xf numFmtId="0" fontId="0" fillId="0" borderId="42" xfId="0" applyBorder="1" applyProtection="1">
      <protection hidden="1"/>
    </xf>
    <xf numFmtId="0" fontId="3" fillId="0" borderId="21" xfId="0" applyFont="1" applyBorder="1" applyProtection="1">
      <protection hidden="1"/>
    </xf>
    <xf numFmtId="0" fontId="0" fillId="0" borderId="0" xfId="0" applyAlignment="1" applyProtection="1">
      <protection hidden="1"/>
    </xf>
    <xf numFmtId="0" fontId="5" fillId="0" borderId="74" xfId="0" applyFont="1" applyBorder="1" applyAlignment="1" applyProtection="1">
      <alignment horizontal="center"/>
      <protection hidden="1"/>
    </xf>
    <xf numFmtId="0" fontId="5" fillId="0" borderId="75" xfId="0" applyFont="1" applyBorder="1" applyAlignment="1" applyProtection="1">
      <alignment horizontal="center"/>
      <protection hidden="1"/>
    </xf>
    <xf numFmtId="164" fontId="5" fillId="0" borderId="0" xfId="1" applyNumberFormat="1" applyFont="1" applyBorder="1" applyAlignment="1" applyProtection="1">
      <alignment horizontal="center"/>
      <protection hidden="1"/>
    </xf>
    <xf numFmtId="0" fontId="4" fillId="0" borderId="0" xfId="0" applyFont="1" applyBorder="1" applyAlignment="1" applyProtection="1">
      <alignment horizontal="center" vertical="top" wrapText="1"/>
      <protection hidden="1"/>
    </xf>
    <xf numFmtId="0" fontId="5" fillId="0" borderId="0" xfId="0" applyFont="1" applyFill="1" applyBorder="1" applyAlignment="1" applyProtection="1">
      <alignment horizontal="center"/>
      <protection hidden="1"/>
    </xf>
    <xf numFmtId="164" fontId="5" fillId="0" borderId="0" xfId="1" applyNumberFormat="1" applyFont="1" applyFill="1" applyBorder="1" applyAlignment="1" applyProtection="1">
      <alignment horizontal="center"/>
      <protection hidden="1"/>
    </xf>
    <xf numFmtId="0" fontId="3" fillId="0" borderId="7" xfId="0" applyFont="1" applyBorder="1" applyProtection="1">
      <protection hidden="1"/>
    </xf>
    <xf numFmtId="0" fontId="3" fillId="0" borderId="8" xfId="0" applyFont="1" applyFill="1" applyBorder="1" applyAlignment="1" applyProtection="1">
      <alignment horizontal="center"/>
      <protection hidden="1"/>
    </xf>
    <xf numFmtId="44" fontId="8" fillId="0" borderId="14" xfId="0" applyNumberFormat="1" applyFont="1" applyBorder="1" applyAlignment="1" applyProtection="1">
      <alignment wrapText="1"/>
      <protection hidden="1"/>
    </xf>
    <xf numFmtId="170" fontId="0" fillId="0" borderId="0" xfId="0" applyNumberFormat="1" applyProtection="1">
      <protection hidden="1"/>
    </xf>
    <xf numFmtId="0" fontId="0" fillId="0" borderId="6" xfId="0" applyFill="1" applyBorder="1" applyAlignment="1" applyProtection="1">
      <alignment horizontal="center"/>
      <protection hidden="1"/>
    </xf>
    <xf numFmtId="44" fontId="0" fillId="0" borderId="14" xfId="0" applyNumberFormat="1" applyBorder="1" applyAlignment="1" applyProtection="1">
      <alignment wrapText="1"/>
      <protection hidden="1"/>
    </xf>
    <xf numFmtId="44" fontId="0" fillId="0" borderId="17" xfId="0" applyNumberFormat="1" applyBorder="1" applyAlignment="1" applyProtection="1">
      <alignment wrapText="1"/>
      <protection hidden="1"/>
    </xf>
    <xf numFmtId="0" fontId="0" fillId="0" borderId="0" xfId="0" applyFill="1" applyBorder="1" applyProtection="1">
      <protection hidden="1"/>
    </xf>
    <xf numFmtId="44" fontId="0" fillId="0" borderId="0" xfId="1" applyFont="1" applyProtection="1">
      <protection hidden="1"/>
    </xf>
    <xf numFmtId="164" fontId="0" fillId="0" borderId="21" xfId="1" applyNumberFormat="1" applyFont="1" applyBorder="1" applyProtection="1">
      <protection hidden="1"/>
    </xf>
    <xf numFmtId="171" fontId="0" fillId="0" borderId="70" xfId="3" applyNumberFormat="1" applyFont="1" applyBorder="1" applyProtection="1">
      <protection hidden="1"/>
    </xf>
    <xf numFmtId="0" fontId="8" fillId="0" borderId="4" xfId="0" applyFont="1" applyBorder="1" applyAlignment="1" applyProtection="1">
      <alignment horizontal="right"/>
      <protection hidden="1"/>
    </xf>
    <xf numFmtId="0" fontId="0" fillId="0" borderId="4" xfId="0" applyFill="1" applyBorder="1" applyAlignment="1" applyProtection="1">
      <alignment horizontal="center"/>
      <protection hidden="1"/>
    </xf>
    <xf numFmtId="0" fontId="8" fillId="0" borderId="0" xfId="0" applyFont="1" applyBorder="1" applyAlignment="1" applyProtection="1">
      <alignment horizontal="right"/>
      <protection hidden="1"/>
    </xf>
    <xf numFmtId="0" fontId="0" fillId="0" borderId="0" xfId="0" applyFill="1" applyBorder="1" applyAlignment="1" applyProtection="1">
      <alignment horizontal="center"/>
      <protection hidden="1"/>
    </xf>
    <xf numFmtId="0" fontId="0" fillId="0" borderId="70" xfId="0" applyFill="1" applyBorder="1" applyProtection="1">
      <protection hidden="1"/>
    </xf>
    <xf numFmtId="0" fontId="3" fillId="0" borderId="10" xfId="0" applyFont="1" applyBorder="1" applyAlignment="1" applyProtection="1">
      <alignment horizontal="left"/>
      <protection hidden="1"/>
    </xf>
    <xf numFmtId="0" fontId="0" fillId="0" borderId="11" xfId="0" applyBorder="1" applyAlignment="1" applyProtection="1">
      <alignment horizontal="center"/>
      <protection hidden="1"/>
    </xf>
    <xf numFmtId="164" fontId="0" fillId="0" borderId="24" xfId="1" applyNumberFormat="1" applyFont="1" applyBorder="1" applyProtection="1">
      <protection hidden="1"/>
    </xf>
    <xf numFmtId="164" fontId="0" fillId="0" borderId="23" xfId="1" applyNumberFormat="1" applyFont="1" applyBorder="1" applyProtection="1">
      <protection hidden="1"/>
    </xf>
    <xf numFmtId="171" fontId="0" fillId="0" borderId="71" xfId="3" applyNumberFormat="1" applyFont="1" applyBorder="1" applyProtection="1">
      <protection hidden="1"/>
    </xf>
    <xf numFmtId="1" fontId="5" fillId="0" borderId="10" xfId="0" applyNumberFormat="1" applyFont="1" applyBorder="1" applyAlignment="1" applyProtection="1">
      <alignment horizontal="center" vertical="center"/>
      <protection hidden="1"/>
    </xf>
    <xf numFmtId="0" fontId="5" fillId="0" borderId="12" xfId="0" applyNumberFormat="1" applyFont="1" applyBorder="1" applyAlignment="1" applyProtection="1">
      <alignment horizontal="center" vertical="center"/>
      <protection hidden="1"/>
    </xf>
    <xf numFmtId="0" fontId="5" fillId="0" borderId="11" xfId="0" applyNumberFormat="1" applyFont="1" applyBorder="1" applyAlignment="1" applyProtection="1">
      <alignment horizontal="center" vertical="center"/>
      <protection hidden="1"/>
    </xf>
    <xf numFmtId="49" fontId="33" fillId="0" borderId="70" xfId="0" applyNumberFormat="1" applyFont="1" applyBorder="1" applyAlignment="1" applyProtection="1">
      <alignment horizontal="center"/>
      <protection hidden="1"/>
    </xf>
    <xf numFmtId="174" fontId="0" fillId="0" borderId="70" xfId="3" applyNumberFormat="1" applyFont="1" applyBorder="1" applyProtection="1">
      <protection hidden="1"/>
    </xf>
    <xf numFmtId="1" fontId="0" fillId="0" borderId="85" xfId="0" applyNumberFormat="1" applyBorder="1" applyAlignment="1" applyProtection="1">
      <alignment horizontal="center" vertical="center"/>
      <protection hidden="1"/>
    </xf>
    <xf numFmtId="0" fontId="0" fillId="0" borderId="86" xfId="0" applyNumberFormat="1" applyBorder="1" applyAlignment="1" applyProtection="1">
      <alignment horizontal="center" vertical="center"/>
      <protection hidden="1"/>
    </xf>
    <xf numFmtId="0" fontId="0" fillId="0" borderId="25" xfId="0" applyNumberFormat="1" applyBorder="1" applyAlignment="1" applyProtection="1">
      <alignment horizontal="center" vertical="center"/>
      <protection hidden="1"/>
    </xf>
    <xf numFmtId="49" fontId="7" fillId="0" borderId="70" xfId="0" applyNumberFormat="1" applyFont="1" applyBorder="1" applyProtection="1">
      <protection hidden="1"/>
    </xf>
    <xf numFmtId="1" fontId="0" fillId="0" borderId="0" xfId="0" applyNumberFormat="1" applyBorder="1" applyProtection="1">
      <protection hidden="1"/>
    </xf>
    <xf numFmtId="174" fontId="0" fillId="0" borderId="71" xfId="3" applyNumberFormat="1" applyFont="1" applyBorder="1" applyProtection="1">
      <protection hidden="1"/>
    </xf>
    <xf numFmtId="49" fontId="0" fillId="0" borderId="0" xfId="3" applyNumberFormat="1" applyFont="1" applyProtection="1">
      <protection hidden="1"/>
    </xf>
    <xf numFmtId="1" fontId="0" fillId="0" borderId="23" xfId="0" applyNumberFormat="1" applyBorder="1" applyProtection="1">
      <protection hidden="1"/>
    </xf>
    <xf numFmtId="49" fontId="7" fillId="0" borderId="71" xfId="0" applyNumberFormat="1" applyFont="1" applyBorder="1" applyProtection="1">
      <protection hidden="1"/>
    </xf>
    <xf numFmtId="1" fontId="0" fillId="0" borderId="0" xfId="0" applyNumberFormat="1" applyProtection="1">
      <protection hidden="1"/>
    </xf>
    <xf numFmtId="49" fontId="7" fillId="0" borderId="0" xfId="0" applyNumberFormat="1" applyFont="1" applyProtection="1">
      <protection hidden="1"/>
    </xf>
    <xf numFmtId="1" fontId="0" fillId="0" borderId="0" xfId="0" applyNumberFormat="1" applyBorder="1" applyAlignment="1" applyProtection="1">
      <alignment horizontal="center" vertical="center"/>
      <protection hidden="1"/>
    </xf>
    <xf numFmtId="0" fontId="0" fillId="0" borderId="0" xfId="0" applyNumberFormat="1" applyBorder="1" applyAlignment="1" applyProtection="1">
      <alignment horizontal="center" vertical="center"/>
      <protection hidden="1"/>
    </xf>
    <xf numFmtId="0" fontId="0" fillId="0" borderId="6" xfId="0" applyBorder="1" applyAlignment="1" applyProtection="1">
      <alignment horizontal="center"/>
      <protection hidden="1"/>
    </xf>
    <xf numFmtId="1" fontId="0" fillId="0" borderId="15" xfId="0" applyNumberFormat="1" applyBorder="1" applyAlignment="1" applyProtection="1">
      <alignment horizontal="center" vertical="center"/>
      <protection hidden="1"/>
    </xf>
    <xf numFmtId="0" fontId="0" fillId="0" borderId="16" xfId="0" applyNumberFormat="1" applyBorder="1" applyAlignment="1" applyProtection="1">
      <alignment horizontal="center" vertical="center"/>
      <protection hidden="1"/>
    </xf>
    <xf numFmtId="0" fontId="0" fillId="0" borderId="17" xfId="0" applyNumberFormat="1" applyBorder="1" applyAlignment="1" applyProtection="1">
      <alignment horizontal="center" vertical="center"/>
      <protection hidden="1"/>
    </xf>
    <xf numFmtId="43" fontId="0" fillId="0" borderId="0" xfId="3" applyFont="1" applyProtection="1">
      <protection hidden="1"/>
    </xf>
    <xf numFmtId="1" fontId="0" fillId="0" borderId="81" xfId="0" applyNumberFormat="1" applyBorder="1" applyAlignment="1" applyProtection="1">
      <alignment horizontal="center" vertical="center"/>
      <protection hidden="1"/>
    </xf>
    <xf numFmtId="0" fontId="0" fillId="0" borderId="4" xfId="0" applyNumberFormat="1" applyBorder="1" applyAlignment="1" applyProtection="1">
      <alignment horizontal="center" vertical="center"/>
      <protection hidden="1"/>
    </xf>
    <xf numFmtId="0" fontId="0" fillId="0" borderId="83" xfId="0" applyNumberFormat="1" applyBorder="1" applyAlignment="1" applyProtection="1">
      <alignment horizontal="center" vertical="center"/>
      <protection hidden="1"/>
    </xf>
    <xf numFmtId="49" fontId="0" fillId="0" borderId="70" xfId="0" applyNumberFormat="1" applyBorder="1" applyAlignment="1" applyProtection="1">
      <alignment horizontal="center" vertical="center"/>
      <protection hidden="1"/>
    </xf>
    <xf numFmtId="0" fontId="0" fillId="0" borderId="4" xfId="0" applyBorder="1" applyAlignment="1" applyProtection="1">
      <alignment horizontal="center"/>
      <protection hidden="1"/>
    </xf>
    <xf numFmtId="1" fontId="0" fillId="0" borderId="13" xfId="0" applyNumberFormat="1" applyBorder="1" applyAlignment="1" applyProtection="1">
      <alignment horizontal="center" vertical="center"/>
      <protection hidden="1"/>
    </xf>
    <xf numFmtId="0" fontId="0" fillId="0" borderId="14" xfId="0" applyNumberFormat="1" applyFill="1" applyBorder="1" applyAlignment="1" applyProtection="1">
      <alignment horizontal="center" vertical="center"/>
      <protection hidden="1"/>
    </xf>
    <xf numFmtId="49" fontId="7" fillId="0" borderId="70" xfId="0" applyNumberFormat="1" applyFont="1" applyFill="1" applyBorder="1" applyProtection="1">
      <protection hidden="1"/>
    </xf>
    <xf numFmtId="0" fontId="0" fillId="20" borderId="0" xfId="0" applyFill="1" applyBorder="1" applyProtection="1">
      <protection hidden="1"/>
    </xf>
    <xf numFmtId="0" fontId="0" fillId="0" borderId="14" xfId="0" applyNumberFormat="1" applyBorder="1" applyAlignment="1" applyProtection="1">
      <alignment horizontal="center" vertical="center"/>
      <protection hidden="1"/>
    </xf>
    <xf numFmtId="49" fontId="38" fillId="0" borderId="70" xfId="0" applyNumberFormat="1" applyFont="1" applyBorder="1" applyProtection="1">
      <protection hidden="1"/>
    </xf>
    <xf numFmtId="0" fontId="0" fillId="0" borderId="22" xfId="0" applyBorder="1" applyAlignment="1" applyProtection="1">
      <alignment horizontal="center"/>
      <protection hidden="1"/>
    </xf>
    <xf numFmtId="1" fontId="0" fillId="0" borderId="22" xfId="0" applyNumberFormat="1" applyBorder="1" applyProtection="1">
      <protection hidden="1"/>
    </xf>
    <xf numFmtId="49" fontId="7" fillId="0" borderId="42" xfId="0" applyNumberFormat="1" applyFont="1" applyBorder="1" applyProtection="1">
      <protection hidden="1"/>
    </xf>
    <xf numFmtId="1" fontId="5" fillId="0" borderId="73" xfId="0" applyNumberFormat="1" applyFont="1" applyBorder="1" applyAlignment="1" applyProtection="1">
      <alignment horizontal="center"/>
      <protection hidden="1"/>
    </xf>
    <xf numFmtId="164" fontId="37" fillId="0" borderId="0" xfId="1" applyNumberFormat="1" applyFont="1" applyBorder="1" applyAlignment="1" applyProtection="1">
      <alignment horizontal="center"/>
      <protection hidden="1"/>
    </xf>
    <xf numFmtId="174" fontId="5" fillId="0" borderId="0" xfId="3" applyNumberFormat="1" applyFont="1" applyFill="1" applyBorder="1" applyAlignment="1" applyProtection="1">
      <alignment horizontal="center"/>
      <protection hidden="1"/>
    </xf>
    <xf numFmtId="1" fontId="0" fillId="0" borderId="1" xfId="0" applyNumberFormat="1" applyBorder="1" applyAlignment="1" applyProtection="1">
      <alignment horizontal="center" vertical="center"/>
      <protection hidden="1"/>
    </xf>
    <xf numFmtId="0" fontId="0" fillId="0" borderId="18" xfId="0" applyNumberFormat="1" applyBorder="1" applyAlignment="1" applyProtection="1">
      <alignment horizontal="center" vertical="center"/>
      <protection hidden="1"/>
    </xf>
    <xf numFmtId="0" fontId="0" fillId="0" borderId="9" xfId="0" applyNumberFormat="1" applyBorder="1" applyAlignment="1" applyProtection="1">
      <alignment horizontal="center" vertical="center"/>
      <protection hidden="1"/>
    </xf>
    <xf numFmtId="49" fontId="39" fillId="0" borderId="70" xfId="0" applyNumberFormat="1" applyFont="1" applyBorder="1" applyAlignment="1" applyProtection="1">
      <alignment vertical="center" wrapText="1"/>
      <protection hidden="1"/>
    </xf>
    <xf numFmtId="0" fontId="0" fillId="2" borderId="6" xfId="0" applyFill="1" applyBorder="1" applyAlignment="1" applyProtection="1">
      <alignment horizontal="center"/>
      <protection locked="0"/>
    </xf>
    <xf numFmtId="0" fontId="0" fillId="2" borderId="4" xfId="0" applyFill="1" applyBorder="1" applyAlignment="1" applyProtection="1">
      <alignment horizontal="center"/>
      <protection locked="0"/>
    </xf>
    <xf numFmtId="1" fontId="0" fillId="0" borderId="0" xfId="3" applyNumberFormat="1" applyFont="1" applyAlignment="1" applyProtection="1">
      <alignment horizontal="center" vertical="center"/>
      <protection hidden="1"/>
    </xf>
    <xf numFmtId="1" fontId="0" fillId="0" borderId="0" xfId="0" applyNumberFormat="1" applyAlignment="1" applyProtection="1">
      <alignment horizontal="center" vertical="center"/>
      <protection hidden="1"/>
    </xf>
    <xf numFmtId="1" fontId="0" fillId="0" borderId="22" xfId="3" applyNumberFormat="1" applyFont="1" applyBorder="1" applyAlignment="1" applyProtection="1">
      <alignment horizontal="center" vertical="center"/>
      <protection hidden="1"/>
    </xf>
    <xf numFmtId="1" fontId="0" fillId="0" borderId="22" xfId="0" applyNumberFormat="1" applyBorder="1" applyAlignment="1" applyProtection="1">
      <alignment horizontal="center" vertical="center"/>
      <protection hidden="1"/>
    </xf>
    <xf numFmtId="1" fontId="0" fillId="0" borderId="0" xfId="3" applyNumberFormat="1" applyFont="1" applyBorder="1" applyAlignment="1" applyProtection="1">
      <alignment horizontal="center" vertical="center"/>
      <protection hidden="1"/>
    </xf>
    <xf numFmtId="1" fontId="5" fillId="0" borderId="73" xfId="3" applyNumberFormat="1" applyFont="1" applyBorder="1" applyAlignment="1" applyProtection="1">
      <alignment horizontal="center" vertical="center"/>
      <protection hidden="1"/>
    </xf>
    <xf numFmtId="1" fontId="5" fillId="0" borderId="74" xfId="0" applyNumberFormat="1" applyFont="1" applyBorder="1" applyAlignment="1" applyProtection="1">
      <alignment horizontal="center" vertical="center"/>
      <protection hidden="1"/>
    </xf>
    <xf numFmtId="1" fontId="5" fillId="0" borderId="75" xfId="0" applyNumberFormat="1" applyFont="1" applyBorder="1" applyAlignment="1" applyProtection="1">
      <alignment horizontal="center" vertical="center"/>
      <protection hidden="1"/>
    </xf>
    <xf numFmtId="1" fontId="0" fillId="0" borderId="1" xfId="3" applyNumberFormat="1" applyFont="1" applyBorder="1" applyAlignment="1" applyProtection="1">
      <alignment horizontal="center" vertical="center"/>
      <protection hidden="1"/>
    </xf>
    <xf numFmtId="1" fontId="0" fillId="0" borderId="18" xfId="0" applyNumberFormat="1" applyBorder="1" applyAlignment="1" applyProtection="1">
      <alignment horizontal="center" vertical="center"/>
      <protection hidden="1"/>
    </xf>
    <xf numFmtId="1" fontId="0" fillId="0" borderId="9" xfId="0" applyNumberFormat="1" applyBorder="1" applyAlignment="1" applyProtection="1">
      <alignment horizontal="center" vertical="center"/>
      <protection hidden="1"/>
    </xf>
    <xf numFmtId="1" fontId="0" fillId="0" borderId="81" xfId="3" applyNumberFormat="1" applyFont="1" applyBorder="1" applyAlignment="1" applyProtection="1">
      <alignment horizontal="center" vertical="center"/>
      <protection hidden="1"/>
    </xf>
    <xf numFmtId="1" fontId="0" fillId="0" borderId="4" xfId="0" applyNumberFormat="1" applyBorder="1" applyAlignment="1" applyProtection="1">
      <alignment horizontal="center" vertical="center"/>
      <protection hidden="1"/>
    </xf>
    <xf numFmtId="1" fontId="0" fillId="0" borderId="83" xfId="0" applyNumberFormat="1" applyBorder="1" applyAlignment="1" applyProtection="1">
      <alignment horizontal="center" vertical="center"/>
      <protection hidden="1"/>
    </xf>
    <xf numFmtId="1" fontId="0" fillId="0" borderId="13" xfId="3" applyNumberFormat="1" applyFont="1" applyBorder="1" applyAlignment="1" applyProtection="1">
      <alignment horizontal="center" vertical="center"/>
      <protection hidden="1"/>
    </xf>
    <xf numFmtId="1" fontId="0" fillId="0" borderId="14" xfId="0" applyNumberFormat="1" applyBorder="1" applyAlignment="1" applyProtection="1">
      <alignment horizontal="center" vertical="center"/>
      <protection hidden="1"/>
    </xf>
    <xf numFmtId="1" fontId="0" fillId="0" borderId="83" xfId="3" applyNumberFormat="1" applyFont="1" applyBorder="1" applyAlignment="1" applyProtection="1">
      <alignment horizontal="center" vertical="center"/>
      <protection hidden="1"/>
    </xf>
    <xf numFmtId="1" fontId="0" fillId="0" borderId="14" xfId="0" applyNumberFormat="1" applyFill="1" applyBorder="1" applyAlignment="1" applyProtection="1">
      <alignment horizontal="center" vertical="center"/>
      <protection hidden="1"/>
    </xf>
    <xf numFmtId="1" fontId="0" fillId="0" borderId="82" xfId="3" applyNumberFormat="1" applyFont="1" applyBorder="1" applyAlignment="1" applyProtection="1">
      <alignment horizontal="center" vertical="center"/>
      <protection hidden="1"/>
    </xf>
    <xf numFmtId="1" fontId="0" fillId="0" borderId="80" xfId="0" applyNumberFormat="1" applyBorder="1" applyAlignment="1" applyProtection="1">
      <alignment horizontal="center" vertical="center"/>
      <protection hidden="1"/>
    </xf>
    <xf numFmtId="1" fontId="0" fillId="0" borderId="84" xfId="0" applyNumberFormat="1" applyBorder="1" applyAlignment="1" applyProtection="1">
      <alignment horizontal="center" vertical="center"/>
      <protection hidden="1"/>
    </xf>
    <xf numFmtId="1" fontId="5" fillId="0" borderId="10" xfId="3" applyNumberFormat="1" applyFont="1" applyBorder="1" applyAlignment="1" applyProtection="1">
      <alignment horizontal="center" vertical="center"/>
      <protection hidden="1"/>
    </xf>
    <xf numFmtId="1" fontId="5" fillId="0" borderId="12" xfId="0" applyNumberFormat="1" applyFont="1" applyBorder="1" applyAlignment="1" applyProtection="1">
      <alignment horizontal="center" vertical="center"/>
      <protection hidden="1"/>
    </xf>
    <xf numFmtId="1" fontId="5" fillId="0" borderId="11" xfId="0" applyNumberFormat="1" applyFont="1" applyBorder="1" applyAlignment="1" applyProtection="1">
      <alignment horizontal="center" vertical="center"/>
      <protection hidden="1"/>
    </xf>
    <xf numFmtId="1" fontId="0" fillId="0" borderId="85" xfId="3" applyNumberFormat="1" applyFont="1" applyBorder="1" applyAlignment="1" applyProtection="1">
      <alignment horizontal="center" vertical="center"/>
      <protection hidden="1"/>
    </xf>
    <xf numFmtId="1" fontId="0" fillId="0" borderId="86" xfId="0" applyNumberFormat="1" applyBorder="1" applyAlignment="1" applyProtection="1">
      <alignment horizontal="center" vertical="center"/>
      <protection hidden="1"/>
    </xf>
    <xf numFmtId="1" fontId="0" fillId="0" borderId="25" xfId="0" applyNumberFormat="1" applyBorder="1" applyAlignment="1" applyProtection="1">
      <alignment horizontal="center" vertical="center"/>
      <protection hidden="1"/>
    </xf>
    <xf numFmtId="1" fontId="29" fillId="0" borderId="81" xfId="3" applyNumberFormat="1" applyFont="1" applyBorder="1" applyAlignment="1" applyProtection="1">
      <alignment horizontal="left" vertical="center"/>
      <protection hidden="1"/>
    </xf>
    <xf numFmtId="0" fontId="0" fillId="0" borderId="0" xfId="0" applyAlignment="1" applyProtection="1">
      <alignment horizontal="center"/>
      <protection hidden="1"/>
    </xf>
    <xf numFmtId="0" fontId="3" fillId="0" borderId="0" xfId="0" applyFont="1" applyAlignment="1" applyProtection="1">
      <alignment horizontal="center"/>
      <protection hidden="1"/>
    </xf>
    <xf numFmtId="177" fontId="0" fillId="0" borderId="70" xfId="0" applyNumberFormat="1" applyBorder="1" applyProtection="1">
      <protection hidden="1"/>
    </xf>
    <xf numFmtId="0" fontId="46" fillId="0" borderId="72" xfId="4" applyFont="1" applyBorder="1" applyAlignment="1" applyProtection="1">
      <alignment horizontal="center" vertical="center"/>
    </xf>
    <xf numFmtId="0" fontId="46" fillId="0" borderId="77" xfId="4" applyFont="1" applyBorder="1" applyAlignment="1" applyProtection="1">
      <alignment horizontal="center"/>
    </xf>
    <xf numFmtId="0" fontId="46" fillId="0" borderId="79" xfId="4" applyFont="1" applyBorder="1" applyAlignment="1" applyProtection="1">
      <alignment horizontal="center"/>
    </xf>
    <xf numFmtId="0" fontId="46" fillId="0" borderId="0" xfId="4" applyFont="1" applyBorder="1" applyAlignment="1" applyProtection="1">
      <alignment horizontal="right"/>
    </xf>
    <xf numFmtId="0" fontId="46" fillId="0" borderId="1" xfId="4" applyFont="1" applyBorder="1" applyAlignment="1" applyProtection="1">
      <alignment horizontal="center" vertical="center"/>
    </xf>
    <xf numFmtId="0" fontId="46" fillId="0" borderId="18" xfId="4" applyFont="1" applyBorder="1" applyAlignment="1" applyProtection="1">
      <alignment horizontal="center"/>
    </xf>
    <xf numFmtId="0" fontId="46" fillId="0" borderId="9" xfId="4" applyFont="1" applyBorder="1" applyAlignment="1" applyProtection="1">
      <alignment horizontal="center" vertical="center"/>
    </xf>
    <xf numFmtId="0" fontId="44" fillId="0" borderId="7" xfId="0" applyFont="1" applyBorder="1" applyAlignment="1" applyProtection="1">
      <alignment horizontal="center"/>
      <protection hidden="1"/>
    </xf>
    <xf numFmtId="0" fontId="45" fillId="0" borderId="5" xfId="0" applyFont="1" applyBorder="1" applyAlignment="1" applyProtection="1">
      <alignment horizontal="center" vertical="center" wrapText="1"/>
      <protection hidden="1"/>
    </xf>
    <xf numFmtId="0" fontId="43" fillId="0" borderId="23" xfId="0" applyFont="1" applyFill="1" applyBorder="1" applyAlignment="1" applyProtection="1">
      <alignment horizontal="center" vertical="center"/>
      <protection hidden="1"/>
    </xf>
    <xf numFmtId="1" fontId="43" fillId="0" borderId="93" xfId="3" applyNumberFormat="1" applyFont="1" applyBorder="1" applyAlignment="1" applyProtection="1">
      <alignment horizontal="center" vertical="center" wrapText="1"/>
      <protection hidden="1"/>
    </xf>
    <xf numFmtId="1" fontId="43" fillId="0" borderId="93" xfId="3" applyNumberFormat="1" applyFont="1" applyBorder="1" applyAlignment="1" applyProtection="1">
      <alignment horizontal="center" vertical="top"/>
      <protection hidden="1"/>
    </xf>
    <xf numFmtId="0" fontId="43" fillId="0" borderId="95" xfId="0" applyFont="1" applyFill="1" applyBorder="1" applyAlignment="1" applyProtection="1">
      <alignment horizontal="center" vertical="center"/>
      <protection hidden="1"/>
    </xf>
    <xf numFmtId="0" fontId="43" fillId="0" borderId="77" xfId="0" applyFont="1" applyBorder="1" applyAlignment="1" applyProtection="1">
      <alignment horizontal="center" vertical="center" wrapText="1"/>
      <protection hidden="1"/>
    </xf>
    <xf numFmtId="1" fontId="43" fillId="0" borderId="77" xfId="3" applyNumberFormat="1" applyFont="1" applyBorder="1" applyAlignment="1" applyProtection="1">
      <alignment horizontal="center" wrapText="1"/>
      <protection hidden="1"/>
    </xf>
    <xf numFmtId="1" fontId="43" fillId="0" borderId="77" xfId="3" applyNumberFormat="1" applyFont="1" applyBorder="1" applyAlignment="1" applyProtection="1">
      <alignment horizontal="center" vertical="center"/>
      <protection hidden="1"/>
    </xf>
    <xf numFmtId="0" fontId="43" fillId="0" borderId="15" xfId="0" applyFont="1" applyFill="1" applyBorder="1" applyAlignment="1" applyProtection="1">
      <alignment horizontal="center" vertical="center"/>
      <protection hidden="1"/>
    </xf>
    <xf numFmtId="1" fontId="43" fillId="0" borderId="19" xfId="3" applyNumberFormat="1" applyFont="1" applyBorder="1" applyAlignment="1" applyProtection="1">
      <alignment horizontal="center"/>
      <protection hidden="1"/>
    </xf>
    <xf numFmtId="0" fontId="43" fillId="0" borderId="0" xfId="0" applyFont="1" applyProtection="1">
      <protection hidden="1"/>
    </xf>
    <xf numFmtId="0" fontId="44" fillId="0" borderId="69" xfId="0" applyFont="1" applyBorder="1" applyProtection="1">
      <protection hidden="1"/>
    </xf>
    <xf numFmtId="0" fontId="43" fillId="0" borderId="22" xfId="0" applyFont="1" applyBorder="1" applyProtection="1">
      <protection hidden="1"/>
    </xf>
    <xf numFmtId="0" fontId="43" fillId="0" borderId="42" xfId="0" applyFont="1" applyBorder="1" applyProtection="1">
      <protection hidden="1"/>
    </xf>
    <xf numFmtId="0" fontId="43" fillId="0" borderId="21" xfId="0" applyFont="1" applyBorder="1" applyProtection="1">
      <protection hidden="1"/>
    </xf>
    <xf numFmtId="0" fontId="43" fillId="0" borderId="0" xfId="0" applyFont="1" applyBorder="1" applyProtection="1">
      <protection hidden="1"/>
    </xf>
    <xf numFmtId="0" fontId="43" fillId="0" borderId="70" xfId="0" applyFont="1" applyBorder="1" applyProtection="1">
      <protection hidden="1"/>
    </xf>
    <xf numFmtId="44" fontId="43" fillId="0" borderId="0" xfId="0" applyNumberFormat="1" applyFont="1" applyProtection="1">
      <protection hidden="1"/>
    </xf>
    <xf numFmtId="0" fontId="47" fillId="0" borderId="0" xfId="0" applyFont="1" applyBorder="1" applyAlignment="1" applyProtection="1">
      <alignment horizontal="center"/>
      <protection hidden="1"/>
    </xf>
    <xf numFmtId="0" fontId="43" fillId="0" borderId="0" xfId="0" applyFont="1" applyBorder="1" applyAlignment="1" applyProtection="1">
      <alignment horizontal="center"/>
      <protection hidden="1"/>
    </xf>
    <xf numFmtId="0" fontId="44" fillId="0" borderId="5" xfId="0" applyFont="1" applyBorder="1" applyProtection="1">
      <protection hidden="1"/>
    </xf>
    <xf numFmtId="0" fontId="47" fillId="0" borderId="9" xfId="0" applyFont="1" applyBorder="1" applyAlignment="1" applyProtection="1">
      <alignment horizontal="center"/>
      <protection hidden="1"/>
    </xf>
    <xf numFmtId="0" fontId="47" fillId="0" borderId="22" xfId="0" applyFont="1" applyFill="1" applyBorder="1" applyAlignment="1" applyProtection="1">
      <alignment horizontal="center"/>
      <protection hidden="1"/>
    </xf>
    <xf numFmtId="0" fontId="47" fillId="0" borderId="22" xfId="0" applyFont="1" applyBorder="1" applyAlignment="1" applyProtection="1">
      <alignment horizontal="center" vertical="center"/>
      <protection hidden="1"/>
    </xf>
    <xf numFmtId="0" fontId="47" fillId="0" borderId="22" xfId="0" applyFont="1" applyBorder="1" applyAlignment="1" applyProtection="1">
      <alignment horizontal="center"/>
      <protection hidden="1"/>
    </xf>
    <xf numFmtId="0" fontId="47" fillId="0" borderId="42" xfId="0" applyFont="1" applyBorder="1" applyAlignment="1" applyProtection="1">
      <alignment horizontal="center"/>
      <protection hidden="1"/>
    </xf>
    <xf numFmtId="0" fontId="47" fillId="0" borderId="0" xfId="0" applyFont="1" applyFill="1" applyBorder="1" applyAlignment="1" applyProtection="1">
      <alignment horizontal="center"/>
      <protection hidden="1"/>
    </xf>
    <xf numFmtId="0" fontId="44" fillId="0" borderId="96" xfId="0" applyFont="1" applyBorder="1" applyAlignment="1" applyProtection="1">
      <alignment horizontal="right"/>
      <protection hidden="1"/>
    </xf>
    <xf numFmtId="0" fontId="43" fillId="0" borderId="87" xfId="0" applyFont="1" applyBorder="1" applyProtection="1">
      <protection hidden="1"/>
    </xf>
    <xf numFmtId="0" fontId="43" fillId="0" borderId="76" xfId="0" applyFont="1" applyBorder="1" applyProtection="1">
      <protection hidden="1"/>
    </xf>
    <xf numFmtId="0" fontId="43" fillId="0" borderId="94" xfId="0" applyFont="1" applyBorder="1" applyProtection="1">
      <protection hidden="1"/>
    </xf>
    <xf numFmtId="0" fontId="44" fillId="0" borderId="88" xfId="0" applyFont="1" applyBorder="1" applyAlignment="1" applyProtection="1">
      <alignment horizontal="right"/>
      <protection hidden="1"/>
    </xf>
    <xf numFmtId="0" fontId="43" fillId="0" borderId="81" xfId="0" applyFont="1" applyBorder="1" applyProtection="1">
      <protection hidden="1"/>
    </xf>
    <xf numFmtId="0" fontId="43" fillId="0" borderId="4" xfId="0" applyFont="1" applyBorder="1" applyProtection="1">
      <protection hidden="1"/>
    </xf>
    <xf numFmtId="0" fontId="43" fillId="0" borderId="83" xfId="0" applyFont="1" applyBorder="1" applyProtection="1">
      <protection hidden="1"/>
    </xf>
    <xf numFmtId="0" fontId="44" fillId="0" borderId="91" xfId="0" applyFont="1" applyBorder="1" applyAlignment="1" applyProtection="1">
      <alignment horizontal="right"/>
      <protection hidden="1"/>
    </xf>
    <xf numFmtId="0" fontId="43" fillId="0" borderId="82" xfId="0" applyFont="1" applyBorder="1" applyProtection="1">
      <protection hidden="1"/>
    </xf>
    <xf numFmtId="0" fontId="43" fillId="0" borderId="80" xfId="0" applyFont="1" applyBorder="1" applyProtection="1">
      <protection hidden="1"/>
    </xf>
    <xf numFmtId="0" fontId="43" fillId="0" borderId="84" xfId="0" applyFont="1" applyBorder="1" applyProtection="1">
      <protection hidden="1"/>
    </xf>
    <xf numFmtId="0" fontId="43" fillId="0" borderId="23" xfId="0" applyFont="1" applyBorder="1" applyProtection="1">
      <protection hidden="1"/>
    </xf>
    <xf numFmtId="0" fontId="44" fillId="0" borderId="0" xfId="0" applyFont="1" applyBorder="1" applyAlignment="1" applyProtection="1">
      <alignment horizontal="right"/>
      <protection hidden="1"/>
    </xf>
    <xf numFmtId="0" fontId="44" fillId="0" borderId="7" xfId="0" applyFont="1" applyFill="1" applyBorder="1" applyAlignment="1" applyProtection="1">
      <alignment horizontal="right"/>
      <protection hidden="1"/>
    </xf>
    <xf numFmtId="0" fontId="43" fillId="0" borderId="10" xfId="0" applyFont="1" applyBorder="1" applyProtection="1">
      <protection hidden="1"/>
    </xf>
    <xf numFmtId="0" fontId="43" fillId="0" borderId="12" xfId="0" applyFont="1" applyBorder="1" applyProtection="1">
      <protection hidden="1"/>
    </xf>
    <xf numFmtId="0" fontId="43" fillId="0" borderId="11" xfId="0" applyFont="1" applyBorder="1" applyProtection="1">
      <protection hidden="1"/>
    </xf>
    <xf numFmtId="170" fontId="44" fillId="0" borderId="0" xfId="1" applyNumberFormat="1" applyFont="1" applyProtection="1">
      <protection hidden="1"/>
    </xf>
    <xf numFmtId="0" fontId="48" fillId="0" borderId="0" xfId="0" applyFont="1" applyBorder="1" applyProtection="1">
      <protection hidden="1"/>
    </xf>
    <xf numFmtId="0" fontId="45" fillId="0" borderId="0" xfId="0" applyFont="1" applyBorder="1" applyProtection="1">
      <protection hidden="1"/>
    </xf>
    <xf numFmtId="174" fontId="43" fillId="0" borderId="0" xfId="3" applyNumberFormat="1" applyFont="1" applyProtection="1">
      <protection hidden="1"/>
    </xf>
    <xf numFmtId="164" fontId="43" fillId="12" borderId="0" xfId="1" applyNumberFormat="1" applyFont="1" applyFill="1" applyProtection="1">
      <protection hidden="1"/>
    </xf>
    <xf numFmtId="0" fontId="49" fillId="0" borderId="0" xfId="0" applyFont="1" applyProtection="1">
      <protection hidden="1"/>
    </xf>
    <xf numFmtId="164" fontId="49" fillId="0" borderId="0" xfId="0" applyNumberFormat="1" applyFont="1" applyProtection="1">
      <protection hidden="1"/>
    </xf>
    <xf numFmtId="164" fontId="43" fillId="0" borderId="0" xfId="1" applyNumberFormat="1" applyFont="1" applyProtection="1">
      <protection hidden="1"/>
    </xf>
    <xf numFmtId="0" fontId="43" fillId="0" borderId="7" xfId="0" applyFont="1" applyBorder="1" applyProtection="1">
      <protection hidden="1"/>
    </xf>
    <xf numFmtId="0" fontId="43" fillId="13" borderId="17" xfId="0" applyFont="1" applyFill="1" applyBorder="1" applyProtection="1">
      <protection hidden="1"/>
    </xf>
    <xf numFmtId="0" fontId="44" fillId="0" borderId="0" xfId="0" applyFont="1" applyProtection="1">
      <protection hidden="1"/>
    </xf>
    <xf numFmtId="0" fontId="43" fillId="15" borderId="0" xfId="0" applyFont="1" applyFill="1" applyBorder="1" applyProtection="1">
      <protection hidden="1"/>
    </xf>
    <xf numFmtId="164" fontId="43" fillId="13" borderId="0" xfId="1" applyNumberFormat="1" applyFont="1" applyFill="1" applyProtection="1">
      <protection hidden="1"/>
    </xf>
    <xf numFmtId="44" fontId="44" fillId="11" borderId="0" xfId="1" applyFont="1" applyFill="1" applyBorder="1" applyProtection="1">
      <protection hidden="1"/>
    </xf>
    <xf numFmtId="175" fontId="43" fillId="0" borderId="0" xfId="0" applyNumberFormat="1" applyFont="1" applyBorder="1" applyProtection="1">
      <protection hidden="1"/>
    </xf>
    <xf numFmtId="174" fontId="44" fillId="0" borderId="0" xfId="3" applyNumberFormat="1" applyFont="1" applyProtection="1">
      <protection hidden="1"/>
    </xf>
    <xf numFmtId="164" fontId="44" fillId="0" borderId="0" xfId="1" applyNumberFormat="1" applyFont="1" applyFill="1" applyProtection="1">
      <protection hidden="1"/>
    </xf>
    <xf numFmtId="170" fontId="43" fillId="0" borderId="0" xfId="1" applyNumberFormat="1" applyFont="1" applyProtection="1">
      <protection hidden="1"/>
    </xf>
    <xf numFmtId="0" fontId="43" fillId="0" borderId="7" xfId="0" applyFont="1" applyBorder="1" applyAlignment="1" applyProtection="1">
      <alignment horizontal="right"/>
      <protection hidden="1"/>
    </xf>
    <xf numFmtId="44" fontId="43" fillId="0" borderId="8" xfId="0" applyNumberFormat="1" applyFont="1" applyBorder="1" applyProtection="1">
      <protection hidden="1"/>
    </xf>
    <xf numFmtId="174" fontId="43" fillId="15" borderId="0" xfId="3" applyNumberFormat="1" applyFont="1" applyFill="1" applyProtection="1">
      <protection hidden="1"/>
    </xf>
    <xf numFmtId="164" fontId="43" fillId="11" borderId="0" xfId="1" applyNumberFormat="1" applyFont="1" applyFill="1" applyProtection="1">
      <protection hidden="1"/>
    </xf>
    <xf numFmtId="1" fontId="49" fillId="0" borderId="0" xfId="0" applyNumberFormat="1" applyFont="1" applyProtection="1">
      <protection hidden="1"/>
    </xf>
    <xf numFmtId="164" fontId="43" fillId="14" borderId="0" xfId="1" applyNumberFormat="1" applyFont="1" applyFill="1" applyProtection="1">
      <protection hidden="1"/>
    </xf>
    <xf numFmtId="171" fontId="43" fillId="0" borderId="0" xfId="0" applyNumberFormat="1" applyFont="1" applyBorder="1" applyProtection="1">
      <protection hidden="1"/>
    </xf>
    <xf numFmtId="164" fontId="43" fillId="6" borderId="0" xfId="1" applyNumberFormat="1" applyFont="1" applyFill="1" applyProtection="1">
      <protection hidden="1"/>
    </xf>
    <xf numFmtId="0" fontId="50" fillId="0" borderId="0" xfId="0" applyFont="1" applyProtection="1">
      <protection hidden="1"/>
    </xf>
    <xf numFmtId="164" fontId="50" fillId="0" borderId="0" xfId="0" applyNumberFormat="1" applyFont="1" applyProtection="1">
      <protection hidden="1"/>
    </xf>
    <xf numFmtId="43" fontId="43" fillId="0" borderId="0" xfId="0" applyNumberFormat="1" applyFont="1" applyBorder="1" applyProtection="1">
      <protection hidden="1"/>
    </xf>
    <xf numFmtId="164" fontId="43" fillId="6" borderId="0" xfId="1" applyNumberFormat="1" applyFont="1" applyFill="1" applyBorder="1" applyProtection="1">
      <protection hidden="1"/>
    </xf>
    <xf numFmtId="9" fontId="49" fillId="0" borderId="16" xfId="0" applyNumberFormat="1" applyFont="1" applyBorder="1" applyProtection="1">
      <protection hidden="1"/>
    </xf>
    <xf numFmtId="44" fontId="49" fillId="0" borderId="16" xfId="0" applyNumberFormat="1" applyFont="1" applyBorder="1" applyProtection="1">
      <protection hidden="1"/>
    </xf>
    <xf numFmtId="44" fontId="44" fillId="0" borderId="0" xfId="0" applyNumberFormat="1" applyFont="1" applyBorder="1" applyProtection="1">
      <protection hidden="1"/>
    </xf>
    <xf numFmtId="164" fontId="43" fillId="0" borderId="0" xfId="0" applyNumberFormat="1" applyFont="1" applyProtection="1">
      <protection hidden="1"/>
    </xf>
    <xf numFmtId="0" fontId="45" fillId="0" borderId="16" xfId="0" applyFont="1" applyBorder="1" applyProtection="1">
      <protection hidden="1"/>
    </xf>
    <xf numFmtId="164" fontId="45" fillId="0" borderId="16" xfId="0" applyNumberFormat="1" applyFont="1" applyBorder="1" applyProtection="1">
      <protection hidden="1"/>
    </xf>
    <xf numFmtId="164" fontId="44" fillId="19" borderId="0" xfId="0" applyNumberFormat="1" applyFont="1" applyFill="1" applyProtection="1">
      <protection hidden="1"/>
    </xf>
    <xf numFmtId="174" fontId="43" fillId="0" borderId="0" xfId="3" applyNumberFormat="1" applyFont="1" applyBorder="1" applyProtection="1">
      <protection hidden="1"/>
    </xf>
    <xf numFmtId="173" fontId="43" fillId="0" borderId="0" xfId="0" applyNumberFormat="1" applyFont="1" applyBorder="1" applyProtection="1">
      <protection hidden="1"/>
    </xf>
    <xf numFmtId="173" fontId="44" fillId="0" borderId="0" xfId="0" applyNumberFormat="1" applyFont="1" applyFill="1" applyBorder="1" applyProtection="1">
      <protection hidden="1"/>
    </xf>
    <xf numFmtId="173" fontId="43" fillId="14" borderId="0" xfId="0" applyNumberFormat="1" applyFont="1" applyFill="1" applyBorder="1" applyProtection="1">
      <protection hidden="1"/>
    </xf>
    <xf numFmtId="0" fontId="44" fillId="10" borderId="72" xfId="0" applyFont="1" applyFill="1" applyBorder="1" applyAlignment="1" applyProtection="1">
      <alignment horizontal="right" vertical="center"/>
      <protection hidden="1"/>
    </xf>
    <xf numFmtId="0" fontId="44" fillId="10" borderId="87" xfId="0" applyFont="1" applyFill="1" applyBorder="1" applyAlignment="1" applyProtection="1">
      <alignment horizontal="center" vertical="center" wrapText="1"/>
      <protection hidden="1"/>
    </xf>
    <xf numFmtId="0" fontId="44" fillId="10" borderId="76" xfId="0" applyFont="1" applyFill="1" applyBorder="1" applyAlignment="1" applyProtection="1">
      <alignment horizontal="center" vertical="center" wrapText="1"/>
      <protection hidden="1"/>
    </xf>
    <xf numFmtId="0" fontId="44" fillId="10" borderId="79" xfId="0" applyFont="1" applyFill="1" applyBorder="1" applyAlignment="1" applyProtection="1">
      <alignment horizontal="right"/>
      <protection hidden="1"/>
    </xf>
    <xf numFmtId="0" fontId="44" fillId="10" borderId="82" xfId="3" applyNumberFormat="1" applyFont="1" applyFill="1" applyBorder="1" applyAlignment="1" applyProtection="1">
      <alignment horizontal="center" vertical="center"/>
      <protection hidden="1"/>
    </xf>
    <xf numFmtId="0" fontId="44" fillId="10" borderId="89" xfId="3" applyNumberFormat="1" applyFont="1" applyFill="1" applyBorder="1" applyAlignment="1" applyProtection="1">
      <alignment horizontal="center"/>
      <protection hidden="1"/>
    </xf>
    <xf numFmtId="172" fontId="43" fillId="0" borderId="0" xfId="0" applyNumberFormat="1" applyFont="1" applyBorder="1" applyProtection="1">
      <protection hidden="1"/>
    </xf>
    <xf numFmtId="0" fontId="43" fillId="0" borderId="2" xfId="0" applyFont="1" applyBorder="1" applyProtection="1">
      <protection hidden="1"/>
    </xf>
    <xf numFmtId="173" fontId="43" fillId="0" borderId="19" xfId="0" applyNumberFormat="1" applyFont="1" applyBorder="1" applyProtection="1">
      <protection hidden="1"/>
    </xf>
    <xf numFmtId="0" fontId="44" fillId="0" borderId="0" xfId="0" applyFont="1" applyBorder="1" applyAlignment="1" applyProtection="1">
      <alignment horizontal="center" vertical="center" textRotation="45"/>
      <protection hidden="1"/>
    </xf>
    <xf numFmtId="172" fontId="44" fillId="0" borderId="0" xfId="0" applyNumberFormat="1" applyFont="1" applyBorder="1" applyProtection="1">
      <protection hidden="1"/>
    </xf>
    <xf numFmtId="172" fontId="43" fillId="0" borderId="76" xfId="0" applyNumberFormat="1" applyFont="1" applyFill="1" applyBorder="1" applyAlignment="1" applyProtection="1">
      <alignment horizontal="center"/>
      <protection hidden="1"/>
    </xf>
    <xf numFmtId="173" fontId="43" fillId="0" borderId="76" xfId="0" applyNumberFormat="1" applyFont="1" applyFill="1" applyBorder="1" applyAlignment="1" applyProtection="1">
      <alignment horizontal="center"/>
      <protection hidden="1"/>
    </xf>
    <xf numFmtId="172" fontId="43" fillId="0" borderId="4" xfId="0" applyNumberFormat="1" applyFont="1" applyFill="1" applyBorder="1" applyAlignment="1" applyProtection="1">
      <alignment horizontal="center"/>
      <protection hidden="1"/>
    </xf>
    <xf numFmtId="172" fontId="43" fillId="0" borderId="78" xfId="0" applyNumberFormat="1" applyFont="1" applyFill="1" applyBorder="1" applyAlignment="1" applyProtection="1">
      <alignment horizontal="center"/>
      <protection hidden="1"/>
    </xf>
    <xf numFmtId="172" fontId="44" fillId="7" borderId="80" xfId="0" applyNumberFormat="1" applyFont="1" applyFill="1" applyBorder="1" applyAlignment="1" applyProtection="1">
      <alignment horizontal="center"/>
      <protection hidden="1"/>
    </xf>
    <xf numFmtId="44" fontId="44" fillId="0" borderId="16" xfId="0" applyNumberFormat="1" applyFont="1" applyBorder="1" applyProtection="1">
      <protection hidden="1"/>
    </xf>
    <xf numFmtId="164" fontId="43" fillId="3" borderId="7" xfId="1" applyNumberFormat="1" applyFont="1" applyFill="1" applyBorder="1" applyAlignment="1" applyProtection="1">
      <alignment horizontal="right"/>
      <protection hidden="1"/>
    </xf>
    <xf numFmtId="0" fontId="48" fillId="0" borderId="18" xfId="0" applyFont="1" applyBorder="1" applyAlignment="1" applyProtection="1">
      <alignment vertical="center" wrapText="1"/>
      <protection hidden="1"/>
    </xf>
    <xf numFmtId="0" fontId="44" fillId="0" borderId="1" xfId="0" applyFont="1" applyBorder="1" applyAlignment="1" applyProtection="1">
      <alignment horizontal="right"/>
      <protection hidden="1"/>
    </xf>
    <xf numFmtId="0" fontId="44" fillId="0" borderId="2" xfId="0" applyFont="1" applyBorder="1" applyAlignment="1" applyProtection="1">
      <alignment horizontal="center"/>
      <protection hidden="1"/>
    </xf>
    <xf numFmtId="0" fontId="44" fillId="0" borderId="18" xfId="0" applyFont="1" applyBorder="1" applyAlignment="1" applyProtection="1">
      <alignment horizontal="center" vertical="center" wrapText="1"/>
      <protection hidden="1"/>
    </xf>
    <xf numFmtId="0" fontId="44" fillId="0" borderId="9" xfId="0" applyFont="1" applyBorder="1" applyAlignment="1" applyProtection="1">
      <alignment horizontal="center" vertical="center" wrapText="1"/>
      <protection hidden="1"/>
    </xf>
    <xf numFmtId="0" fontId="44" fillId="0" borderId="13" xfId="0" applyFont="1" applyBorder="1" applyAlignment="1" applyProtection="1">
      <alignment horizontal="right"/>
      <protection hidden="1"/>
    </xf>
    <xf numFmtId="176" fontId="44" fillId="0" borderId="5" xfId="0" applyNumberFormat="1" applyFont="1" applyBorder="1" applyAlignment="1" applyProtection="1">
      <alignment horizontal="center"/>
      <protection hidden="1"/>
    </xf>
    <xf numFmtId="0" fontId="43" fillId="0" borderId="15" xfId="0" applyFont="1" applyBorder="1" applyAlignment="1" applyProtection="1">
      <alignment horizontal="right"/>
      <protection hidden="1"/>
    </xf>
    <xf numFmtId="0" fontId="43" fillId="0" borderId="16" xfId="0" applyFont="1" applyBorder="1" applyAlignment="1" applyProtection="1">
      <alignment horizontal="center"/>
      <protection hidden="1"/>
    </xf>
    <xf numFmtId="176" fontId="50" fillId="0" borderId="0" xfId="0" applyNumberFormat="1" applyFont="1" applyBorder="1" applyAlignment="1" applyProtection="1">
      <alignment horizontal="left"/>
      <protection hidden="1"/>
    </xf>
    <xf numFmtId="172" fontId="44" fillId="7" borderId="5" xfId="2" applyNumberFormat="1" applyFont="1" applyFill="1" applyBorder="1" applyAlignment="1" applyProtection="1">
      <alignment horizontal="center"/>
      <protection hidden="1"/>
    </xf>
    <xf numFmtId="172" fontId="43" fillId="3" borderId="7" xfId="0" applyNumberFormat="1" applyFont="1" applyFill="1" applyBorder="1" applyProtection="1">
      <protection hidden="1"/>
    </xf>
    <xf numFmtId="0" fontId="44" fillId="0" borderId="0" xfId="0" applyFont="1" applyBorder="1" applyAlignment="1" applyProtection="1">
      <alignment horizontal="center"/>
      <protection hidden="1"/>
    </xf>
    <xf numFmtId="9" fontId="44" fillId="0" borderId="0" xfId="2" applyFont="1" applyFill="1" applyBorder="1" applyAlignment="1" applyProtection="1">
      <alignment horizontal="center"/>
      <protection hidden="1"/>
    </xf>
    <xf numFmtId="9" fontId="44" fillId="7" borderId="0" xfId="2" applyFont="1" applyFill="1" applyBorder="1" applyAlignment="1" applyProtection="1">
      <alignment horizontal="center"/>
      <protection hidden="1"/>
    </xf>
    <xf numFmtId="0" fontId="43" fillId="0" borderId="24" xfId="0" applyFont="1" applyBorder="1" applyProtection="1">
      <protection hidden="1"/>
    </xf>
    <xf numFmtId="0" fontId="43" fillId="0" borderId="71" xfId="0" applyFont="1" applyBorder="1" applyProtection="1">
      <protection hidden="1"/>
    </xf>
    <xf numFmtId="0" fontId="43" fillId="0" borderId="69" xfId="0" applyFont="1" applyBorder="1" applyProtection="1">
      <protection locked="0"/>
    </xf>
    <xf numFmtId="0" fontId="43" fillId="0" borderId="42" xfId="0" applyFont="1" applyBorder="1" applyProtection="1">
      <protection locked="0"/>
    </xf>
    <xf numFmtId="0" fontId="43" fillId="0" borderId="21" xfId="0" applyFont="1" applyBorder="1" applyProtection="1">
      <protection locked="0"/>
    </xf>
    <xf numFmtId="0" fontId="43" fillId="0" borderId="0" xfId="0" applyFont="1" applyBorder="1" applyProtection="1">
      <protection locked="0"/>
    </xf>
    <xf numFmtId="0" fontId="43" fillId="0" borderId="70" xfId="0" applyFont="1" applyBorder="1" applyProtection="1">
      <protection locked="0"/>
    </xf>
    <xf numFmtId="0" fontId="43" fillId="0" borderId="24" xfId="0" applyFont="1" applyBorder="1" applyProtection="1">
      <protection locked="0"/>
    </xf>
    <xf numFmtId="0" fontId="43" fillId="0" borderId="23" xfId="0" applyFont="1" applyBorder="1" applyProtection="1">
      <protection locked="0"/>
    </xf>
    <xf numFmtId="0" fontId="43" fillId="0" borderId="71" xfId="0" applyFont="1" applyBorder="1" applyProtection="1">
      <protection locked="0"/>
    </xf>
    <xf numFmtId="0" fontId="7" fillId="0" borderId="0" xfId="0" applyFont="1" applyProtection="1">
      <protection hidden="1"/>
    </xf>
    <xf numFmtId="0" fontId="7" fillId="0" borderId="42" xfId="0" applyFont="1" applyBorder="1" applyProtection="1">
      <protection hidden="1"/>
    </xf>
    <xf numFmtId="0" fontId="7" fillId="0" borderId="70" xfId="0" applyFont="1" applyBorder="1" applyProtection="1">
      <protection hidden="1"/>
    </xf>
    <xf numFmtId="0" fontId="33" fillId="0" borderId="70" xfId="0" applyFont="1" applyBorder="1" applyAlignment="1" applyProtection="1">
      <alignment horizontal="center"/>
      <protection hidden="1"/>
    </xf>
    <xf numFmtId="0" fontId="38" fillId="0" borderId="70" xfId="0" applyFont="1" applyBorder="1" applyProtection="1">
      <protection hidden="1"/>
    </xf>
    <xf numFmtId="0" fontId="34" fillId="0" borderId="70" xfId="0" applyFont="1" applyBorder="1" applyProtection="1">
      <protection hidden="1"/>
    </xf>
    <xf numFmtId="0" fontId="7" fillId="0" borderId="70" xfId="0" applyFont="1" applyFill="1" applyBorder="1" applyProtection="1">
      <protection hidden="1"/>
    </xf>
    <xf numFmtId="0" fontId="3" fillId="0" borderId="4" xfId="0" applyFont="1" applyBorder="1" applyProtection="1">
      <protection hidden="1"/>
    </xf>
    <xf numFmtId="174" fontId="0" fillId="0" borderId="4" xfId="3" applyNumberFormat="1" applyFont="1" applyBorder="1" applyProtection="1">
      <protection hidden="1"/>
    </xf>
    <xf numFmtId="0" fontId="35" fillId="0" borderId="70" xfId="4" applyFont="1" applyBorder="1" applyProtection="1">
      <protection hidden="1"/>
    </xf>
    <xf numFmtId="164" fontId="0" fillId="0" borderId="4" xfId="1" applyNumberFormat="1" applyFont="1" applyBorder="1" applyProtection="1">
      <protection hidden="1"/>
    </xf>
    <xf numFmtId="171" fontId="0" fillId="0" borderId="0" xfId="3" applyNumberFormat="1" applyFont="1" applyAlignment="1" applyProtection="1">
      <protection hidden="1"/>
    </xf>
    <xf numFmtId="0" fontId="0" fillId="0" borderId="80" xfId="0" applyNumberFormat="1" applyBorder="1" applyAlignment="1" applyProtection="1">
      <alignment horizontal="center" vertical="center"/>
      <protection hidden="1"/>
    </xf>
    <xf numFmtId="0" fontId="0" fillId="0" borderId="84" xfId="0" applyNumberFormat="1" applyBorder="1" applyAlignment="1" applyProtection="1">
      <alignment horizontal="center" vertical="center"/>
      <protection hidden="1"/>
    </xf>
    <xf numFmtId="0" fontId="7" fillId="0" borderId="71" xfId="0" applyFont="1" applyBorder="1" applyProtection="1">
      <protection hidden="1"/>
    </xf>
    <xf numFmtId="1" fontId="0" fillId="0" borderId="1" xfId="0" applyNumberFormat="1" applyBorder="1" applyProtection="1">
      <protection hidden="1"/>
    </xf>
    <xf numFmtId="0" fontId="0" fillId="0" borderId="18" xfId="0" applyBorder="1" applyProtection="1">
      <protection hidden="1"/>
    </xf>
    <xf numFmtId="0" fontId="0" fillId="0" borderId="9" xfId="0" applyBorder="1" applyProtection="1">
      <protection hidden="1"/>
    </xf>
    <xf numFmtId="0" fontId="31" fillId="0" borderId="0" xfId="4" applyBorder="1" applyAlignment="1" applyProtection="1">
      <alignment horizontal="right"/>
      <protection hidden="1"/>
    </xf>
    <xf numFmtId="0" fontId="0" fillId="0" borderId="4" xfId="0" applyFill="1" applyBorder="1" applyAlignment="1" applyProtection="1">
      <alignment horizontal="right"/>
      <protection hidden="1"/>
    </xf>
    <xf numFmtId="0" fontId="0" fillId="0" borderId="0" xfId="0" applyFill="1" applyBorder="1" applyAlignment="1" applyProtection="1">
      <alignment horizontal="right"/>
      <protection hidden="1"/>
    </xf>
    <xf numFmtId="0" fontId="0" fillId="0" borderId="85" xfId="0" applyNumberFormat="1" applyBorder="1" applyAlignment="1" applyProtection="1">
      <alignment horizontal="center" vertical="center"/>
      <protection hidden="1"/>
    </xf>
    <xf numFmtId="0" fontId="0" fillId="0" borderId="71" xfId="0" applyBorder="1" applyProtection="1">
      <protection hidden="1"/>
    </xf>
    <xf numFmtId="1" fontId="0" fillId="0" borderId="0" xfId="0" applyNumberFormat="1" applyAlignment="1" applyProtection="1">
      <alignment horizontal="center"/>
      <protection hidden="1"/>
    </xf>
    <xf numFmtId="1" fontId="0" fillId="0" borderId="22" xfId="0" applyNumberFormat="1" applyBorder="1" applyAlignment="1" applyProtection="1">
      <alignment horizontal="center"/>
      <protection hidden="1"/>
    </xf>
    <xf numFmtId="1" fontId="0" fillId="0" borderId="0" xfId="0" applyNumberFormat="1" applyBorder="1" applyAlignment="1" applyProtection="1">
      <alignment horizontal="center"/>
      <protection hidden="1"/>
    </xf>
    <xf numFmtId="1" fontId="0" fillId="0" borderId="1" xfId="0" applyNumberFormat="1" applyBorder="1" applyAlignment="1" applyProtection="1">
      <alignment horizontal="center"/>
      <protection hidden="1"/>
    </xf>
    <xf numFmtId="1" fontId="0" fillId="0" borderId="81" xfId="0" applyNumberFormat="1" applyBorder="1" applyAlignment="1" applyProtection="1">
      <alignment horizontal="center"/>
      <protection hidden="1"/>
    </xf>
    <xf numFmtId="0" fontId="36" fillId="0" borderId="70" xfId="4" applyFont="1" applyBorder="1" applyProtection="1">
      <protection hidden="1"/>
    </xf>
    <xf numFmtId="1" fontId="0" fillId="0" borderId="13" xfId="0" applyNumberFormat="1" applyBorder="1" applyAlignment="1" applyProtection="1">
      <alignment horizontal="center"/>
      <protection hidden="1"/>
    </xf>
    <xf numFmtId="1" fontId="0" fillId="0" borderId="82" xfId="0" applyNumberFormat="1" applyBorder="1" applyAlignment="1" applyProtection="1">
      <alignment horizontal="center"/>
      <protection hidden="1"/>
    </xf>
    <xf numFmtId="1" fontId="5" fillId="0" borderId="10" xfId="0" applyNumberFormat="1" applyFont="1" applyBorder="1" applyAlignment="1" applyProtection="1">
      <alignment horizontal="center"/>
      <protection hidden="1"/>
    </xf>
    <xf numFmtId="1" fontId="0" fillId="0" borderId="23" xfId="0" applyNumberFormat="1" applyBorder="1" applyAlignment="1" applyProtection="1">
      <alignment horizontal="center"/>
      <protection hidden="1"/>
    </xf>
    <xf numFmtId="1" fontId="0" fillId="0" borderId="23" xfId="0" applyNumberFormat="1" applyBorder="1" applyAlignment="1" applyProtection="1">
      <alignment horizontal="center" vertical="center"/>
      <protection hidden="1"/>
    </xf>
    <xf numFmtId="0" fontId="0" fillId="0" borderId="0" xfId="0" applyFont="1" applyProtection="1">
      <protection hidden="1"/>
    </xf>
    <xf numFmtId="0" fontId="44" fillId="0" borderId="5" xfId="0" applyFont="1" applyBorder="1" applyAlignment="1" applyProtection="1">
      <alignment horizontal="center"/>
      <protection hidden="1"/>
    </xf>
    <xf numFmtId="1" fontId="0" fillId="0" borderId="99" xfId="0" applyNumberFormat="1" applyBorder="1" applyAlignment="1" applyProtection="1">
      <alignment horizontal="center" vertical="center"/>
      <protection hidden="1"/>
    </xf>
    <xf numFmtId="1" fontId="0" fillId="0" borderId="100" xfId="0" applyNumberFormat="1" applyBorder="1" applyAlignment="1" applyProtection="1">
      <alignment horizontal="center" vertical="center"/>
      <protection hidden="1"/>
    </xf>
    <xf numFmtId="0" fontId="0" fillId="7" borderId="0" xfId="0" applyFill="1" applyBorder="1" applyProtection="1">
      <protection hidden="1"/>
    </xf>
    <xf numFmtId="171" fontId="0" fillId="7" borderId="0" xfId="3" applyNumberFormat="1" applyFont="1" applyFill="1" applyProtection="1">
      <protection hidden="1"/>
    </xf>
    <xf numFmtId="1" fontId="44" fillId="10" borderId="89" xfId="3" applyNumberFormat="1" applyFont="1" applyFill="1" applyBorder="1" applyAlignment="1" applyProtection="1">
      <alignment horizontal="center" vertical="center"/>
      <protection hidden="1"/>
    </xf>
    <xf numFmtId="171" fontId="43" fillId="0" borderId="0" xfId="3" applyNumberFormat="1" applyFont="1" applyBorder="1" applyProtection="1">
      <protection hidden="1"/>
    </xf>
    <xf numFmtId="0" fontId="43" fillId="0" borderId="78" xfId="0" applyFont="1" applyBorder="1" applyAlignment="1" applyProtection="1">
      <alignment horizontal="center"/>
      <protection hidden="1"/>
    </xf>
    <xf numFmtId="43" fontId="43" fillId="0" borderId="6" xfId="0" applyNumberFormat="1" applyFont="1" applyFill="1" applyBorder="1" applyAlignment="1" applyProtection="1">
      <alignment horizontal="center"/>
      <protection hidden="1"/>
    </xf>
    <xf numFmtId="0" fontId="43" fillId="2" borderId="82" xfId="0" applyFont="1" applyFill="1" applyBorder="1" applyProtection="1">
      <protection hidden="1"/>
    </xf>
    <xf numFmtId="171" fontId="43" fillId="2" borderId="84" xfId="3" applyNumberFormat="1" applyFont="1" applyFill="1" applyBorder="1" applyProtection="1">
      <protection hidden="1"/>
    </xf>
    <xf numFmtId="0" fontId="43" fillId="0" borderId="101" xfId="0" applyFont="1" applyBorder="1" applyAlignment="1" applyProtection="1">
      <alignment horizontal="center"/>
      <protection hidden="1"/>
    </xf>
    <xf numFmtId="0" fontId="43" fillId="0" borderId="102" xfId="0" applyFont="1" applyBorder="1" applyAlignment="1" applyProtection="1">
      <alignment horizontal="center"/>
      <protection hidden="1"/>
    </xf>
    <xf numFmtId="171" fontId="0" fillId="0" borderId="0" xfId="3" applyNumberFormat="1" applyFont="1" applyBorder="1" applyAlignment="1" applyProtection="1">
      <alignment horizontal="center"/>
      <protection locked="0"/>
    </xf>
    <xf numFmtId="0" fontId="0" fillId="0" borderId="81" xfId="0" applyNumberFormat="1" applyBorder="1" applyAlignment="1" applyProtection="1">
      <alignment horizontal="center" vertical="center"/>
      <protection hidden="1"/>
    </xf>
    <xf numFmtId="171" fontId="44" fillId="10" borderId="89" xfId="3" applyNumberFormat="1" applyFont="1" applyFill="1" applyBorder="1" applyAlignment="1" applyProtection="1">
      <alignment horizontal="center" vertical="center"/>
      <protection hidden="1"/>
    </xf>
    <xf numFmtId="0" fontId="31" fillId="0" borderId="77" xfId="4" applyBorder="1" applyAlignment="1" applyProtection="1">
      <alignment horizontal="center"/>
    </xf>
    <xf numFmtId="1" fontId="43" fillId="0" borderId="103" xfId="3" applyNumberFormat="1" applyFont="1" applyBorder="1" applyAlignment="1" applyProtection="1">
      <alignment horizontal="center" wrapText="1"/>
      <protection hidden="1"/>
    </xf>
    <xf numFmtId="1" fontId="43" fillId="0" borderId="103" xfId="3" applyNumberFormat="1" applyFont="1" applyBorder="1" applyAlignment="1" applyProtection="1">
      <alignment horizontal="center" vertical="center"/>
      <protection hidden="1"/>
    </xf>
    <xf numFmtId="1" fontId="43" fillId="0" borderId="104" xfId="3" applyNumberFormat="1" applyFont="1" applyBorder="1" applyAlignment="1" applyProtection="1">
      <alignment horizontal="center" vertical="center"/>
      <protection hidden="1"/>
    </xf>
    <xf numFmtId="1" fontId="43" fillId="0" borderId="17" xfId="3" applyNumberFormat="1" applyFont="1" applyBorder="1" applyAlignment="1" applyProtection="1">
      <alignment horizontal="center"/>
      <protection hidden="1"/>
    </xf>
    <xf numFmtId="0" fontId="43" fillId="0" borderId="72" xfId="0" applyFont="1" applyBorder="1" applyAlignment="1" applyProtection="1">
      <alignment horizontal="center" vertical="center" wrapText="1"/>
      <protection hidden="1"/>
    </xf>
    <xf numFmtId="0" fontId="43" fillId="0" borderId="79" xfId="0" applyFont="1" applyBorder="1" applyAlignment="1" applyProtection="1">
      <alignment horizontal="center"/>
      <protection hidden="1"/>
    </xf>
    <xf numFmtId="0" fontId="31" fillId="0" borderId="18" xfId="4" applyBorder="1" applyAlignment="1" applyProtection="1">
      <alignment horizontal="center"/>
    </xf>
    <xf numFmtId="0" fontId="2" fillId="0" borderId="0" xfId="0" applyFont="1" applyBorder="1" applyProtection="1">
      <protection hidden="1"/>
    </xf>
    <xf numFmtId="0" fontId="5" fillId="0" borderId="73" xfId="0" applyFont="1" applyBorder="1" applyAlignment="1" applyProtection="1">
      <alignment horizontal="center"/>
      <protection hidden="1"/>
    </xf>
    <xf numFmtId="0" fontId="0" fillId="0" borderId="1" xfId="0" applyBorder="1" applyProtection="1">
      <protection hidden="1"/>
    </xf>
    <xf numFmtId="0" fontId="0" fillId="0" borderId="4" xfId="0" applyFont="1" applyBorder="1" applyAlignment="1" applyProtection="1">
      <alignment horizontal="right"/>
      <protection hidden="1"/>
    </xf>
    <xf numFmtId="0" fontId="0" fillId="0" borderId="81" xfId="0" applyBorder="1" applyAlignment="1" applyProtection="1">
      <alignment horizontal="center" vertical="center"/>
      <protection hidden="1"/>
    </xf>
    <xf numFmtId="0" fontId="10" fillId="0" borderId="4" xfId="0" applyFont="1" applyFill="1" applyBorder="1" applyAlignment="1" applyProtection="1">
      <alignment horizontal="right"/>
      <protection hidden="1"/>
    </xf>
    <xf numFmtId="0" fontId="5" fillId="0" borderId="10" xfId="0" applyFont="1" applyBorder="1" applyAlignment="1" applyProtection="1">
      <alignment horizontal="center"/>
      <protection hidden="1"/>
    </xf>
    <xf numFmtId="0" fontId="5" fillId="0" borderId="12" xfId="0" applyFont="1" applyBorder="1" applyAlignment="1" applyProtection="1">
      <alignment horizontal="center"/>
      <protection hidden="1"/>
    </xf>
    <xf numFmtId="0" fontId="5" fillId="0" borderId="11" xfId="0" applyFont="1" applyBorder="1" applyAlignment="1" applyProtection="1">
      <alignment horizontal="center"/>
      <protection hidden="1"/>
    </xf>
    <xf numFmtId="37" fontId="0" fillId="0" borderId="85" xfId="3" applyNumberFormat="1" applyFont="1" applyBorder="1" applyAlignment="1" applyProtection="1">
      <alignment horizontal="center" vertical="center"/>
      <protection hidden="1"/>
    </xf>
    <xf numFmtId="1" fontId="8" fillId="0" borderId="82" xfId="0" applyNumberFormat="1" applyFont="1" applyBorder="1" applyAlignment="1" applyProtection="1">
      <alignment horizontal="center" vertical="center"/>
      <protection hidden="1"/>
    </xf>
    <xf numFmtId="0" fontId="53" fillId="0" borderId="0" xfId="0" applyFont="1"/>
    <xf numFmtId="0" fontId="53" fillId="0" borderId="0" xfId="0" applyFont="1" applyAlignment="1">
      <alignment vertical="center"/>
    </xf>
    <xf numFmtId="0" fontId="0" fillId="0" borderId="0" xfId="0" applyAlignment="1" applyProtection="1">
      <alignment horizontal="center"/>
      <protection hidden="1"/>
    </xf>
    <xf numFmtId="0" fontId="0" fillId="0" borderId="22" xfId="0" applyBorder="1" applyAlignment="1" applyProtection="1">
      <alignment horizontal="center"/>
      <protection hidden="1"/>
    </xf>
    <xf numFmtId="0" fontId="3" fillId="0" borderId="0" xfId="0" applyFont="1" applyAlignment="1" applyProtection="1">
      <alignment horizontal="center"/>
      <protection hidden="1"/>
    </xf>
    <xf numFmtId="0" fontId="0" fillId="0" borderId="0" xfId="0" applyBorder="1" applyAlignment="1" applyProtection="1">
      <protection hidden="1"/>
    </xf>
    <xf numFmtId="0" fontId="0" fillId="0" borderId="76" xfId="0" applyFill="1" applyBorder="1" applyAlignment="1" applyProtection="1">
      <alignment horizontal="right"/>
      <protection hidden="1"/>
    </xf>
    <xf numFmtId="0" fontId="0" fillId="0" borderId="69" xfId="0" applyBorder="1" applyAlignment="1" applyProtection="1">
      <protection hidden="1"/>
    </xf>
    <xf numFmtId="0" fontId="0" fillId="0" borderId="22" xfId="0" applyBorder="1" applyAlignment="1" applyProtection="1">
      <protection hidden="1"/>
    </xf>
    <xf numFmtId="171" fontId="0" fillId="0" borderId="21" xfId="3" applyNumberFormat="1" applyFont="1" applyBorder="1" applyProtection="1">
      <protection hidden="1"/>
    </xf>
    <xf numFmtId="0" fontId="0" fillId="0" borderId="0" xfId="0" applyNumberFormat="1" applyProtection="1">
      <protection hidden="1"/>
    </xf>
    <xf numFmtId="0" fontId="54" fillId="0" borderId="70" xfId="0" applyFont="1" applyBorder="1" applyProtection="1">
      <protection hidden="1"/>
    </xf>
    <xf numFmtId="0" fontId="2" fillId="0" borderId="70" xfId="0" applyFont="1" applyBorder="1" applyProtection="1">
      <protection hidden="1"/>
    </xf>
    <xf numFmtId="0" fontId="0" fillId="2" borderId="76" xfId="0" applyFill="1" applyBorder="1" applyAlignment="1" applyProtection="1">
      <alignment horizontal="center"/>
      <protection locked="0"/>
    </xf>
    <xf numFmtId="0" fontId="0" fillId="0" borderId="0" xfId="0" applyAlignment="1" applyProtection="1">
      <alignment horizontal="center"/>
      <protection hidden="1"/>
    </xf>
    <xf numFmtId="0" fontId="0" fillId="0" borderId="69"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42" xfId="0" applyBorder="1" applyAlignment="1" applyProtection="1">
      <alignment horizontal="center"/>
      <protection hidden="1"/>
    </xf>
    <xf numFmtId="43" fontId="2" fillId="0" borderId="0" xfId="3" applyFont="1" applyBorder="1" applyAlignment="1" applyProtection="1">
      <alignment horizontal="left" vertical="top" wrapText="1"/>
      <protection hidden="1"/>
    </xf>
    <xf numFmtId="0" fontId="31" fillId="17" borderId="0" xfId="4" applyFill="1" applyBorder="1" applyAlignment="1" applyProtection="1">
      <alignment horizontal="center" vertical="center"/>
      <protection hidden="1"/>
    </xf>
    <xf numFmtId="0" fontId="41" fillId="0" borderId="70" xfId="0" applyFont="1" applyBorder="1" applyAlignment="1" applyProtection="1">
      <alignment horizontal="left" vertical="center" wrapText="1"/>
      <protection hidden="1"/>
    </xf>
    <xf numFmtId="0" fontId="0" fillId="0" borderId="16" xfId="0" applyBorder="1" applyAlignment="1" applyProtection="1">
      <alignment horizontal="center"/>
      <protection hidden="1"/>
    </xf>
    <xf numFmtId="43" fontId="55" fillId="0" borderId="0" xfId="3" applyFont="1" applyBorder="1" applyAlignment="1" applyProtection="1">
      <alignment horizontal="left" vertical="top" wrapText="1"/>
      <protection hidden="1"/>
    </xf>
    <xf numFmtId="0" fontId="0" fillId="0" borderId="97" xfId="0" applyNumberFormat="1" applyBorder="1" applyAlignment="1" applyProtection="1">
      <alignment horizontal="left" vertical="top" wrapText="1"/>
      <protection hidden="1"/>
    </xf>
    <xf numFmtId="0" fontId="3" fillId="0" borderId="0" xfId="0" applyFont="1" applyAlignment="1" applyProtection="1">
      <alignment horizontal="center"/>
      <protection hidden="1"/>
    </xf>
    <xf numFmtId="49" fontId="0" fillId="0" borderId="22" xfId="0" applyNumberFormat="1" applyBorder="1" applyAlignment="1" applyProtection="1">
      <protection hidden="1"/>
    </xf>
    <xf numFmtId="0" fontId="39" fillId="0" borderId="97" xfId="0" applyFont="1" applyBorder="1" applyAlignment="1" applyProtection="1">
      <alignment horizontal="left" vertical="center" wrapText="1"/>
      <protection hidden="1"/>
    </xf>
    <xf numFmtId="0" fontId="0" fillId="0" borderId="92" xfId="0" applyBorder="1" applyAlignment="1" applyProtection="1">
      <alignment horizontal="center"/>
      <protection hidden="1"/>
    </xf>
    <xf numFmtId="0" fontId="0" fillId="0" borderId="95" xfId="0" applyBorder="1" applyAlignment="1" applyProtection="1">
      <alignment horizontal="center"/>
      <protection hidden="1"/>
    </xf>
    <xf numFmtId="0" fontId="0" fillId="0" borderId="98" xfId="0" applyBorder="1" applyAlignment="1" applyProtection="1">
      <alignment horizontal="center"/>
      <protection hidden="1"/>
    </xf>
    <xf numFmtId="44" fontId="0" fillId="0" borderId="0" xfId="1" applyFont="1" applyAlignment="1" applyProtection="1">
      <alignment horizontal="center"/>
      <protection hidden="1"/>
    </xf>
    <xf numFmtId="1" fontId="2" fillId="0" borderId="0" xfId="3" applyNumberFormat="1" applyFont="1" applyBorder="1" applyAlignment="1" applyProtection="1">
      <alignment horizontal="center" vertical="center" wrapText="1"/>
      <protection hidden="1"/>
    </xf>
    <xf numFmtId="1" fontId="2" fillId="0" borderId="23" xfId="3" applyNumberFormat="1" applyFont="1" applyBorder="1" applyAlignment="1" applyProtection="1">
      <alignment horizontal="center" vertical="center" wrapText="1"/>
      <protection hidden="1"/>
    </xf>
    <xf numFmtId="0" fontId="44" fillId="0" borderId="2" xfId="0" applyFont="1" applyBorder="1" applyAlignment="1" applyProtection="1">
      <alignment horizontal="center" vertical="center" wrapText="1"/>
      <protection hidden="1"/>
    </xf>
    <xf numFmtId="0" fontId="44" fillId="0" borderId="3" xfId="0" applyFont="1" applyBorder="1" applyAlignment="1" applyProtection="1">
      <alignment horizontal="center" vertical="center" wrapText="1"/>
      <protection hidden="1"/>
    </xf>
    <xf numFmtId="0" fontId="43" fillId="0" borderId="7" xfId="0" applyFont="1" applyBorder="1" applyAlignment="1" applyProtection="1">
      <alignment horizontal="center"/>
      <protection hidden="1"/>
    </xf>
    <xf numFmtId="0" fontId="43" fillId="0" borderId="20" xfId="0" applyFont="1" applyBorder="1" applyAlignment="1" applyProtection="1">
      <alignment horizontal="center"/>
      <protection hidden="1"/>
    </xf>
    <xf numFmtId="0" fontId="43" fillId="0" borderId="8" xfId="0" applyFont="1" applyBorder="1" applyAlignment="1" applyProtection="1">
      <alignment horizontal="center"/>
      <protection hidden="1"/>
    </xf>
    <xf numFmtId="0" fontId="44" fillId="0" borderId="0" xfId="0" applyFont="1" applyAlignment="1" applyProtection="1">
      <alignment horizontal="center"/>
      <protection hidden="1"/>
    </xf>
    <xf numFmtId="0" fontId="3" fillId="0" borderId="2" xfId="0" applyFont="1" applyBorder="1" applyAlignment="1" applyProtection="1">
      <alignment horizontal="center" vertical="center" textRotation="45" wrapText="1"/>
      <protection hidden="1"/>
    </xf>
    <xf numFmtId="0" fontId="3" fillId="0" borderId="3" xfId="0" applyFont="1" applyBorder="1" applyAlignment="1" applyProtection="1">
      <alignment horizontal="center" vertical="center" textRotation="45"/>
      <protection hidden="1"/>
    </xf>
    <xf numFmtId="0" fontId="3" fillId="0" borderId="19" xfId="0" applyFont="1" applyBorder="1" applyAlignment="1" applyProtection="1">
      <alignment horizontal="center" vertical="center" textRotation="45"/>
      <protection hidden="1"/>
    </xf>
    <xf numFmtId="0" fontId="44" fillId="0" borderId="0" xfId="0" applyFont="1" applyBorder="1" applyAlignment="1" applyProtection="1">
      <alignment horizontal="center" vertical="center" wrapText="1"/>
      <protection hidden="1"/>
    </xf>
    <xf numFmtId="0" fontId="44" fillId="0" borderId="23" xfId="0" applyFont="1" applyBorder="1" applyAlignment="1" applyProtection="1">
      <alignment horizontal="center" vertical="center" wrapText="1"/>
      <protection hidden="1"/>
    </xf>
    <xf numFmtId="0" fontId="3" fillId="0" borderId="3" xfId="0" applyFont="1" applyBorder="1" applyAlignment="1" applyProtection="1">
      <alignment horizontal="center" vertical="center" textRotation="45" wrapText="1"/>
      <protection hidden="1"/>
    </xf>
    <xf numFmtId="0" fontId="3" fillId="0" borderId="19" xfId="0" applyFont="1" applyBorder="1" applyAlignment="1" applyProtection="1">
      <alignment horizontal="center" vertical="center" textRotation="45" wrapText="1"/>
      <protection hidden="1"/>
    </xf>
    <xf numFmtId="0" fontId="44" fillId="10" borderId="75" xfId="0" applyFont="1" applyFill="1" applyBorder="1" applyAlignment="1" applyProtection="1">
      <alignment horizontal="center" vertical="center" wrapText="1"/>
      <protection hidden="1"/>
    </xf>
    <xf numFmtId="0" fontId="44" fillId="10" borderId="25" xfId="0" applyFont="1" applyFill="1" applyBorder="1" applyAlignment="1" applyProtection="1">
      <alignment horizontal="center" vertical="center" wrapText="1"/>
      <protection hidden="1"/>
    </xf>
    <xf numFmtId="0" fontId="4" fillId="0" borderId="2" xfId="0" applyFont="1" applyFill="1" applyBorder="1" applyAlignment="1" applyProtection="1">
      <alignment horizontal="center" vertical="center" textRotation="45" wrapText="1"/>
      <protection hidden="1"/>
    </xf>
    <xf numFmtId="0" fontId="4" fillId="0" borderId="3" xfId="0" applyFont="1" applyFill="1" applyBorder="1" applyAlignment="1" applyProtection="1">
      <alignment horizontal="center" vertical="center" textRotation="45" wrapText="1"/>
      <protection hidden="1"/>
    </xf>
    <xf numFmtId="0" fontId="4" fillId="0" borderId="19" xfId="0" applyFont="1" applyFill="1" applyBorder="1" applyAlignment="1" applyProtection="1">
      <alignment horizontal="center" vertical="center" textRotation="45" wrapText="1"/>
      <protection hidden="1"/>
    </xf>
    <xf numFmtId="0" fontId="48" fillId="0" borderId="18" xfId="0" applyFont="1" applyBorder="1" applyAlignment="1" applyProtection="1">
      <alignment horizontal="left" vertical="top" wrapText="1"/>
      <protection hidden="1"/>
    </xf>
    <xf numFmtId="0" fontId="48" fillId="0" borderId="9" xfId="0" applyFont="1" applyBorder="1" applyAlignment="1" applyProtection="1">
      <alignment horizontal="left" vertical="top" wrapText="1"/>
      <protection hidden="1"/>
    </xf>
    <xf numFmtId="0" fontId="48" fillId="0" borderId="0" xfId="0" applyFont="1" applyBorder="1" applyAlignment="1" applyProtection="1">
      <alignment horizontal="left" vertical="top" wrapText="1"/>
      <protection hidden="1"/>
    </xf>
    <xf numFmtId="0" fontId="48" fillId="0" borderId="14" xfId="0" applyFont="1" applyBorder="1" applyAlignment="1" applyProtection="1">
      <alignment horizontal="left" vertical="top" wrapText="1"/>
      <protection hidden="1"/>
    </xf>
    <xf numFmtId="0" fontId="48" fillId="0" borderId="16" xfId="0" applyFont="1" applyBorder="1" applyAlignment="1" applyProtection="1">
      <alignment horizontal="left" vertical="top" wrapText="1"/>
      <protection hidden="1"/>
    </xf>
    <xf numFmtId="0" fontId="48" fillId="0" borderId="17" xfId="0" applyFont="1" applyBorder="1" applyAlignment="1" applyProtection="1">
      <alignment horizontal="left" vertical="top" wrapText="1"/>
      <protection hidden="1"/>
    </xf>
    <xf numFmtId="0" fontId="3" fillId="0" borderId="1" xfId="0" applyFont="1" applyBorder="1" applyAlignment="1" applyProtection="1">
      <alignment horizontal="center" vertical="center" textRotation="45"/>
      <protection hidden="1"/>
    </xf>
    <xf numFmtId="0" fontId="3" fillId="0" borderId="13" xfId="0" applyFont="1" applyBorder="1" applyAlignment="1" applyProtection="1">
      <alignment horizontal="center" vertical="center" textRotation="45"/>
      <protection hidden="1"/>
    </xf>
    <xf numFmtId="0" fontId="3" fillId="0" borderId="15" xfId="0" applyFont="1" applyBorder="1" applyAlignment="1" applyProtection="1">
      <alignment horizontal="center" vertical="center" textRotation="45"/>
      <protection hidden="1"/>
    </xf>
    <xf numFmtId="0" fontId="3" fillId="10" borderId="2" xfId="0" applyFont="1" applyFill="1" applyBorder="1" applyAlignment="1" applyProtection="1">
      <alignment horizontal="center" vertical="center" textRotation="45" wrapText="1"/>
      <protection hidden="1"/>
    </xf>
    <xf numFmtId="0" fontId="3" fillId="10" borderId="19" xfId="0" applyFont="1" applyFill="1" applyBorder="1" applyAlignment="1" applyProtection="1">
      <alignment horizontal="center" vertical="center" textRotation="45" wrapText="1"/>
      <protection hidden="1"/>
    </xf>
    <xf numFmtId="0" fontId="44" fillId="0" borderId="7" xfId="0" applyFont="1" applyBorder="1" applyAlignment="1" applyProtection="1">
      <alignment horizontal="center"/>
      <protection hidden="1"/>
    </xf>
    <xf numFmtId="0" fontId="44" fillId="0" borderId="20" xfId="0" applyFont="1" applyBorder="1" applyAlignment="1" applyProtection="1">
      <alignment horizontal="center"/>
      <protection hidden="1"/>
    </xf>
    <xf numFmtId="0" fontId="44" fillId="0" borderId="8" xfId="0" applyFont="1" applyBorder="1" applyAlignment="1" applyProtection="1">
      <alignment horizontal="center"/>
      <protection hidden="1"/>
    </xf>
    <xf numFmtId="0" fontId="44" fillId="0" borderId="10" xfId="0" applyFont="1" applyBorder="1" applyAlignment="1" applyProtection="1">
      <alignment horizontal="center"/>
      <protection hidden="1"/>
    </xf>
    <xf numFmtId="0" fontId="44" fillId="0" borderId="11" xfId="0" applyFont="1" applyBorder="1" applyAlignment="1" applyProtection="1">
      <alignment horizontal="center"/>
      <protection hidden="1"/>
    </xf>
  </cellXfs>
  <cellStyles count="5">
    <cellStyle name="Comma" xfId="3" builtinId="3"/>
    <cellStyle name="Currency" xfId="1" builtinId="4"/>
    <cellStyle name="Hyperlink" xfId="4" builtinId="8"/>
    <cellStyle name="Normal" xfId="0" builtinId="0"/>
    <cellStyle name="Percent" xfId="2" builtinId="5"/>
  </cellStyles>
  <dxfs count="1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571500</xdr:colOff>
      <xdr:row>11</xdr:row>
      <xdr:rowOff>25400</xdr:rowOff>
    </xdr:from>
    <xdr:to>
      <xdr:col>8</xdr:col>
      <xdr:colOff>165100</xdr:colOff>
      <xdr:row>13</xdr:row>
      <xdr:rowOff>50800</xdr:rowOff>
    </xdr:to>
    <xdr:pic>
      <xdr:nvPicPr>
        <xdr:cNvPr id="5" name="Picture 4">
          <a:extLst>
            <a:ext uri="{FF2B5EF4-FFF2-40B4-BE49-F238E27FC236}">
              <a16:creationId xmlns:a16="http://schemas.microsoft.com/office/drawing/2014/main" id="{24AA5628-1F35-934E-B063-E1928E21003E}"/>
            </a:ext>
          </a:extLst>
        </xdr:cNvPr>
        <xdr:cNvPicPr>
          <a:picLocks noChangeAspect="1"/>
        </xdr:cNvPicPr>
      </xdr:nvPicPr>
      <xdr:blipFill>
        <a:blip xmlns:r="http://schemas.openxmlformats.org/officeDocument/2006/relationships" r:embed="rId1"/>
        <a:stretch>
          <a:fillRect/>
        </a:stretch>
      </xdr:blipFill>
      <xdr:spPr>
        <a:xfrm>
          <a:off x="1625600" y="1397000"/>
          <a:ext cx="4546600" cy="444500"/>
        </a:xfrm>
        <a:prstGeom prst="rect">
          <a:avLst/>
        </a:prstGeom>
      </xdr:spPr>
    </xdr:pic>
    <xdr:clientData/>
  </xdr:twoCellAnchor>
  <xdr:twoCellAnchor editAs="oneCell">
    <xdr:from>
      <xdr:col>8</xdr:col>
      <xdr:colOff>330200</xdr:colOff>
      <xdr:row>11</xdr:row>
      <xdr:rowOff>0</xdr:rowOff>
    </xdr:from>
    <xdr:to>
      <xdr:col>10</xdr:col>
      <xdr:colOff>800100</xdr:colOff>
      <xdr:row>13</xdr:row>
      <xdr:rowOff>127869</xdr:rowOff>
    </xdr:to>
    <xdr:pic>
      <xdr:nvPicPr>
        <xdr:cNvPr id="4" name="Picture 3">
          <a:extLst>
            <a:ext uri="{FF2B5EF4-FFF2-40B4-BE49-F238E27FC236}">
              <a16:creationId xmlns:a16="http://schemas.microsoft.com/office/drawing/2014/main" id="{6213F04F-603E-E543-869E-1ADD63405D29}"/>
            </a:ext>
          </a:extLst>
        </xdr:cNvPr>
        <xdr:cNvPicPr>
          <a:picLocks noChangeAspect="1"/>
        </xdr:cNvPicPr>
      </xdr:nvPicPr>
      <xdr:blipFill>
        <a:blip xmlns:r="http://schemas.openxmlformats.org/officeDocument/2006/relationships" r:embed="rId2"/>
        <a:stretch>
          <a:fillRect/>
        </a:stretch>
      </xdr:blipFill>
      <xdr:spPr>
        <a:xfrm>
          <a:off x="6337300" y="2133600"/>
          <a:ext cx="2120900" cy="546969"/>
        </a:xfrm>
        <a:prstGeom prst="rect">
          <a:avLst/>
        </a:prstGeom>
      </xdr:spPr>
    </xdr:pic>
    <xdr:clientData/>
  </xdr:twoCellAnchor>
  <xdr:twoCellAnchor editAs="oneCell">
    <xdr:from>
      <xdr:col>1</xdr:col>
      <xdr:colOff>355600</xdr:colOff>
      <xdr:row>7</xdr:row>
      <xdr:rowOff>50800</xdr:rowOff>
    </xdr:from>
    <xdr:to>
      <xdr:col>17</xdr:col>
      <xdr:colOff>736600</xdr:colOff>
      <xdr:row>9</xdr:row>
      <xdr:rowOff>63500</xdr:rowOff>
    </xdr:to>
    <xdr:pic>
      <xdr:nvPicPr>
        <xdr:cNvPr id="6" name="Picture 5">
          <a:extLst>
            <a:ext uri="{FF2B5EF4-FFF2-40B4-BE49-F238E27FC236}">
              <a16:creationId xmlns:a16="http://schemas.microsoft.com/office/drawing/2014/main" id="{CC001F36-FA7B-E444-8042-7370D315DE11}"/>
            </a:ext>
          </a:extLst>
        </xdr:cNvPr>
        <xdr:cNvPicPr>
          <a:picLocks noChangeAspect="1"/>
        </xdr:cNvPicPr>
      </xdr:nvPicPr>
      <xdr:blipFill>
        <a:blip xmlns:r="http://schemas.openxmlformats.org/officeDocument/2006/relationships" r:embed="rId3"/>
        <a:stretch>
          <a:fillRect/>
        </a:stretch>
      </xdr:blipFill>
      <xdr:spPr>
        <a:xfrm>
          <a:off x="584200" y="1371600"/>
          <a:ext cx="13589000"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0</xdr:row>
      <xdr:rowOff>0</xdr:rowOff>
    </xdr:from>
    <xdr:to>
      <xdr:col>18</xdr:col>
      <xdr:colOff>293852</xdr:colOff>
      <xdr:row>42</xdr:row>
      <xdr:rowOff>147582</xdr:rowOff>
    </xdr:to>
    <xdr:sp macro="" textlink="">
      <xdr:nvSpPr>
        <xdr:cNvPr id="2" name="TextBox 1">
          <a:extLst>
            <a:ext uri="{FF2B5EF4-FFF2-40B4-BE49-F238E27FC236}">
              <a16:creationId xmlns:a16="http://schemas.microsoft.com/office/drawing/2014/main" id="{46607D55-DCD0-9140-9FF0-3FF18302B90C}"/>
            </a:ext>
          </a:extLst>
        </xdr:cNvPr>
        <xdr:cNvSpPr txBox="1"/>
      </xdr:nvSpPr>
      <xdr:spPr>
        <a:xfrm>
          <a:off x="977900" y="0"/>
          <a:ext cx="17451552" cy="8681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5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482600</xdr:colOff>
      <xdr:row>0</xdr:row>
      <xdr:rowOff>0</xdr:rowOff>
    </xdr:from>
    <xdr:to>
      <xdr:col>16</xdr:col>
      <xdr:colOff>215900</xdr:colOff>
      <xdr:row>69</xdr:row>
      <xdr:rowOff>25400</xdr:rowOff>
    </xdr:to>
    <xdr:sp macro="" textlink="">
      <xdr:nvSpPr>
        <xdr:cNvPr id="2" name="Rectangle 1">
          <a:extLst>
            <a:ext uri="{FF2B5EF4-FFF2-40B4-BE49-F238E27FC236}">
              <a16:creationId xmlns:a16="http://schemas.microsoft.com/office/drawing/2014/main" id="{93029552-30D6-8C4C-9403-645D5903622C}"/>
            </a:ext>
          </a:extLst>
        </xdr:cNvPr>
        <xdr:cNvSpPr/>
      </xdr:nvSpPr>
      <xdr:spPr>
        <a:xfrm>
          <a:off x="482600" y="0"/>
          <a:ext cx="17767300" cy="14071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68</xdr:row>
      <xdr:rowOff>0</xdr:rowOff>
    </xdr:from>
    <xdr:to>
      <xdr:col>26</xdr:col>
      <xdr:colOff>618279</xdr:colOff>
      <xdr:row>109</xdr:row>
      <xdr:rowOff>57527</xdr:rowOff>
    </xdr:to>
    <xdr:sp macro="" textlink="">
      <xdr:nvSpPr>
        <xdr:cNvPr id="2" name="TextBox 1">
          <a:extLst>
            <a:ext uri="{FF2B5EF4-FFF2-40B4-BE49-F238E27FC236}">
              <a16:creationId xmlns:a16="http://schemas.microsoft.com/office/drawing/2014/main" id="{3759893A-D020-0243-9C53-831DDDF3E547}"/>
            </a:ext>
          </a:extLst>
        </xdr:cNvPr>
        <xdr:cNvSpPr txBox="1"/>
      </xdr:nvSpPr>
      <xdr:spPr>
        <a:xfrm>
          <a:off x="4779818" y="14224000"/>
          <a:ext cx="17451552" cy="8681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500"/>
            <a:t>NOT</a:t>
          </a:r>
          <a:r>
            <a:rPr lang="en-US" sz="11500" baseline="0"/>
            <a:t> a valid deployment model for 8.4 </a:t>
          </a:r>
          <a:endParaRPr lang="en-US" sz="11500"/>
        </a:p>
      </xdr:txBody>
    </xdr:sp>
    <xdr:clientData/>
  </xdr:twoCellAnchor>
  <xdr:twoCellAnchor>
    <xdr:from>
      <xdr:col>0</xdr:col>
      <xdr:colOff>277091</xdr:colOff>
      <xdr:row>0</xdr:row>
      <xdr:rowOff>57727</xdr:rowOff>
    </xdr:from>
    <xdr:to>
      <xdr:col>25</xdr:col>
      <xdr:colOff>207818</xdr:colOff>
      <xdr:row>63</xdr:row>
      <xdr:rowOff>127000</xdr:rowOff>
    </xdr:to>
    <xdr:sp macro="" textlink="">
      <xdr:nvSpPr>
        <xdr:cNvPr id="3" name="Rectangle 2">
          <a:extLst>
            <a:ext uri="{FF2B5EF4-FFF2-40B4-BE49-F238E27FC236}">
              <a16:creationId xmlns:a16="http://schemas.microsoft.com/office/drawing/2014/main" id="{6D3090ED-4167-5540-B2DC-BB08E62829DA}"/>
            </a:ext>
          </a:extLst>
        </xdr:cNvPr>
        <xdr:cNvSpPr/>
      </xdr:nvSpPr>
      <xdr:spPr>
        <a:xfrm>
          <a:off x="277091" y="57727"/>
          <a:ext cx="20828000" cy="132541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3"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rew.a.sens@ibm.com/Desktop/Calc%20an%20Models/Rebuild/Footprint_cost_MAS_MANAGED_V_8.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rew.a.sens@ibm.com/Downloads/Footprint_cost_MAS_MANAGED_V_8.4_WIP_new%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d Svcs, capacity"/>
    </sheetNames>
    <sheetDataSet>
      <sheetData sheetId="0">
        <row r="59">
          <cell r="I59">
            <v>2750.0000000000005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d Svcs, capacity"/>
      <sheetName val="Costing Model"/>
      <sheetName val="Input Cost"/>
      <sheetName val="Satellite"/>
      <sheetName val="StorageCost"/>
      <sheetName val="SavingsPotentialsforFuture"/>
      <sheetName val="T-shirt Sizes"/>
      <sheetName val="Sheet2"/>
      <sheetName val="Input from M. Cookson --&gt; "/>
      <sheetName val="MAS Core"/>
      <sheetName val="Monitor"/>
      <sheetName val="Health"/>
      <sheetName val="Predict"/>
      <sheetName val="VisualInspection"/>
      <sheetName val="Manage"/>
      <sheetName val="Old Analysis --&gt; "/>
      <sheetName val="Summary of cost"/>
      <sheetName val="Summary ( monitor ) "/>
      <sheetName val="current"/>
      <sheetName val="Sheet1"/>
    </sheetNames>
    <sheetDataSet>
      <sheetData sheetId="0"/>
      <sheetData sheetId="1"/>
      <sheetData sheetId="2">
        <row r="9">
          <cell r="F9">
            <v>16</v>
          </cell>
          <cell r="G9">
            <v>64</v>
          </cell>
          <cell r="J9">
            <v>489.06</v>
          </cell>
        </row>
        <row r="11">
          <cell r="F11">
            <v>32</v>
          </cell>
          <cell r="G11">
            <v>384</v>
          </cell>
          <cell r="J11">
            <v>2541.11</v>
          </cell>
        </row>
        <row r="18">
          <cell r="M18">
            <v>0.38159999999999999</v>
          </cell>
        </row>
        <row r="30">
          <cell r="F30">
            <v>3.6000000000000005</v>
          </cell>
        </row>
        <row r="31">
          <cell r="G31">
            <v>1.7760937500000001E-2</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d Svcs, capacity"/>
      <sheetName val="Costing Model"/>
      <sheetName val="StorageCost"/>
      <sheetName val="SavingsPotentialsforFuture"/>
      <sheetName val="T-shirt Sizes"/>
      <sheetName val="Input Cost"/>
      <sheetName val="Sheet2"/>
      <sheetName val="Input from M. Cookson --&gt; "/>
      <sheetName val="MAS Core"/>
      <sheetName val="Monitor"/>
      <sheetName val="Health"/>
      <sheetName val="Predict"/>
      <sheetName val="VisualInspection"/>
      <sheetName val="Manage"/>
      <sheetName val="Old Analysis --&gt; "/>
      <sheetName val="Summary of cost"/>
      <sheetName val="Summary ( monitor ) "/>
      <sheetName val="current"/>
      <sheetName val="Sheet1"/>
    </sheetNames>
    <sheetDataSet>
      <sheetData sheetId="0">
        <row r="80">
          <cell r="B80" t="str">
            <v>MAS apps</v>
          </cell>
        </row>
      </sheetData>
      <sheetData sheetId="1"/>
      <sheetData sheetId="2"/>
      <sheetData sheetId="3"/>
      <sheetData sheetId="4"/>
      <sheetData sheetId="5" refreshError="1">
        <row r="2">
          <cell r="D2">
            <v>0.28000000000000003</v>
          </cell>
        </row>
        <row r="50">
          <cell r="D50" t="str">
            <v>Y</v>
          </cell>
          <cell r="E50" t="str">
            <v>N</v>
          </cell>
        </row>
        <row r="51">
          <cell r="D51" t="str">
            <v>XS</v>
          </cell>
          <cell r="E51" t="str">
            <v>S</v>
          </cell>
          <cell r="F51" t="str">
            <v>M</v>
          </cell>
          <cell r="G51" t="str">
            <v>L</v>
          </cell>
        </row>
      </sheetData>
      <sheetData sheetId="6"/>
      <sheetData sheetId="7"/>
      <sheetData sheetId="8"/>
      <sheetData sheetId="9"/>
      <sheetData sheetId="10"/>
      <sheetData sheetId="11"/>
      <sheetData sheetId="12"/>
      <sheetData sheetId="13">
        <row r="47">
          <cell r="E47">
            <v>4096</v>
          </cell>
        </row>
      </sheetData>
      <sheetData sheetId="14"/>
      <sheetData sheetId="15"/>
      <sheetData sheetId="16"/>
      <sheetData sheetId="17"/>
      <sheetData sheetId="18"/>
    </sheetDataSet>
  </externalBook>
</externalLink>
</file>

<file path=xl/persons/person.xml><?xml version="1.0" encoding="utf-8"?>
<personList xmlns="http://schemas.microsoft.com/office/spreadsheetml/2018/threadedcomments" xmlns:x="http://schemas.openxmlformats.org/spreadsheetml/2006/main">
  <person displayName="Arlindo Chiavegatto" id="{0001900C-FC2A-BB4B-BE9B-3E13B779D47F}" userId="S::arlindo@us.ibm.com::a1899472-f4a9-4a2f-96f5-7912281a4f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0-09-18T20:28:53.17" personId="{0001900C-FC2A-BB4B-BE9B-3E13B779D47F}" id="{D663FE22-328F-4442-A0FB-1768C5CE58ED}">
    <text xml:space="preserve">Cost of infra on ROKS is about 30% higher
</text>
  </threadedComment>
  <threadedComment ref="D12" dT="2020-09-18T20:28:53.17" personId="{0001900C-FC2A-BB4B-BE9B-3E13B779D47F}" id="{F5659805-0337-A74D-AC50-323D88AD549F}">
    <text xml:space="preserve">Cost of infra on ROKS is about 30% higher
</text>
  </threadedComment>
</ThreadedComments>
</file>

<file path=xl/threadedComments/threadedComment2.xml><?xml version="1.0" encoding="utf-8"?>
<ThreadedComments xmlns="http://schemas.microsoft.com/office/spreadsheetml/2018/threadedcomments" xmlns:x="http://schemas.openxmlformats.org/spreadsheetml/2006/main">
  <threadedComment ref="C4" dT="2020-02-20T18:21:19.84" personId="{0001900C-FC2A-BB4B-BE9B-3E13B779D47F}" id="{DE79D45B-0390-1049-99A7-E9452715E1F3}">
    <text>Min OCP 4.3 cluster:     3 master nodes ( 3* (4CPU ,16 GB) )   + 2 worker Nodes ( 2 * (2 CPU , 8 GB)),  - Note: the production env should use a load balancer  but customer can provision/use any external LB - so that will not be included in the VPCs count for pricing consideration</text>
  </threadedComment>
  <threadedComment ref="C5" dT="2020-02-20T18:21:19.84" personId="{0001900C-FC2A-BB4B-BE9B-3E13B779D47F}" id="{C5E71692-A792-F849-884B-49AB93055717}">
    <text>Min OCP 4.3 cluster:     3 master nodes ( 3* (4CPU ,16 GB) )   + 2 worker Nodes ( 2 * (2 CPU , 8 GB)),  - Note: the production env should use a load balancer  but customer can provision/use any external LB - so that will not be included in the VPCs count for pricing consideration</text>
  </threadedComment>
  <threadedComment ref="C5" dT="2020-03-31T19:55:07.70" personId="{0001900C-FC2A-BB4B-BE9B-3E13B779D47F}" id="{6E69DCF7-6F02-FD4F-BC61-479D5FDDC500}" parentId="{C5E71692-A792-F849-884B-49AB93055717}">
    <text>based on https://docs.openshift.com/container-platform/4.3/installing/installing_bare_metal/installing-bare-metal.html#machine-requirements_installing-bare-metal</text>
  </threadedComment>
  <threadedComment ref="C14" dT="2020-02-20T18:29:14.74" personId="{0001900C-FC2A-BB4B-BE9B-3E13B779D47F}" id="{54394CC1-092D-B34F-9A19-8A52B7B278D4}">
    <text>for master node req- CP4D 2.5 required 3*8 CPus. ( i.e. 4 more than the min from OCP
For worker nodes, Adam Strom gave info that new version will need 3x4 CPUs</text>
  </threadedComment>
  <threadedComment ref="C14" dT="2020-03-20T14:47:18.24" personId="{0001900C-FC2A-BB4B-BE9B-3E13B779D47F}" id="{A108CCAE-2C57-0F49-918D-C6DC6B1512E2}" parentId="{54394CC1-092D-B34F-9A19-8A52B7B278D4}">
    <text>BAsed on CP4D sizings</text>
  </threadedComment>
  <threadedComment ref="C18" dT="2020-02-20T18:30:30.10" personId="{0001900C-FC2A-BB4B-BE9B-3E13B779D47F}" id="{CABB2868-8408-D045-AE0E-52DC97620AA6}">
    <text>Min deployment recommended for production for Mongo is 3*4 CPUs</text>
  </threadedComment>
  <threadedComment ref="C18" dT="2020-03-20T14:35:28.35" personId="{0001900C-FC2A-BB4B-BE9B-3E13B779D47F}" id="{A02B851E-9395-5840-98D1-D2308E59CE0B}" parentId="{CABB2868-8408-D045-AE0E-52DC97620AA6}">
    <text xml:space="preserve">Based on Cp4D docs - Mongo Medium config is 8 CPUs
</text>
  </threadedComment>
  <threadedComment ref="C19" dT="2020-02-20T18:30:30.10" personId="{0001900C-FC2A-BB4B-BE9B-3E13B779D47F}" id="{ADAAC77A-C334-D846-901D-515A33C6B079}">
    <text>Min deployment recommended for production for Mongo is 3*4 CPUs</text>
  </threadedComment>
  <threadedComment ref="C19" dT="2020-03-20T14:35:28.35" personId="{0001900C-FC2A-BB4B-BE9B-3E13B779D47F}" id="{01E7B367-1C7B-554A-A9F9-11E2FF78B931}" parentId="{ADAAC77A-C334-D846-901D-515A33C6B079}">
    <text xml:space="preserve">Based on Cp4D docs - Mongo Medium config is 8 CPUs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ibm.seismic.com/Link/Content/DCnyWTNOxNHk-RwX2P14KfOw" TargetMode="External"/><Relationship Id="rId13" Type="http://schemas.openxmlformats.org/officeDocument/2006/relationships/drawing" Target="../drawings/drawing1.xml"/><Relationship Id="rId3" Type="http://schemas.openxmlformats.org/officeDocument/2006/relationships/hyperlink" Target="https://ibm.seismic.com/Link/Content/DCEa82jV6RYku_DREDVjOOYg" TargetMode="External"/><Relationship Id="rId7" Type="http://schemas.openxmlformats.org/officeDocument/2006/relationships/hyperlink" Target="https://ibm.seismic.com/Link/Content/DCVvzEpi9VZ0eVniA_NXBaVg" TargetMode="External"/><Relationship Id="rId12" Type="http://schemas.openxmlformats.org/officeDocument/2006/relationships/hyperlink" Target="https://www.ibm.com/software/reports/compatibility/clarity-reports/report/html/softwareReqsForProduct?deliverableId=3F0E2B305E7111EABE1C939145D7672E" TargetMode="External"/><Relationship Id="rId2" Type="http://schemas.openxmlformats.org/officeDocument/2006/relationships/hyperlink" Target="https://ibm.seismic.com/Link/Content/DCbXbMeKRIIkaagV6KaUcSUA" TargetMode="External"/><Relationship Id="rId1" Type="http://schemas.openxmlformats.org/officeDocument/2006/relationships/hyperlink" Target="https://ibm.seismic.com/Link/Content/DCgi2Hgut8ME2hwDN-1gQVRw" TargetMode="External"/><Relationship Id="rId6" Type="http://schemas.openxmlformats.org/officeDocument/2006/relationships/hyperlink" Target="https://ibm.seismic.com/Link/Content/DCyNwydmoGnEyIH6rvBuxhUQ" TargetMode="External"/><Relationship Id="rId11" Type="http://schemas.openxmlformats.org/officeDocument/2006/relationships/hyperlink" Target="https://www-03.ibm.com/software/sla/sladb.nsf/pdf/8819-02/$file/i126-8819-02_08-2020_en_US.pdf" TargetMode="External"/><Relationship Id="rId5" Type="http://schemas.openxmlformats.org/officeDocument/2006/relationships/hyperlink" Target="https://ibm.seismic.com/Link/Content/DCykDx2eDe1UOxw4U2nn75vA" TargetMode="External"/><Relationship Id="rId10" Type="http://schemas.openxmlformats.org/officeDocument/2006/relationships/hyperlink" Target="https://www-01.ibm.com/common/ssi/ShowDoc.wss?docURL=/common/ssi/rep_ca/7/897/ENUS220-237/index.html&amp;request_locale=en" TargetMode="External"/><Relationship Id="rId4" Type="http://schemas.openxmlformats.org/officeDocument/2006/relationships/hyperlink" Target="https://ibm.seismic.com/Link/Content/DCykDx2eDe1UOxw4U2nn75vA" TargetMode="External"/><Relationship Id="rId9" Type="http://schemas.openxmlformats.org/officeDocument/2006/relationships/hyperlink" Target="https://www.ibm.com/support/pages/node/622872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ibm.seismic.com/Link/Content/DCVvzEpi9VZ0eVniA_NXBaVg" TargetMode="External"/><Relationship Id="rId1" Type="http://schemas.openxmlformats.org/officeDocument/2006/relationships/hyperlink" Target="https://ibm.seismic.com/Link/Content/DCnyWTNOxNHk-RwX2P14KfOw"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bm.com/support/pages/node/639787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bm.com/support/pages/node/6397878"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bm.com/support/pages/system/files/inline-files/Maximo%20Application%20Suite%20On%20Premise%20Deployment%20Calculator%20V7_6.xlsx" TargetMode="External"/><Relationship Id="rId1" Type="http://schemas.openxmlformats.org/officeDocument/2006/relationships/hyperlink" Target="https://www.ibm.com/support/pages/node/6397878"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hyperlink" Target="https://ibm.seismic.com/Link/Content/DCbXbMeKRIIkaagV6KaUcSUA"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2BE7-C7EF-E041-9786-A74975FCDB46}">
  <sheetPr codeName="Sheet3">
    <tabColor theme="7" tint="0.79998168889431442"/>
  </sheetPr>
  <dimension ref="B1:D36"/>
  <sheetViews>
    <sheetView workbookViewId="0">
      <selection activeCell="C35" sqref="C35"/>
    </sheetView>
  </sheetViews>
  <sheetFormatPr baseColWidth="10" defaultRowHeight="16" x14ac:dyDescent="0.2"/>
  <cols>
    <col min="1" max="1" width="3" customWidth="1"/>
  </cols>
  <sheetData>
    <row r="1" spans="2:4" ht="12" customHeight="1" x14ac:dyDescent="0.2"/>
    <row r="2" spans="2:4" ht="12" customHeight="1" x14ac:dyDescent="0.2">
      <c r="B2" s="225" t="str">
        <f>'Output Dashboard'!B2</f>
        <v>MAS Managed Service Calculator 5.4</v>
      </c>
    </row>
    <row r="3" spans="2:4" x14ac:dyDescent="0.2">
      <c r="B3" s="2" t="s">
        <v>380</v>
      </c>
    </row>
    <row r="4" spans="2:4" x14ac:dyDescent="0.2">
      <c r="B4" s="2"/>
      <c r="C4" s="224" t="s">
        <v>384</v>
      </c>
    </row>
    <row r="5" spans="2:4" x14ac:dyDescent="0.2">
      <c r="B5" s="2"/>
      <c r="D5" t="str">
        <f>"This is Version: "&amp;'Output Dashboard'!B2</f>
        <v>This is Version: MAS Managed Service Calculator 5.4</v>
      </c>
    </row>
    <row r="6" spans="2:4" x14ac:dyDescent="0.2">
      <c r="B6" s="2"/>
    </row>
    <row r="7" spans="2:4" x14ac:dyDescent="0.2">
      <c r="C7" t="s">
        <v>393</v>
      </c>
    </row>
    <row r="11" spans="2:4" ht="16" customHeight="1" x14ac:dyDescent="0.2">
      <c r="C11" s="223" t="s">
        <v>407</v>
      </c>
    </row>
    <row r="12" spans="2:4" ht="17" customHeight="1" x14ac:dyDescent="0.2"/>
    <row r="15" spans="2:4" x14ac:dyDescent="0.2">
      <c r="C15" t="s">
        <v>394</v>
      </c>
    </row>
    <row r="16" spans="2:4" x14ac:dyDescent="0.2">
      <c r="C16" t="s">
        <v>395</v>
      </c>
    </row>
    <row r="17" spans="2:4" x14ac:dyDescent="0.2">
      <c r="C17" t="s">
        <v>553</v>
      </c>
    </row>
    <row r="18" spans="2:4" x14ac:dyDescent="0.2">
      <c r="C18" t="s">
        <v>396</v>
      </c>
    </row>
    <row r="22" spans="2:4" x14ac:dyDescent="0.2">
      <c r="B22" s="2" t="s">
        <v>554</v>
      </c>
    </row>
    <row r="23" spans="2:4" x14ac:dyDescent="0.2">
      <c r="B23" s="2"/>
      <c r="C23" s="224" t="s">
        <v>389</v>
      </c>
    </row>
    <row r="24" spans="2:4" x14ac:dyDescent="0.2">
      <c r="B24" s="2"/>
      <c r="C24" s="224" t="s">
        <v>390</v>
      </c>
    </row>
    <row r="25" spans="2:4" x14ac:dyDescent="0.2">
      <c r="B25" s="2"/>
      <c r="C25" s="224" t="s">
        <v>391</v>
      </c>
    </row>
    <row r="26" spans="2:4" x14ac:dyDescent="0.2">
      <c r="B26" s="2"/>
      <c r="C26" s="224" t="s">
        <v>392</v>
      </c>
    </row>
    <row r="27" spans="2:4" x14ac:dyDescent="0.2">
      <c r="B27" s="2"/>
    </row>
    <row r="28" spans="2:4" x14ac:dyDescent="0.2">
      <c r="C28" s="224" t="s">
        <v>381</v>
      </c>
    </row>
    <row r="29" spans="2:4" x14ac:dyDescent="0.2">
      <c r="C29" s="224"/>
      <c r="D29" s="224" t="s">
        <v>385</v>
      </c>
    </row>
    <row r="30" spans="2:4" x14ac:dyDescent="0.2">
      <c r="D30" s="224" t="s">
        <v>383</v>
      </c>
    </row>
    <row r="31" spans="2:4" x14ac:dyDescent="0.2">
      <c r="D31" s="224" t="s">
        <v>555</v>
      </c>
    </row>
    <row r="32" spans="2:4" x14ac:dyDescent="0.2">
      <c r="D32" s="224"/>
    </row>
    <row r="33" spans="3:4" x14ac:dyDescent="0.2">
      <c r="C33" t="s">
        <v>386</v>
      </c>
    </row>
    <row r="34" spans="3:4" x14ac:dyDescent="0.2">
      <c r="D34" s="224" t="s">
        <v>382</v>
      </c>
    </row>
    <row r="35" spans="3:4" x14ac:dyDescent="0.2">
      <c r="D35" s="224" t="s">
        <v>387</v>
      </c>
    </row>
    <row r="36" spans="3:4" x14ac:dyDescent="0.2">
      <c r="D36" s="224" t="s">
        <v>552</v>
      </c>
    </row>
  </sheetData>
  <sheetProtection algorithmName="SHA-512" hashValue="D2xGRrF1gJJqjDET0LUeNpiSu/PwFtU9VV8f8z4/St1QJB5cKFSawMRUIu1KgzKkdVlLq81zuFeiULlhtPuOoA==" saltValue="dU16u0Gf2DLh786fq69I+A==" spinCount="100000" sheet="1" objects="1" scenarios="1"/>
  <hyperlinks>
    <hyperlink ref="C28" r:id="rId1" xr:uid="{5D1D670E-09D0-1745-9EAD-72A104928EDD}"/>
    <hyperlink ref="D34" r:id="rId2" xr:uid="{F9288E73-9C61-8D4F-B027-3A24E9C7F928}"/>
    <hyperlink ref="D30" r:id="rId3" xr:uid="{AAE96165-1F6F-2149-A1C8-E6CAB8E2EC37}"/>
    <hyperlink ref="C4" r:id="rId4" xr:uid="{291E6BAC-ED48-7A42-AF62-D9E7C8CFD10A}"/>
    <hyperlink ref="D31" r:id="rId5" display="MAS MS Pricince Calculator" xr:uid="{E0E7687E-5020-3747-A8E2-B028A397AADB}"/>
    <hyperlink ref="D29" r:id="rId6" xr:uid="{9A24AC2C-694E-F447-AB2F-7AFA2B7327E3}"/>
    <hyperlink ref="D35" r:id="rId7" xr:uid="{87AE24A9-9D6A-664D-82EC-7DD02E3C306B}"/>
    <hyperlink ref="D36" r:id="rId8" display="MAS MS SaaS Flex Migration CheckList" xr:uid="{BA4CAE7A-9A83-2B4B-A76A-A519139DEA51}"/>
    <hyperlink ref="C23" r:id="rId9" xr:uid="{3143DF35-F662-0142-B162-4DF60CEBA167}"/>
    <hyperlink ref="C24" r:id="rId10" xr:uid="{DB639467-3B36-E246-B460-53848BDFC2EE}"/>
    <hyperlink ref="C25" r:id="rId11" xr:uid="{8B3F2321-D671-7A45-9887-EE126FF28409}"/>
    <hyperlink ref="C26" r:id="rId12" xr:uid="{7C7CE9DD-01AE-9A4C-9A36-0BFC1A965E60}"/>
  </hyperlinks>
  <pageMargins left="0.7" right="0.7" top="0.75" bottom="0.75" header="0.3" footer="0.3"/>
  <pageSetup orientation="portrait" horizontalDpi="0" verticalDpi="0"/>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911D3-3B10-BB4F-A7DA-63211860D099}">
  <sheetPr codeName="Sheet5"/>
  <dimension ref="A1"/>
  <sheetViews>
    <sheetView workbookViewId="0">
      <selection activeCell="D14" sqref="D1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B9EFC-BA8D-D044-A43B-47366F8817C8}">
  <sheetPr codeName="Sheet6">
    <tabColor theme="9" tint="0.79998168889431442"/>
  </sheetPr>
  <dimension ref="B1:Y55"/>
  <sheetViews>
    <sheetView zoomScale="89" zoomScaleNormal="125" workbookViewId="0">
      <selection activeCell="C43" sqref="C43"/>
    </sheetView>
  </sheetViews>
  <sheetFormatPr baseColWidth="10" defaultRowHeight="16" outlineLevelCol="1" x14ac:dyDescent="0.2"/>
  <cols>
    <col min="1" max="1" width="1.83203125" style="259" customWidth="1"/>
    <col min="2" max="2" width="6" style="259" customWidth="1"/>
    <col min="3" max="3" width="79" style="259" customWidth="1"/>
    <col min="4" max="4" width="30.83203125" style="386" bestFit="1" customWidth="1"/>
    <col min="5" max="5" width="2.6640625" style="259" customWidth="1"/>
    <col min="6" max="6" width="19.5" style="326" bestFit="1" customWidth="1"/>
    <col min="7" max="7" width="17.6640625" style="259" customWidth="1"/>
    <col min="8" max="8" width="17.83203125" style="259" customWidth="1"/>
    <col min="9" max="9" width="59.83203125" style="526" customWidth="1"/>
    <col min="10" max="10" width="30" style="261" hidden="1" customWidth="1" outlineLevel="1"/>
    <col min="11" max="11" width="15.33203125" style="255" hidden="1" customWidth="1" outlineLevel="1"/>
    <col min="12" max="12" width="20.83203125" style="259" hidden="1" customWidth="1" outlineLevel="1"/>
    <col min="13" max="13" width="13" style="274" hidden="1" customWidth="1" outlineLevel="1"/>
    <col min="14" max="15" width="10.83203125" style="259" hidden="1" customWidth="1" outlineLevel="1"/>
    <col min="16" max="16" width="14.83203125" style="259" hidden="1" customWidth="1" outlineLevel="1"/>
    <col min="17" max="19" width="10.83203125" style="259" hidden="1" customWidth="1" outlineLevel="1"/>
    <col min="20" max="20" width="17.33203125" style="259" hidden="1" customWidth="1" outlineLevel="1"/>
    <col min="21" max="21" width="14.1640625" style="259" hidden="1" customWidth="1" outlineLevel="1"/>
    <col min="22" max="24" width="10.83203125" style="259" hidden="1" customWidth="1" outlineLevel="1"/>
    <col min="25" max="25" width="10.83203125" style="259" collapsed="1"/>
    <col min="26" max="16384" width="10.83203125" style="259"/>
  </cols>
  <sheetData>
    <row r="1" spans="2:22" ht="9" customHeight="1" x14ac:dyDescent="0.2"/>
    <row r="2" spans="2:22" ht="13" customHeight="1" x14ac:dyDescent="0.2">
      <c r="B2" s="280" t="str">
        <f>'Output Dashboard'!B2</f>
        <v>MAS Managed Service Calculator 5.4</v>
      </c>
      <c r="C2" s="281"/>
      <c r="D2" s="346"/>
      <c r="E2" s="281"/>
      <c r="F2" s="347"/>
      <c r="G2" s="281"/>
      <c r="H2" s="281"/>
      <c r="I2" s="527"/>
      <c r="J2" s="258"/>
    </row>
    <row r="3" spans="2:22" ht="17" thickBot="1" x14ac:dyDescent="0.25">
      <c r="B3" s="283" t="s">
        <v>0</v>
      </c>
      <c r="C3" s="255"/>
      <c r="D3" s="262"/>
      <c r="E3" s="255"/>
      <c r="F3" s="321"/>
      <c r="G3" s="255"/>
      <c r="H3" s="255"/>
      <c r="I3" s="528"/>
      <c r="J3" s="258"/>
      <c r="L3" s="259" t="s">
        <v>548</v>
      </c>
      <c r="P3" s="610" t="s">
        <v>4</v>
      </c>
      <c r="Q3" s="610"/>
    </row>
    <row r="4" spans="2:22" ht="16" customHeight="1" thickBot="1" x14ac:dyDescent="0.25">
      <c r="B4" s="254"/>
      <c r="C4" s="255"/>
      <c r="D4" s="262"/>
      <c r="E4" s="255"/>
      <c r="F4" s="349" t="s">
        <v>232</v>
      </c>
      <c r="G4" s="285" t="s">
        <v>5</v>
      </c>
      <c r="H4" s="286" t="s">
        <v>6</v>
      </c>
      <c r="I4" s="529" t="s">
        <v>388</v>
      </c>
      <c r="J4" s="350" t="s">
        <v>403</v>
      </c>
      <c r="K4" s="288" t="s">
        <v>7</v>
      </c>
      <c r="L4" s="289" t="s">
        <v>295</v>
      </c>
      <c r="M4" s="351" t="s">
        <v>302</v>
      </c>
      <c r="P4" s="259" t="s">
        <v>30</v>
      </c>
      <c r="Q4" s="259" t="s">
        <v>279</v>
      </c>
      <c r="R4" s="259" t="s">
        <v>280</v>
      </c>
      <c r="S4" s="259" t="s">
        <v>281</v>
      </c>
      <c r="T4" s="259" t="s">
        <v>282</v>
      </c>
    </row>
    <row r="5" spans="2:22" ht="17" thickBot="1" x14ac:dyDescent="0.25">
      <c r="B5" s="254"/>
      <c r="C5" s="291" t="s">
        <v>141</v>
      </c>
      <c r="D5" s="292" t="str">
        <f>IF(D6="None","No","Yes")</f>
        <v>No</v>
      </c>
      <c r="E5" s="255"/>
      <c r="F5" s="352"/>
      <c r="G5" s="353"/>
      <c r="H5" s="354"/>
      <c r="I5" s="616" t="s">
        <v>556</v>
      </c>
      <c r="J5" s="258"/>
      <c r="O5" s="259" t="s">
        <v>247</v>
      </c>
      <c r="P5" s="259">
        <f>managevpcdev</f>
        <v>4</v>
      </c>
      <c r="Q5" s="259">
        <f>managedb2dev</f>
        <v>6</v>
      </c>
      <c r="R5" s="259">
        <f>managedb2datadev</f>
        <v>256</v>
      </c>
      <c r="S5" s="293">
        <v>733.33333333333337</v>
      </c>
      <c r="T5" s="299">
        <f>T6</f>
        <v>366.66666666666669</v>
      </c>
    </row>
    <row r="6" spans="2:22" x14ac:dyDescent="0.2">
      <c r="B6" s="254"/>
      <c r="C6" s="279" t="s">
        <v>363</v>
      </c>
      <c r="D6" s="356" t="s">
        <v>223</v>
      </c>
      <c r="E6" s="255"/>
      <c r="F6" s="335">
        <f ca="1">OFFSET($S$14,$K6,0)</f>
        <v>0</v>
      </c>
      <c r="G6" s="336">
        <f ca="1">OFFSET($P$5,$K6,0)</f>
        <v>0</v>
      </c>
      <c r="H6" s="337">
        <f ca="1">OFFSET($R$5,$K6,0)</f>
        <v>0</v>
      </c>
      <c r="I6" s="616"/>
      <c r="J6" s="258">
        <f ca="1">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O6" s="259" t="s">
        <v>277</v>
      </c>
      <c r="P6" s="259">
        <f>managevpcxsmall</f>
        <v>4</v>
      </c>
      <c r="Q6" s="259">
        <f>managedb2xsmall</f>
        <v>12</v>
      </c>
      <c r="R6" s="259">
        <f>managedb2dataxsmall</f>
        <v>256</v>
      </c>
      <c r="S6" s="293">
        <v>733.33333333333337</v>
      </c>
      <c r="T6" s="299">
        <f>S6/2</f>
        <v>366.66666666666669</v>
      </c>
    </row>
    <row r="7" spans="2:22" x14ac:dyDescent="0.2">
      <c r="B7" s="254"/>
      <c r="C7" s="267" t="str">
        <f>IF(D6="Beyond Large (over 501 users)","What is the TOTAL number of conncurent users?:","")</f>
        <v/>
      </c>
      <c r="D7" s="574">
        <v>0</v>
      </c>
      <c r="E7" s="255"/>
      <c r="F7" s="575">
        <f>IF(D7-500 &gt; 0, ROUNDUP((D7-500)/5,0),0)</f>
        <v>0</v>
      </c>
      <c r="G7" s="336">
        <f>IF(D7-500 &gt; 0, ROUNDUP((D7-500)/10,0),0)</f>
        <v>0</v>
      </c>
      <c r="H7" s="337">
        <f>IF(D7&gt;833,1200,IF(D7&gt;666,700,IF(D7&gt;500,200,0)))</f>
        <v>0</v>
      </c>
      <c r="I7" s="530" t="str">
        <f>IF(K6=5,"Quote contains Beyond Large size, contact Drew.A.Sens@ibm.com for custom quote","")</f>
        <v/>
      </c>
      <c r="J7" s="258">
        <f t="shared" ref="J7:J32" si="0">CapUdiscounedpriceyearly*F7+VPCdiscountedpriceyearly*G7+GBstoragediscountedpriceyearly*H7</f>
        <v>0</v>
      </c>
      <c r="K7" s="255">
        <f t="shared" ref="K7:K28" si="1">IF(ISNUMBER(SEARCH("Dev",D7)),0,IF(ISNUMBER(SEARCH("xSmall",D7)),1,IF(ISNUMBER(SEARCH("Small",D7)),2,IF(ISNUMBER(SEARCH("Medium",D7)),3,IF(ISNUMBER(SEARCH("Beyond Large",D7)),5,IF(ISNUMBER(SEARCH("Large",D7)),4,6))))))</f>
        <v>6</v>
      </c>
      <c r="L7" s="255"/>
      <c r="M7" s="274">
        <f ca="1">OFFSET($Q$14,$K7,0)</f>
        <v>0</v>
      </c>
      <c r="O7" s="259" t="s">
        <v>22</v>
      </c>
      <c r="P7" s="259">
        <f>managevpcsmall</f>
        <v>8</v>
      </c>
      <c r="Q7" s="259">
        <f>managedb2small</f>
        <v>12</v>
      </c>
      <c r="R7" s="259">
        <f>managedb2datasmall</f>
        <v>512</v>
      </c>
      <c r="S7" s="293">
        <v>1833.3333333333333</v>
      </c>
      <c r="T7" s="299">
        <f>S7/2</f>
        <v>916.66666666666663</v>
      </c>
    </row>
    <row r="8" spans="2:22" ht="17" thickBot="1" x14ac:dyDescent="0.25">
      <c r="B8" s="254"/>
      <c r="C8" s="617" t="s">
        <v>577</v>
      </c>
      <c r="D8" s="617"/>
      <c r="E8" s="255"/>
      <c r="F8" s="340"/>
      <c r="G8" s="329"/>
      <c r="H8" s="344"/>
      <c r="I8" s="528"/>
      <c r="J8" s="258">
        <f t="shared" si="0"/>
        <v>0</v>
      </c>
      <c r="K8" s="255">
        <f t="shared" si="1"/>
        <v>6</v>
      </c>
      <c r="L8" s="255"/>
      <c r="M8" s="274">
        <f ca="1">OFFSET($Q$14,$K8,0)</f>
        <v>0</v>
      </c>
      <c r="O8" s="259" t="s">
        <v>278</v>
      </c>
      <c r="P8" s="259">
        <f>managevpcmedium</f>
        <v>24</v>
      </c>
      <c r="Q8" s="259">
        <f>managedb2medium</f>
        <v>17</v>
      </c>
      <c r="R8" s="259">
        <f>managedb2datamedium</f>
        <v>1200</v>
      </c>
      <c r="S8" s="293">
        <v>2750</v>
      </c>
      <c r="T8" s="299">
        <f>S8/2</f>
        <v>1375</v>
      </c>
    </row>
    <row r="9" spans="2:22" ht="17" thickBot="1" x14ac:dyDescent="0.25">
      <c r="B9" s="254"/>
      <c r="C9" s="291" t="s">
        <v>217</v>
      </c>
      <c r="D9" s="292" t="str">
        <f>IF((IF((COUNTIF(K10:K17,"&lt;6")),TRUE,FALSE))*Ismanageddeployed,"Yes","No")</f>
        <v>No</v>
      </c>
      <c r="E9" s="255"/>
      <c r="F9" s="340"/>
      <c r="G9" s="329"/>
      <c r="H9" s="344"/>
      <c r="I9" s="528"/>
      <c r="J9" s="258">
        <f t="shared" si="0"/>
        <v>0</v>
      </c>
      <c r="K9" s="255">
        <v>6</v>
      </c>
      <c r="L9" s="255"/>
      <c r="M9" s="274">
        <f ca="1">OFFSET($Q$14,$K9,0)</f>
        <v>0</v>
      </c>
      <c r="O9" s="259" t="s">
        <v>53</v>
      </c>
      <c r="P9" s="259">
        <f>managevpclarge</f>
        <v>48</v>
      </c>
      <c r="Q9" s="259">
        <f>managedb2large</f>
        <v>33</v>
      </c>
      <c r="R9" s="259">
        <f>managedb2datalarge</f>
        <v>2800</v>
      </c>
      <c r="S9" s="293">
        <v>4583.333333333333</v>
      </c>
      <c r="T9" s="299">
        <f>S9/2</f>
        <v>2291.6666666666665</v>
      </c>
    </row>
    <row r="10" spans="2:22" x14ac:dyDescent="0.2">
      <c r="B10" s="254"/>
      <c r="C10" s="279" t="s">
        <v>578</v>
      </c>
      <c r="D10" s="356" t="s">
        <v>223</v>
      </c>
      <c r="E10" s="255"/>
      <c r="F10" s="335">
        <f ca="1">IF(D5="yes",OFFSET($T$14,$K10,0),OFFSET($U$14,$K10,0))</f>
        <v>0</v>
      </c>
      <c r="G10" s="336">
        <f ca="1">OFFSET($P$5,$K10,0)</f>
        <v>0</v>
      </c>
      <c r="H10" s="337">
        <f ca="1">OFFSET($R$5,$K10,0)</f>
        <v>0</v>
      </c>
      <c r="I10" s="531" t="str">
        <f>IF(AND(IF(D5="yes",TRUE,FALSE),IF(D9="no",TRUE,FALSE)),"Error: when ordering a production manage environment a non-production is required","")</f>
        <v/>
      </c>
      <c r="J10" s="258">
        <f t="shared" ref="J10:J15" ca="1" si="2">CapUdiscounedpriceyearly*F10+VPCdiscountedpriceyearly*G10+GBstoragediscountedpriceyearly*H10</f>
        <v>0</v>
      </c>
      <c r="K10" s="255">
        <f t="shared" si="1"/>
        <v>6</v>
      </c>
      <c r="L10" s="255">
        <f t="shared" ref="L10:L15" ca="1" si="3">OFFSET($Q$5,$K10,0)</f>
        <v>0</v>
      </c>
      <c r="M10" s="274">
        <f ca="1">OFFSET($Q$14,$K10,0)</f>
        <v>0</v>
      </c>
      <c r="P10" s="259">
        <v>48</v>
      </c>
      <c r="Q10" s="259">
        <v>33</v>
      </c>
      <c r="R10" s="259">
        <v>2800</v>
      </c>
      <c r="S10" s="259">
        <v>4583.333333333333</v>
      </c>
      <c r="T10" s="259">
        <v>2291.6666666666665</v>
      </c>
    </row>
    <row r="11" spans="2:22" x14ac:dyDescent="0.2">
      <c r="B11" s="254"/>
      <c r="C11" s="279" t="s">
        <v>225</v>
      </c>
      <c r="D11" s="356" t="s">
        <v>223</v>
      </c>
      <c r="E11" s="255"/>
      <c r="F11" s="335">
        <f ca="1">OFFSET($U$14,$K11,0)</f>
        <v>0</v>
      </c>
      <c r="G11" s="336">
        <f ca="1">OFFSET($P$5,$K11,0)</f>
        <v>0</v>
      </c>
      <c r="H11" s="337">
        <f ca="1">OFFSET($R$5,$K11,0)</f>
        <v>0</v>
      </c>
      <c r="I11" s="528"/>
      <c r="J11" s="258">
        <f t="shared" ca="1" si="2"/>
        <v>0</v>
      </c>
      <c r="K11" s="255">
        <f t="shared" si="1"/>
        <v>6</v>
      </c>
      <c r="L11" s="255">
        <f t="shared" ca="1" si="3"/>
        <v>0</v>
      </c>
      <c r="M11" s="274">
        <f ca="1">OFFSET($T$5,$K11,0)</f>
        <v>0</v>
      </c>
    </row>
    <row r="12" spans="2:22" x14ac:dyDescent="0.2">
      <c r="B12" s="254"/>
      <c r="C12" s="279" t="s">
        <v>226</v>
      </c>
      <c r="D12" s="356" t="s">
        <v>223</v>
      </c>
      <c r="E12" s="255"/>
      <c r="F12" s="335">
        <f ca="1">OFFSET($U$14,$K12,0)</f>
        <v>0</v>
      </c>
      <c r="G12" s="336">
        <f ca="1">OFFSET($P$5,$K12,0)</f>
        <v>0</v>
      </c>
      <c r="H12" s="337">
        <f ca="1">OFFSET($R$5,$K12,0)</f>
        <v>0</v>
      </c>
      <c r="I12" s="528"/>
      <c r="J12" s="258">
        <f t="shared" ca="1" si="2"/>
        <v>0</v>
      </c>
      <c r="K12" s="255">
        <f t="shared" si="1"/>
        <v>6</v>
      </c>
      <c r="L12" s="255">
        <f t="shared" ca="1" si="3"/>
        <v>0</v>
      </c>
      <c r="M12" s="274">
        <f ca="1">OFFSET($T$5,$K12,0)</f>
        <v>0</v>
      </c>
      <c r="Q12" s="611" t="s">
        <v>285</v>
      </c>
      <c r="R12" s="612"/>
      <c r="S12" s="613"/>
    </row>
    <row r="13" spans="2:22" x14ac:dyDescent="0.2">
      <c r="B13" s="254"/>
      <c r="C13" s="279" t="s">
        <v>227</v>
      </c>
      <c r="D13" s="356" t="s">
        <v>223</v>
      </c>
      <c r="E13" s="255"/>
      <c r="F13" s="335">
        <f ca="1">OFFSET($U$14,$K13,0)</f>
        <v>0</v>
      </c>
      <c r="G13" s="336">
        <f ca="1">OFFSET($P$5,$K13,0)</f>
        <v>0</v>
      </c>
      <c r="H13" s="337">
        <f ca="1">OFFSET($R$5,$K13,0)</f>
        <v>0</v>
      </c>
      <c r="I13" s="528"/>
      <c r="J13" s="258">
        <f t="shared" ca="1" si="2"/>
        <v>0</v>
      </c>
      <c r="K13" s="255">
        <f t="shared" si="1"/>
        <v>6</v>
      </c>
      <c r="L13" s="255">
        <f t="shared" ca="1" si="3"/>
        <v>0</v>
      </c>
      <c r="M13" s="274">
        <f ca="1">OFFSET($T$5,$K13,0)</f>
        <v>0</v>
      </c>
      <c r="P13" s="259" t="s">
        <v>289</v>
      </c>
      <c r="Q13" s="254" t="s">
        <v>281</v>
      </c>
      <c r="R13" s="255" t="s">
        <v>283</v>
      </c>
      <c r="S13" s="257" t="s">
        <v>284</v>
      </c>
      <c r="T13" s="564" t="s">
        <v>580</v>
      </c>
      <c r="U13" s="259" t="s">
        <v>286</v>
      </c>
      <c r="V13" s="259" t="s">
        <v>330</v>
      </c>
    </row>
    <row r="14" spans="2:22" x14ac:dyDescent="0.2">
      <c r="B14" s="254"/>
      <c r="C14" s="279" t="s">
        <v>228</v>
      </c>
      <c r="D14" s="356" t="s">
        <v>223</v>
      </c>
      <c r="E14" s="255"/>
      <c r="F14" s="335">
        <f ca="1">OFFSET($U$14,$K14,0)</f>
        <v>0</v>
      </c>
      <c r="G14" s="336">
        <f ca="1">OFFSET($P$5,$K14,0)</f>
        <v>0</v>
      </c>
      <c r="H14" s="337">
        <f ca="1">OFFSET($R$5,$K14,0)</f>
        <v>0</v>
      </c>
      <c r="I14" s="528"/>
      <c r="J14" s="258">
        <f t="shared" ca="1" si="2"/>
        <v>0</v>
      </c>
      <c r="K14" s="255">
        <f t="shared" si="1"/>
        <v>6</v>
      </c>
      <c r="L14" s="255">
        <f t="shared" ca="1" si="3"/>
        <v>0</v>
      </c>
      <c r="M14" s="274">
        <f ca="1">OFFSET($T$5,$K14,0)</f>
        <v>0</v>
      </c>
      <c r="O14" s="259" t="s">
        <v>247</v>
      </c>
      <c r="P14" s="299">
        <f>Q5*VPCCost</f>
        <v>184.68</v>
      </c>
      <c r="Q14" s="300">
        <v>0</v>
      </c>
      <c r="R14" s="258">
        <f>Q14+P14</f>
        <v>184.68</v>
      </c>
      <c r="S14" s="316">
        <f>(R14/CapUCost)</f>
        <v>8.0295652173913048</v>
      </c>
      <c r="T14" s="565">
        <f>(P14)/CapUCost</f>
        <v>8.0295652173913048</v>
      </c>
      <c r="U14" s="334">
        <f>(T5+P14)/CapUCost</f>
        <v>23.971594202898551</v>
      </c>
      <c r="V14" s="334">
        <f>(S5+P14)/CapUCost</f>
        <v>39.913623188405793</v>
      </c>
    </row>
    <row r="15" spans="2:22" x14ac:dyDescent="0.2">
      <c r="B15" s="254"/>
      <c r="C15" s="276" t="s">
        <v>229</v>
      </c>
      <c r="D15" s="356">
        <v>0</v>
      </c>
      <c r="E15" s="255"/>
      <c r="F15" s="335">
        <f ca="1">OFFSET($U$14,$K15,0)*D15</f>
        <v>0</v>
      </c>
      <c r="G15" s="336">
        <f ca="1">OFFSET($P$5,$K15,0)*D15</f>
        <v>0</v>
      </c>
      <c r="H15" s="337">
        <f ca="1">OFFSET($R$5,$K15,0)*D15</f>
        <v>0</v>
      </c>
      <c r="I15" s="528"/>
      <c r="J15" s="258">
        <f t="shared" ca="1" si="2"/>
        <v>0</v>
      </c>
      <c r="K15" s="343">
        <f>IF(D15=0,6,0)</f>
        <v>6</v>
      </c>
      <c r="L15" s="255">
        <f t="shared" ca="1" si="3"/>
        <v>0</v>
      </c>
      <c r="M15" s="274">
        <f ca="1">OFFSET($T$5,$K15,0)</f>
        <v>0</v>
      </c>
      <c r="O15" s="259" t="s">
        <v>277</v>
      </c>
      <c r="P15" s="299">
        <f>Q6*VPCCost</f>
        <v>369.36</v>
      </c>
      <c r="Q15" s="300">
        <f>S6</f>
        <v>733.33333333333337</v>
      </c>
      <c r="R15" s="258">
        <f>Q15+P15</f>
        <v>1102.6933333333334</v>
      </c>
      <c r="S15" s="316">
        <f>(R15/CapUCost)</f>
        <v>47.943188405797102</v>
      </c>
      <c r="T15" s="565">
        <f>(P15+Q14)/CapUCost</f>
        <v>16.05913043478261</v>
      </c>
      <c r="U15" s="334">
        <f>(T6+P15)/CapUCost</f>
        <v>32.001159420289852</v>
      </c>
      <c r="V15" s="334">
        <f>(S6+P15)/CapUCost</f>
        <v>47.943188405797102</v>
      </c>
    </row>
    <row r="16" spans="2:22" x14ac:dyDescent="0.2">
      <c r="B16" s="254"/>
      <c r="C16" s="277"/>
      <c r="D16" s="339"/>
      <c r="E16" s="255"/>
      <c r="F16" s="340"/>
      <c r="G16" s="329"/>
      <c r="H16" s="341"/>
      <c r="I16" s="532"/>
      <c r="J16" s="258">
        <f t="shared" si="0"/>
        <v>0</v>
      </c>
      <c r="K16" s="255">
        <f t="shared" si="1"/>
        <v>6</v>
      </c>
      <c r="O16" s="259" t="s">
        <v>22</v>
      </c>
      <c r="P16" s="299">
        <f>Q7*VPCCost</f>
        <v>369.36</v>
      </c>
      <c r="Q16" s="300">
        <f>S7</f>
        <v>1833.3333333333333</v>
      </c>
      <c r="R16" s="258">
        <f>Q16+P16</f>
        <v>2202.6933333333332</v>
      </c>
      <c r="S16" s="316">
        <f>(R16/CapUCost)</f>
        <v>95.769275362318837</v>
      </c>
      <c r="T16" s="565">
        <f>(P16+Q15)/CapUCost</f>
        <v>47.943188405797102</v>
      </c>
      <c r="U16" s="334">
        <f>(T7+P16)/CapUCost</f>
        <v>55.914202898550727</v>
      </c>
      <c r="V16" s="334">
        <f>(S7+P16)/CapUCost</f>
        <v>95.769275362318837</v>
      </c>
    </row>
    <row r="17" spans="2:22" x14ac:dyDescent="0.2">
      <c r="B17" s="254"/>
      <c r="C17" s="276" t="s">
        <v>222</v>
      </c>
      <c r="D17" s="357" t="s">
        <v>223</v>
      </c>
      <c r="E17" s="255"/>
      <c r="F17" s="335">
        <f ca="1">OFFSET($V$14,$K17,0)</f>
        <v>0</v>
      </c>
      <c r="G17" s="336">
        <f ca="1">OFFSET($P$5,$K17,0)</f>
        <v>0</v>
      </c>
      <c r="H17" s="337">
        <f ca="1">OFFSET($R$5,$K17,0)</f>
        <v>0</v>
      </c>
      <c r="I17" s="528"/>
      <c r="J17" s="258">
        <f ca="1">CapUdiscounedpriceyearly*F17+VPCdiscountedpriceyearly*G17+GBstoragediscountedpriceyearly*H17</f>
        <v>0</v>
      </c>
      <c r="K17" s="255">
        <f t="shared" si="1"/>
        <v>6</v>
      </c>
      <c r="O17" s="259" t="s">
        <v>278</v>
      </c>
      <c r="P17" s="299">
        <f>Q8*VPCCost</f>
        <v>523.26</v>
      </c>
      <c r="Q17" s="300">
        <f>S8</f>
        <v>2750</v>
      </c>
      <c r="R17" s="258">
        <f>Q17+P17</f>
        <v>3273.26</v>
      </c>
      <c r="S17" s="316">
        <f>(R17/CapUCost)</f>
        <v>142.31565217391307</v>
      </c>
      <c r="T17" s="565">
        <f>(P17+Q15)/CapUCost</f>
        <v>54.634492753623185</v>
      </c>
      <c r="U17" s="334">
        <f>(T8+P17)/CapUCost</f>
        <v>82.533043478260865</v>
      </c>
      <c r="V17" s="334">
        <f>(S8+P17)/CapUCost</f>
        <v>142.31565217391307</v>
      </c>
    </row>
    <row r="18" spans="2:22" x14ac:dyDescent="0.2">
      <c r="B18" s="254"/>
      <c r="C18" s="279"/>
      <c r="D18" s="330"/>
      <c r="E18" s="255"/>
      <c r="F18" s="340"/>
      <c r="G18" s="329"/>
      <c r="H18" s="344"/>
      <c r="I18" s="528"/>
      <c r="J18" s="258">
        <f t="shared" si="0"/>
        <v>0</v>
      </c>
      <c r="K18" s="255">
        <f t="shared" si="1"/>
        <v>6</v>
      </c>
      <c r="O18" s="259" t="s">
        <v>53</v>
      </c>
      <c r="P18" s="299">
        <f>Q9*VPCCost</f>
        <v>1015.74</v>
      </c>
      <c r="Q18" s="300">
        <f>S9</f>
        <v>4583.333333333333</v>
      </c>
      <c r="R18" s="310">
        <f>Q18+P18</f>
        <v>5599.0733333333328</v>
      </c>
      <c r="S18" s="316">
        <f>(R18/CapUCost)</f>
        <v>243.43797101449272</v>
      </c>
      <c r="T18" s="565">
        <f>(P18+Q15)/CapUCost</f>
        <v>76.046666666666667</v>
      </c>
      <c r="U18" s="334">
        <f>(T9+P18)/CapUCost</f>
        <v>143.80028985507246</v>
      </c>
      <c r="V18" s="334">
        <f>(S9+P18)/CapUCost</f>
        <v>243.43797101449272</v>
      </c>
    </row>
    <row r="19" spans="2:22" ht="17" thickBot="1" x14ac:dyDescent="0.25">
      <c r="B19" s="254"/>
      <c r="C19" s="255"/>
      <c r="D19" s="262"/>
      <c r="E19" s="255"/>
      <c r="F19" s="340"/>
      <c r="G19" s="329"/>
      <c r="H19" s="344"/>
      <c r="I19" s="528"/>
      <c r="J19" s="258">
        <f t="shared" si="0"/>
        <v>0</v>
      </c>
      <c r="K19" s="255">
        <f t="shared" si="1"/>
        <v>6</v>
      </c>
      <c r="L19" s="275"/>
      <c r="P19" s="299">
        <v>1015.74</v>
      </c>
      <c r="Q19" s="300">
        <v>4583.333333333333</v>
      </c>
      <c r="R19" s="310">
        <v>5599.0733333333328</v>
      </c>
      <c r="S19" s="316">
        <v>243.43797101449272</v>
      </c>
      <c r="T19" s="565">
        <f>(P19+Q15)/CapUCost</f>
        <v>76.046666666666667</v>
      </c>
      <c r="U19" s="334">
        <v>143.80028985507246</v>
      </c>
      <c r="V19" s="334">
        <v>243.43797101449272</v>
      </c>
    </row>
    <row r="20" spans="2:22" ht="17" thickBot="1" x14ac:dyDescent="0.25">
      <c r="B20" s="254"/>
      <c r="C20" s="307" t="s">
        <v>14</v>
      </c>
      <c r="D20" s="292" t="str">
        <f>IF(D21="None","No","Yes")</f>
        <v>No</v>
      </c>
      <c r="E20" s="255"/>
      <c r="F20" s="340"/>
      <c r="G20" s="329"/>
      <c r="H20" s="344"/>
      <c r="I20" s="528"/>
      <c r="J20" s="258">
        <f t="shared" si="0"/>
        <v>0</v>
      </c>
      <c r="K20" s="255">
        <f t="shared" si="1"/>
        <v>6</v>
      </c>
      <c r="L20" s="533" t="s">
        <v>266</v>
      </c>
      <c r="M20" s="534" t="s">
        <v>361</v>
      </c>
      <c r="P20" s="299"/>
      <c r="Q20" s="261"/>
      <c r="R20" s="261"/>
      <c r="S20" s="260"/>
    </row>
    <row r="21" spans="2:22" x14ac:dyDescent="0.2">
      <c r="B21" s="254"/>
      <c r="C21" s="276" t="s">
        <v>234</v>
      </c>
      <c r="D21" s="357" t="s">
        <v>223</v>
      </c>
      <c r="E21" s="255"/>
      <c r="F21" s="369">
        <f>L21/CapUCost</f>
        <v>0</v>
      </c>
      <c r="G21" s="336"/>
      <c r="H21" s="337"/>
      <c r="I21" s="535" t="s">
        <v>552</v>
      </c>
      <c r="J21" s="258">
        <f t="shared" si="0"/>
        <v>0</v>
      </c>
      <c r="K21" s="255">
        <f t="shared" si="1"/>
        <v>6</v>
      </c>
      <c r="L21" s="536">
        <f>IF(D21="Yes, Low",38462/12/M21,IF(D21="Yes, Medium", 57693/12/M21,IF(OR(D21="Yes, High",D21="Yes, Custom"),76923/12/M21,0)))</f>
        <v>0</v>
      </c>
      <c r="M21" s="534">
        <f>IF(D22="N/A",1,D22)</f>
        <v>1</v>
      </c>
      <c r="P21" s="299"/>
      <c r="Q21" s="261"/>
      <c r="R21" s="261"/>
      <c r="S21" s="260"/>
    </row>
    <row r="22" spans="2:22" x14ac:dyDescent="0.2">
      <c r="B22" s="254"/>
      <c r="C22" s="276" t="s">
        <v>402</v>
      </c>
      <c r="D22" s="357" t="s">
        <v>316</v>
      </c>
      <c r="E22" s="255"/>
      <c r="F22" s="335"/>
      <c r="G22" s="336"/>
      <c r="H22" s="337"/>
      <c r="I22" s="535" t="s">
        <v>387</v>
      </c>
      <c r="J22" s="258">
        <f t="shared" si="0"/>
        <v>0</v>
      </c>
      <c r="K22" s="255">
        <f t="shared" si="1"/>
        <v>6</v>
      </c>
      <c r="P22" s="299" t="s">
        <v>420</v>
      </c>
      <c r="Q22" s="261"/>
      <c r="R22" s="299" t="s">
        <v>557</v>
      </c>
      <c r="S22" s="260"/>
    </row>
    <row r="23" spans="2:22" ht="17" thickBot="1" x14ac:dyDescent="0.25">
      <c r="B23" s="254"/>
      <c r="C23" s="227"/>
      <c r="D23" s="262"/>
      <c r="E23" s="255"/>
      <c r="F23" s="340"/>
      <c r="G23" s="329"/>
      <c r="H23" s="344"/>
      <c r="I23" s="528"/>
      <c r="J23" s="258">
        <f t="shared" si="0"/>
        <v>0</v>
      </c>
      <c r="K23" s="255">
        <f t="shared" si="1"/>
        <v>6</v>
      </c>
      <c r="M23" s="259"/>
      <c r="O23" s="259" t="s">
        <v>247</v>
      </c>
      <c r="P23" s="260">
        <f t="shared" ref="P23:P24" si="4">50-16</f>
        <v>34</v>
      </c>
      <c r="Q23" s="261"/>
      <c r="R23" s="260">
        <f>R24</f>
        <v>60</v>
      </c>
      <c r="S23" s="260"/>
    </row>
    <row r="24" spans="2:22" ht="17" thickBot="1" x14ac:dyDescent="0.25">
      <c r="B24" s="254"/>
      <c r="C24" s="307" t="s">
        <v>406</v>
      </c>
      <c r="D24" s="308"/>
      <c r="E24" s="255"/>
      <c r="F24" s="340"/>
      <c r="G24" s="329"/>
      <c r="H24" s="344"/>
      <c r="I24" s="528"/>
      <c r="J24" s="258">
        <f t="shared" si="0"/>
        <v>0</v>
      </c>
      <c r="K24" s="255">
        <f t="shared" si="1"/>
        <v>6</v>
      </c>
      <c r="M24" s="259"/>
      <c r="O24" s="259" t="s">
        <v>277</v>
      </c>
      <c r="P24" s="260">
        <f t="shared" si="4"/>
        <v>34</v>
      </c>
      <c r="R24" s="260">
        <v>60</v>
      </c>
    </row>
    <row r="25" spans="2:22" x14ac:dyDescent="0.2">
      <c r="B25" s="254"/>
      <c r="C25" s="279" t="str">
        <f>"Reporting Database Instance for Production Only: "&amp;D6&amp;"]"</f>
        <v>Reporting Database Instance for Production Only: None]</v>
      </c>
      <c r="D25" s="357" t="s">
        <v>3</v>
      </c>
      <c r="E25" s="255"/>
      <c r="F25" s="335">
        <f ca="1">IF(D25="no",0,OFFSET($P$23,$K25,0))</f>
        <v>0</v>
      </c>
      <c r="G25" s="336">
        <v>0</v>
      </c>
      <c r="H25" s="337">
        <f ca="1">IF(D25="no",0,OFFSET($R$5,$K25,0)*1)</f>
        <v>0</v>
      </c>
      <c r="I25" s="531" t="str">
        <f>IF(AND(D25="Yes",D6="None"),"Error: To have a reporting database you need a production environment","")</f>
        <v/>
      </c>
      <c r="J25" s="258">
        <f ca="1">CapUdiscounedpriceyearly*F25+VPCdiscountedpriceyearly*G25+GBstoragediscountedpriceyearly*H25</f>
        <v>0</v>
      </c>
      <c r="K25" s="255">
        <f>K6</f>
        <v>6</v>
      </c>
      <c r="L25" s="298"/>
      <c r="M25" s="298"/>
      <c r="N25" s="298"/>
      <c r="O25" s="259" t="s">
        <v>22</v>
      </c>
      <c r="P25" s="260">
        <f>50-16</f>
        <v>34</v>
      </c>
      <c r="Q25" s="284"/>
      <c r="R25" s="537">
        <v>75</v>
      </c>
      <c r="S25" s="284"/>
    </row>
    <row r="26" spans="2:22" x14ac:dyDescent="0.2">
      <c r="B26" s="254"/>
      <c r="C26" s="276" t="s">
        <v>405</v>
      </c>
      <c r="D26" s="357">
        <v>0</v>
      </c>
      <c r="E26" s="255"/>
      <c r="F26" s="369">
        <f>35*D26</f>
        <v>0</v>
      </c>
      <c r="G26" s="336">
        <v>0</v>
      </c>
      <c r="H26" s="337">
        <v>0</v>
      </c>
      <c r="I26" s="528"/>
      <c r="J26" s="258">
        <f t="shared" si="0"/>
        <v>0</v>
      </c>
      <c r="K26" s="255">
        <f t="shared" si="1"/>
        <v>6</v>
      </c>
      <c r="M26" s="259"/>
      <c r="O26" s="259" t="s">
        <v>278</v>
      </c>
      <c r="P26" s="260">
        <f>57.1428571428571-16</f>
        <v>41.142857142857103</v>
      </c>
      <c r="R26" s="260">
        <v>85</v>
      </c>
    </row>
    <row r="27" spans="2:22" x14ac:dyDescent="0.2">
      <c r="B27" s="254"/>
      <c r="C27" s="276" t="s">
        <v>16</v>
      </c>
      <c r="D27" s="357">
        <v>0</v>
      </c>
      <c r="E27" s="255"/>
      <c r="F27" s="369">
        <f>35*D27</f>
        <v>0</v>
      </c>
      <c r="G27" s="336">
        <v>0</v>
      </c>
      <c r="H27" s="337">
        <v>0</v>
      </c>
      <c r="I27" s="528"/>
      <c r="J27" s="258">
        <f t="shared" si="0"/>
        <v>0</v>
      </c>
      <c r="K27" s="255">
        <f t="shared" si="1"/>
        <v>6</v>
      </c>
      <c r="O27" s="259" t="s">
        <v>53</v>
      </c>
      <c r="P27" s="260">
        <v>55</v>
      </c>
      <c r="Q27" s="261"/>
      <c r="R27" s="260">
        <v>90</v>
      </c>
      <c r="S27" s="260"/>
    </row>
    <row r="28" spans="2:22" x14ac:dyDescent="0.2">
      <c r="B28" s="254"/>
      <c r="C28" s="276" t="s">
        <v>558</v>
      </c>
      <c r="D28" s="357">
        <v>0</v>
      </c>
      <c r="E28" s="255"/>
      <c r="F28" s="369">
        <f>17*D28</f>
        <v>0</v>
      </c>
      <c r="G28" s="336">
        <v>0</v>
      </c>
      <c r="H28" s="337">
        <v>0</v>
      </c>
      <c r="I28" s="528"/>
      <c r="J28" s="258">
        <f t="shared" si="0"/>
        <v>0</v>
      </c>
      <c r="K28" s="255">
        <f t="shared" si="1"/>
        <v>6</v>
      </c>
      <c r="P28" s="299"/>
      <c r="Q28" s="261"/>
      <c r="R28" s="261"/>
      <c r="S28" s="260"/>
    </row>
    <row r="29" spans="2:22" x14ac:dyDescent="0.2">
      <c r="B29" s="254"/>
      <c r="C29" s="276" t="s">
        <v>404</v>
      </c>
      <c r="D29" s="356" t="s">
        <v>3</v>
      </c>
      <c r="E29" s="255"/>
      <c r="F29" s="335">
        <f ca="1">IF(D29="no",0,OFFSET($R$23,$K29,0))</f>
        <v>0</v>
      </c>
      <c r="G29" s="336">
        <f ca="1">IF(D29="no",0,OFFSET($P$5,$K29,0)/2)</f>
        <v>0</v>
      </c>
      <c r="H29" s="337">
        <f ca="1">IF(D29="no",0,OFFSET($R$5,$K29,0))</f>
        <v>0</v>
      </c>
      <c r="I29" s="528" t="str">
        <f>IF(D29="Yes","Note: Enhanced DR is currently only available on EAM 7.6.X Deployments","")</f>
        <v/>
      </c>
      <c r="J29" s="258">
        <f ca="1">CapUdiscounedpriceyearly*F29+VPCdiscountedpriceyearly*G29+GBstoragediscountedpriceyearly*H29</f>
        <v>0</v>
      </c>
      <c r="K29" s="255">
        <f>K6</f>
        <v>6</v>
      </c>
      <c r="P29" s="299"/>
      <c r="Q29" s="261"/>
      <c r="R29" s="261"/>
      <c r="S29" s="260"/>
    </row>
    <row r="30" spans="2:22" ht="17" thickBot="1" x14ac:dyDescent="0.25">
      <c r="B30" s="254"/>
      <c r="C30" s="255"/>
      <c r="D30" s="255"/>
      <c r="E30" s="255"/>
      <c r="F30" s="340"/>
      <c r="G30" s="329"/>
      <c r="H30" s="344"/>
      <c r="I30" s="528"/>
      <c r="J30" s="258">
        <f t="shared" si="0"/>
        <v>0</v>
      </c>
      <c r="P30" s="299"/>
      <c r="Q30" s="261"/>
      <c r="R30" s="261"/>
      <c r="S30" s="260"/>
    </row>
    <row r="31" spans="2:22" ht="17" thickBot="1" x14ac:dyDescent="0.25">
      <c r="B31" s="254"/>
      <c r="C31" s="307" t="s">
        <v>590</v>
      </c>
      <c r="D31" s="308"/>
      <c r="E31" s="255"/>
      <c r="F31" s="340"/>
      <c r="G31" s="329"/>
      <c r="H31" s="344"/>
      <c r="I31" s="528"/>
      <c r="J31" s="258">
        <f t="shared" si="0"/>
        <v>0</v>
      </c>
      <c r="P31" s="299"/>
      <c r="Q31" s="261"/>
      <c r="R31" s="261"/>
      <c r="S31" s="260"/>
    </row>
    <row r="32" spans="2:22" ht="17" thickBot="1" x14ac:dyDescent="0.25">
      <c r="B32" s="254"/>
      <c r="C32" s="276" t="s">
        <v>476</v>
      </c>
      <c r="D32" s="357" t="s">
        <v>3</v>
      </c>
      <c r="E32" s="255"/>
      <c r="F32" s="595">
        <f>IF(D32="Yes",ROUNDUP((healthfteall*laboryear/12)/CapUCost,0),0)</f>
        <v>0</v>
      </c>
      <c r="G32" s="538">
        <v>0</v>
      </c>
      <c r="H32" s="539">
        <v>0</v>
      </c>
      <c r="I32" s="528"/>
      <c r="J32" s="258">
        <f t="shared" si="0"/>
        <v>0</v>
      </c>
      <c r="P32" s="299"/>
      <c r="Q32" s="261"/>
      <c r="R32" s="261"/>
      <c r="S32" s="260"/>
    </row>
    <row r="33" spans="2:13" x14ac:dyDescent="0.2">
      <c r="B33" s="254"/>
      <c r="C33" s="255"/>
      <c r="D33" s="262"/>
      <c r="E33" s="255"/>
      <c r="F33" s="328"/>
      <c r="G33" s="329"/>
      <c r="H33" s="329"/>
      <c r="I33" s="528"/>
    </row>
    <row r="34" spans="2:13" x14ac:dyDescent="0.2">
      <c r="B34" s="254"/>
      <c r="C34" s="255"/>
      <c r="D34" s="615" t="s">
        <v>400</v>
      </c>
      <c r="E34" s="255"/>
      <c r="F34" s="328"/>
      <c r="G34" s="329"/>
      <c r="H34" s="329"/>
      <c r="I34" s="528"/>
      <c r="J34" s="258"/>
    </row>
    <row r="35" spans="2:13" ht="17" thickBot="1" x14ac:dyDescent="0.25">
      <c r="B35" s="254"/>
      <c r="C35" s="255"/>
      <c r="D35" s="615"/>
      <c r="E35" s="255"/>
      <c r="F35" s="328"/>
      <c r="G35" s="329"/>
      <c r="H35" s="329"/>
      <c r="I35" s="528"/>
      <c r="J35" s="258"/>
    </row>
    <row r="36" spans="2:13" ht="17" thickBot="1" x14ac:dyDescent="0.25">
      <c r="B36" s="254"/>
      <c r="C36" s="255"/>
      <c r="D36" s="262"/>
      <c r="E36" s="255"/>
      <c r="F36" s="312" t="s">
        <v>232</v>
      </c>
      <c r="G36" s="313" t="s">
        <v>5</v>
      </c>
      <c r="H36" s="314" t="s">
        <v>6</v>
      </c>
      <c r="I36" s="529"/>
      <c r="J36" s="287"/>
    </row>
    <row r="37" spans="2:13" ht="17" thickBot="1" x14ac:dyDescent="0.25">
      <c r="B37" s="254"/>
      <c r="C37" s="255"/>
      <c r="D37" s="265" t="s">
        <v>337</v>
      </c>
      <c r="E37" s="255"/>
      <c r="F37" s="317">
        <f ca="1">SUM(F5:F32)</f>
        <v>0</v>
      </c>
      <c r="G37" s="318">
        <f ca="1">SUM(G5:G29)</f>
        <v>0</v>
      </c>
      <c r="H37" s="319">
        <f ca="1">SUM(H5:H29)</f>
        <v>0</v>
      </c>
      <c r="I37" s="528"/>
      <c r="J37" s="258">
        <f ca="1">CapUdiscounedpriceyearly*F37+VPCdiscountedpriceyearly*G37+GBstoragediscountedpriceyearly*H37</f>
        <v>0</v>
      </c>
      <c r="K37" s="255">
        <f>SUM(K5:K29)</f>
        <v>144</v>
      </c>
      <c r="L37" s="260">
        <f ca="1">SUM(L5:L16)</f>
        <v>0</v>
      </c>
      <c r="M37" s="274">
        <f ca="1">SUM(M5:M18)</f>
        <v>0</v>
      </c>
    </row>
    <row r="38" spans="2:13" x14ac:dyDescent="0.2">
      <c r="B38" s="254"/>
      <c r="C38" s="255"/>
      <c r="D38" s="262"/>
      <c r="E38" s="255"/>
      <c r="F38" s="321"/>
      <c r="G38" s="255"/>
      <c r="H38" s="255"/>
      <c r="I38" s="528"/>
      <c r="J38" s="258"/>
      <c r="K38" s="255" t="b">
        <f>IF((COUNTIF(K6:K29,"&lt;6")),TRUE,FALSE)</f>
        <v>0</v>
      </c>
      <c r="L38" s="275"/>
    </row>
    <row r="39" spans="2:13" x14ac:dyDescent="0.2">
      <c r="B39" s="254"/>
      <c r="C39" s="255"/>
      <c r="D39" s="267" t="s">
        <v>321</v>
      </c>
      <c r="E39" s="255"/>
      <c r="F39" s="614" t="str">
        <f>I25&amp;I10&amp;" | "&amp;K49</f>
        <v xml:space="preserve"> | </v>
      </c>
      <c r="G39" s="614"/>
      <c r="H39" s="614"/>
      <c r="I39" s="528"/>
      <c r="J39" s="258" t="s">
        <v>540</v>
      </c>
      <c r="L39" s="274"/>
    </row>
    <row r="40" spans="2:13" x14ac:dyDescent="0.2">
      <c r="B40" s="254"/>
      <c r="C40" s="255"/>
      <c r="D40" s="262"/>
      <c r="E40" s="255"/>
      <c r="F40" s="614"/>
      <c r="G40" s="614"/>
      <c r="H40" s="614"/>
      <c r="I40" s="528"/>
    </row>
    <row r="41" spans="2:13" x14ac:dyDescent="0.2">
      <c r="B41" s="254"/>
      <c r="C41" s="255"/>
      <c r="D41" s="262"/>
      <c r="E41" s="255"/>
      <c r="F41" s="614"/>
      <c r="G41" s="614"/>
      <c r="H41" s="614"/>
      <c r="I41" s="528"/>
      <c r="J41" s="258"/>
    </row>
    <row r="42" spans="2:13" x14ac:dyDescent="0.2">
      <c r="B42" s="254"/>
      <c r="C42" s="255"/>
      <c r="D42" s="262"/>
      <c r="E42" s="255"/>
      <c r="F42" s="614"/>
      <c r="G42" s="614"/>
      <c r="H42" s="614"/>
      <c r="I42" s="528"/>
      <c r="J42" s="258"/>
    </row>
    <row r="43" spans="2:13" x14ac:dyDescent="0.2">
      <c r="B43" s="254"/>
      <c r="C43" s="255"/>
      <c r="D43" s="262"/>
      <c r="E43" s="255"/>
      <c r="F43" s="614"/>
      <c r="G43" s="614"/>
      <c r="H43" s="614"/>
      <c r="I43" s="528"/>
      <c r="J43" s="258"/>
    </row>
    <row r="44" spans="2:13" x14ac:dyDescent="0.2">
      <c r="B44" s="254"/>
      <c r="C44" s="255"/>
      <c r="D44" s="262"/>
      <c r="E44" s="255"/>
      <c r="F44" s="614"/>
      <c r="G44" s="614"/>
      <c r="H44" s="614"/>
      <c r="I44" s="528"/>
      <c r="J44" s="258"/>
    </row>
    <row r="45" spans="2:13" x14ac:dyDescent="0.2">
      <c r="B45" s="254"/>
      <c r="C45" s="255"/>
      <c r="D45" s="262"/>
      <c r="E45" s="255"/>
      <c r="F45" s="614"/>
      <c r="G45" s="614"/>
      <c r="H45" s="614"/>
      <c r="I45" s="528"/>
      <c r="J45" s="258"/>
    </row>
    <row r="46" spans="2:13" x14ac:dyDescent="0.2">
      <c r="B46" s="254"/>
      <c r="C46" s="255"/>
      <c r="D46" s="262"/>
      <c r="E46" s="255"/>
      <c r="F46" s="614"/>
      <c r="G46" s="614"/>
      <c r="H46" s="614"/>
      <c r="I46" s="528"/>
      <c r="J46" s="258"/>
    </row>
    <row r="47" spans="2:13" x14ac:dyDescent="0.2">
      <c r="B47" s="254"/>
      <c r="C47" s="255"/>
      <c r="D47" s="262"/>
      <c r="E47" s="255"/>
      <c r="F47" s="614"/>
      <c r="G47" s="614"/>
      <c r="H47" s="614"/>
      <c r="I47" s="528"/>
      <c r="J47" s="258"/>
    </row>
    <row r="48" spans="2:13" x14ac:dyDescent="0.2">
      <c r="B48" s="254"/>
      <c r="C48" s="255"/>
      <c r="D48" s="262"/>
      <c r="E48" s="255"/>
      <c r="F48" s="614"/>
      <c r="G48" s="614"/>
      <c r="H48" s="614"/>
      <c r="I48" s="528"/>
      <c r="J48" s="258"/>
    </row>
    <row r="49" spans="2:11" x14ac:dyDescent="0.2">
      <c r="B49" s="269"/>
      <c r="C49" s="270"/>
      <c r="D49" s="271"/>
      <c r="E49" s="270"/>
      <c r="F49" s="324"/>
      <c r="G49" s="270"/>
      <c r="H49" s="270"/>
      <c r="I49" s="540"/>
      <c r="J49" s="259" t="b">
        <f>IF(COUNTIF(K6:K17,5),TRUE,FALSE)</f>
        <v>0</v>
      </c>
      <c r="K49" s="258" t="str">
        <f>IF(J49,"Error: Quote contains Beyond Large size, contact Drew.A.Sens@ibm.com for custom quote","")</f>
        <v/>
      </c>
    </row>
    <row r="51" spans="2:11" x14ac:dyDescent="0.2">
      <c r="C51" s="273"/>
    </row>
    <row r="52" spans="2:11" x14ac:dyDescent="0.2">
      <c r="C52" s="255"/>
    </row>
    <row r="53" spans="2:11" x14ac:dyDescent="0.2">
      <c r="C53" s="255"/>
    </row>
    <row r="54" spans="2:11" x14ac:dyDescent="0.2">
      <c r="C54" s="255"/>
    </row>
    <row r="55" spans="2:11" x14ac:dyDescent="0.2">
      <c r="C55" s="255"/>
    </row>
  </sheetData>
  <sheetProtection algorithmName="SHA-512" hashValue="7mKxJC8qzIgz2eRAAxU4k45m2UtEkaQE8UKdBALqIix/fav+680B59KLT+4OhdiubwXXabs7Uug5of8x+F+CcQ==" saltValue="DZAb4d2Dqfh0t/AgWttogQ==" spinCount="100000" sheet="1" objects="1" scenarios="1"/>
  <dataConsolidate/>
  <mergeCells count="6">
    <mergeCell ref="P3:Q3"/>
    <mergeCell ref="Q12:S12"/>
    <mergeCell ref="F39:H48"/>
    <mergeCell ref="D34:D35"/>
    <mergeCell ref="I5:I6"/>
    <mergeCell ref="C8:D8"/>
  </mergeCells>
  <dataValidations count="13">
    <dataValidation type="list" allowBlank="1" showInputMessage="1" showErrorMessage="1" sqref="D21" xr:uid="{8C4FE4EE-DC72-C047-986E-98978609C4C5}">
      <formula1>EffortLevel</formula1>
    </dataValidation>
    <dataValidation type="list" allowBlank="1" showInputMessage="1" showErrorMessage="1" sqref="D18" xr:uid="{D13E9256-2683-F749-9DC5-7EBDE40C7EBE}">
      <formula1>tshirtsizes</formula1>
    </dataValidation>
    <dataValidation type="list" allowBlank="1" showInputMessage="1" showErrorMessage="1" sqref="D6" xr:uid="{E8FCF8BD-7EF6-E34A-9201-736F3904F652}">
      <formula1>managesizes</formula1>
    </dataValidation>
    <dataValidation type="list" allowBlank="1" showInputMessage="1" showErrorMessage="1" sqref="D11:D14" xr:uid="{940682BE-B699-0948-BE0C-45BE71593BB8}">
      <formula1>managesizesyesno</formula1>
    </dataValidation>
    <dataValidation type="list" allowBlank="1" showInputMessage="1" showErrorMessage="1" sqref="D22" xr:uid="{AE4672E7-3F02-0845-8F99-9AD2916DCF93}">
      <formula1>onethrufive</formula1>
    </dataValidation>
    <dataValidation type="list" allowBlank="1" showInputMessage="1" showErrorMessage="1" sqref="D10" xr:uid="{31F5538C-F038-824C-B446-708D3A80FD1B}">
      <formula1>IF($D$5="No",managesizesyesno,managesizes1stnonprod)</formula1>
    </dataValidation>
    <dataValidation type="list" allowBlank="1" showInputMessage="1" showErrorMessage="1" sqref="D28" xr:uid="{64400E5E-E791-C541-A486-7F043DB83B30}">
      <formula1>zerothroughfive</formula1>
    </dataValidation>
    <dataValidation type="list" allowBlank="1" showInputMessage="1" showErrorMessage="1" sqref="D15" xr:uid="{A97869CD-BB28-9B4C-81EC-183B0700F8D3}">
      <formula1>zerothroughten</formula1>
    </dataValidation>
    <dataValidation type="list" allowBlank="1" showInputMessage="1" showErrorMessage="1" promptTitle="AllowListing" prompt="Each IP AllowListing entitlement provides configured access to a specific environment from a Client defined and approved list of trusted IP addresses or IP ranges only." sqref="D27" xr:uid="{D2BD6880-0FA7-1A47-8949-925D8FD6C7FD}">
      <formula1>zerothroughfive</formula1>
    </dataValidation>
    <dataValidation type="list" allowBlank="1" showInputMessage="1" showErrorMessage="1" promptTitle="Enhanced DR" prompt="This Cloud Service allows Client to have Disaster Recovery configured to support a Recovery Point Objective (RPO) of 1 hour and a Recovery Time Objective (RTO) of 12 hours. The Cloud Service includes an application server and a database server in a second" sqref="D29" xr:uid="{7F8F4A06-65A3-E24B-B04F-AA783FC0BF6B}">
      <formula1>yesno</formula1>
    </dataValidation>
    <dataValidation type="list" allowBlank="1" showInputMessage="1" showErrorMessage="1" promptTitle="VPN" prompt="An IPSec site-to-site VPN tunnel is used to encrypt traffic between secure IPSec Gateways. The VPN IPSec Tunnel will permit site-to-site traffic between the Client networks and the Cloud Service. This can be used to support certain integrations, read-only" sqref="D26" xr:uid="{57BE3D9B-BDD6-C646-9871-377CCEBB8B8D}">
      <formula1>zerothroughfive</formula1>
    </dataValidation>
    <dataValidation type="list" allowBlank="1" showInputMessage="1" showErrorMessage="1" promptTitle="Reporting DB" prompt="An Add-on Reporting Database entitlement adds a Database server to which one of Client's environment databases replicates to, for the purpose of running reporting tools against it." sqref="D25" xr:uid="{6608B5F6-1404-114A-896D-1073E27ED429}">
      <formula1>yesno</formula1>
    </dataValidation>
    <dataValidation type="list" allowBlank="1" showErrorMessage="1" sqref="D32" xr:uid="{781CD153-3655-D841-BB49-433F47670A41}">
      <formula1>yesno</formula1>
    </dataValidation>
  </dataValidations>
  <hyperlinks>
    <hyperlink ref="I21" r:id="rId1" display="https://ibm.seismic.com/Link/Content/DCnyWTNOxNHk-RwX2P14KfOw" xr:uid="{B4C4F8DD-0CEC-944D-BD52-47D1E4513B8A}"/>
    <hyperlink ref="I22" r:id="rId2" xr:uid="{0ECBEFC6-1806-D34D-A092-1327DB8C134F}"/>
    <hyperlink ref="D34" location="'Output Dashboard'!A1" display="Go to Output Dashboard" xr:uid="{E961AB41-8C40-0B47-B20C-CE0C219B81EC}"/>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PoC" prompt="Allowable duration of PoC Environment is 3-6 months" xr:uid="{E1A3FEAA-25CB-1A4A-92BB-736759B64B34}">
          <x14:formula1>
            <xm:f>txts!$H$4:$H$5</xm:f>
          </x14:formula1>
          <xm:sqref>D17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76B7-BF02-2240-87B0-515F854348DA}">
  <sheetPr codeName="Sheet15">
    <tabColor theme="9" tint="0.79998168889431442"/>
  </sheetPr>
  <dimension ref="B1:Z53"/>
  <sheetViews>
    <sheetView zoomScale="93" zoomScaleNormal="125" workbookViewId="0">
      <selection activeCell="D6" sqref="D6"/>
    </sheetView>
  </sheetViews>
  <sheetFormatPr baseColWidth="10" defaultRowHeight="16" outlineLevelCol="1" x14ac:dyDescent="0.2"/>
  <cols>
    <col min="1" max="1" width="1.83203125" style="259" customWidth="1"/>
    <col min="2" max="2" width="6" style="259" customWidth="1"/>
    <col min="3" max="3" width="85.1640625" style="259" customWidth="1"/>
    <col min="4" max="4" width="34.6640625" style="598" customWidth="1"/>
    <col min="5" max="5" width="2.6640625" style="259" customWidth="1"/>
    <col min="6" max="6" width="19.5" style="259" bestFit="1" customWidth="1"/>
    <col min="7" max="7" width="17.6640625" style="259" customWidth="1"/>
    <col min="8" max="8" width="12.33203125" style="259" bestFit="1" customWidth="1"/>
    <col min="9" max="9" width="80.33203125" style="259" bestFit="1" customWidth="1"/>
    <col min="10" max="10" width="50.33203125" style="259" hidden="1" customWidth="1" outlineLevel="1"/>
    <col min="11" max="11" width="15.33203125" style="255" hidden="1" customWidth="1" outlineLevel="1"/>
    <col min="12" max="12" width="20.83203125" style="259" hidden="1" customWidth="1" outlineLevel="1"/>
    <col min="13" max="13" width="10.83203125" style="274" hidden="1" customWidth="1" outlineLevel="1"/>
    <col min="14" max="15" width="10.83203125" style="259" hidden="1" customWidth="1" outlineLevel="1"/>
    <col min="16" max="16" width="12.1640625" style="259" hidden="1" customWidth="1" outlineLevel="1"/>
    <col min="17" max="19" width="10.83203125" style="259" hidden="1" customWidth="1" outlineLevel="1"/>
    <col min="20" max="20" width="13.83203125" style="259" hidden="1" customWidth="1" outlineLevel="1"/>
    <col min="21" max="22" width="14.1640625" style="259" hidden="1" customWidth="1" outlineLevel="1"/>
    <col min="23" max="23" width="19.33203125" style="259" hidden="1" customWidth="1" outlineLevel="1"/>
    <col min="24" max="25" width="10.83203125" style="259" hidden="1" customWidth="1" outlineLevel="1"/>
    <col min="26" max="26" width="10.83203125" style="259" collapsed="1"/>
    <col min="27" max="16384" width="10.83203125" style="259"/>
  </cols>
  <sheetData>
    <row r="1" spans="2:22" ht="9" customHeight="1" x14ac:dyDescent="0.2"/>
    <row r="2" spans="2:22" ht="13" customHeight="1" x14ac:dyDescent="0.2">
      <c r="B2" s="280" t="str">
        <f>'Output Dashboard'!B2</f>
        <v>MAS Managed Service Calculator 5.4</v>
      </c>
      <c r="C2" s="281"/>
      <c r="D2" s="599"/>
      <c r="E2" s="281"/>
      <c r="F2" s="281"/>
      <c r="G2" s="281"/>
      <c r="H2" s="281"/>
      <c r="I2" s="282"/>
      <c r="J2" s="282"/>
    </row>
    <row r="3" spans="2:22" ht="17" thickBot="1" x14ac:dyDescent="0.25">
      <c r="B3" s="283" t="s">
        <v>17</v>
      </c>
      <c r="C3" s="255"/>
      <c r="D3" s="262"/>
      <c r="E3" s="255"/>
      <c r="F3" s="255"/>
      <c r="G3" s="255"/>
      <c r="H3" s="255"/>
      <c r="I3" s="257"/>
      <c r="J3" s="257"/>
      <c r="L3" s="259" t="s">
        <v>379</v>
      </c>
      <c r="P3" s="610" t="s">
        <v>4</v>
      </c>
      <c r="Q3" s="610"/>
    </row>
    <row r="4" spans="2:22" ht="16" customHeight="1" thickBot="1" x14ac:dyDescent="0.25">
      <c r="B4" s="254"/>
      <c r="C4" s="585"/>
      <c r="D4" s="262"/>
      <c r="E4" s="255"/>
      <c r="F4" s="586" t="s">
        <v>232</v>
      </c>
      <c r="G4" s="285" t="s">
        <v>5</v>
      </c>
      <c r="H4" s="286" t="s">
        <v>6</v>
      </c>
      <c r="I4" s="263" t="s">
        <v>388</v>
      </c>
      <c r="J4" s="350" t="s">
        <v>403</v>
      </c>
      <c r="K4" s="288" t="s">
        <v>7</v>
      </c>
      <c r="L4" s="289" t="s">
        <v>295</v>
      </c>
      <c r="M4" s="351" t="s">
        <v>302</v>
      </c>
      <c r="P4" s="259" t="s">
        <v>24</v>
      </c>
      <c r="Q4" s="259" t="s">
        <v>279</v>
      </c>
      <c r="R4" s="259" t="s">
        <v>280</v>
      </c>
      <c r="S4" s="259" t="s">
        <v>281</v>
      </c>
      <c r="T4" s="259" t="s">
        <v>282</v>
      </c>
    </row>
    <row r="5" spans="2:22" ht="17" customHeight="1" thickBot="1" x14ac:dyDescent="0.25">
      <c r="B5" s="254"/>
      <c r="C5" s="291" t="s">
        <v>591</v>
      </c>
      <c r="D5" s="292" t="str">
        <f>IF(AND(D7="None",D6="No"),"No","Yes")</f>
        <v>No</v>
      </c>
      <c r="E5" s="255"/>
      <c r="F5" s="587"/>
      <c r="G5" s="542"/>
      <c r="H5" s="543"/>
      <c r="I5" s="619" t="str">
        <f>L34</f>
        <v/>
      </c>
      <c r="J5" s="258"/>
      <c r="O5" s="259" t="s">
        <v>247</v>
      </c>
      <c r="P5" s="259">
        <f>healthvpcdev</f>
        <v>4</v>
      </c>
      <c r="Q5" s="259">
        <f>healthdb2vpcdev</f>
        <v>6</v>
      </c>
      <c r="R5" s="259">
        <f>healthdb2dev</f>
        <v>256</v>
      </c>
      <c r="S5" s="293">
        <v>458.33333333333331</v>
      </c>
      <c r="T5" s="299">
        <f>T6</f>
        <v>229.16666666666666</v>
      </c>
    </row>
    <row r="6" spans="2:22" x14ac:dyDescent="0.2">
      <c r="B6" s="254"/>
      <c r="C6" s="588" t="s">
        <v>18</v>
      </c>
      <c r="D6" s="356" t="s">
        <v>3</v>
      </c>
      <c r="E6" s="255"/>
      <c r="F6" s="589">
        <f>IF(D6="Ontop of Manage",ROUNDUP((healthfteall*laboryear/12)/CapUCost,0),0)</f>
        <v>0</v>
      </c>
      <c r="G6" s="370">
        <v>0</v>
      </c>
      <c r="H6" s="371">
        <v>0</v>
      </c>
      <c r="I6" s="619"/>
      <c r="J6" s="258">
        <f t="shared" ref="J6:J23" si="0">CapUdiscounedpriceyearly*F6+VPCdiscountedpriceyearly*G6+GBstoragediscountedpriceyearly*H6</f>
        <v>0</v>
      </c>
      <c r="O6" s="259" t="s">
        <v>277</v>
      </c>
      <c r="P6" s="259">
        <f>healthvpcxsmall</f>
        <v>4</v>
      </c>
      <c r="Q6" s="259">
        <f>healthdb2vpcxsmall</f>
        <v>12</v>
      </c>
      <c r="R6" s="259">
        <f>healthdb2xsmall</f>
        <v>256</v>
      </c>
      <c r="S6" s="293">
        <v>458.33333333333331</v>
      </c>
      <c r="T6" s="299">
        <f t="shared" ref="T6:T9" si="1">S6/2</f>
        <v>229.16666666666666</v>
      </c>
    </row>
    <row r="7" spans="2:22" x14ac:dyDescent="0.2">
      <c r="B7" s="254"/>
      <c r="C7" s="279" t="s">
        <v>364</v>
      </c>
      <c r="D7" s="356" t="s">
        <v>223</v>
      </c>
      <c r="E7" s="255"/>
      <c r="F7" s="335">
        <f ca="1">OFFSET($S$14,$K7,0)</f>
        <v>0</v>
      </c>
      <c r="G7" s="370">
        <f ca="1">OFFSET($P$5,$K7,0)</f>
        <v>0</v>
      </c>
      <c r="H7" s="371">
        <f ca="1">OFFSET($R$5,$K7,0)</f>
        <v>0</v>
      </c>
      <c r="I7" s="607" t="str">
        <f>IF(AND(NOT(D7="None"),NOT(D6="Stand Alone")),"Production sizing is only valid when the 'stand alone' health deployment is selected","")</f>
        <v/>
      </c>
      <c r="J7" s="258">
        <f t="shared" ca="1" si="0"/>
        <v>0</v>
      </c>
      <c r="K7" s="255">
        <f>IF(ISNUMBER(SEARCH("Dev",D7)),0,IF(ISNUMBER(SEARCH("xSmall",D7)),1,IF(ISNUMBER(SEARCH("Small",D7)),2,IF(ISNUMBER(SEARCH("Medium",D7)),3,IF(ISNUMBER(SEARCH("Beyond Large",D7)),5,IF(ISNUMBER(SEARCH("Large",D7)),4,6))))))</f>
        <v>6</v>
      </c>
      <c r="L7" s="255">
        <f ca="1">OFFSET($Q$5,$K7,0)</f>
        <v>0</v>
      </c>
      <c r="M7" s="274">
        <f ca="1">OFFSET($Q$14,$K7,0)</f>
        <v>0</v>
      </c>
      <c r="O7" s="259" t="s">
        <v>22</v>
      </c>
      <c r="P7" s="259" cm="1">
        <f t="array" ref="P7">healthvpcsmall</f>
        <v>4</v>
      </c>
      <c r="Q7" s="259">
        <f>healthdb2vpcsmall</f>
        <v>12</v>
      </c>
      <c r="R7" s="259">
        <f>healthdb2small</f>
        <v>512</v>
      </c>
      <c r="S7" s="293">
        <v>458.33333333333331</v>
      </c>
      <c r="T7" s="299">
        <f t="shared" si="1"/>
        <v>229.16666666666666</v>
      </c>
    </row>
    <row r="8" spans="2:22" x14ac:dyDescent="0.2">
      <c r="B8" s="254"/>
      <c r="C8" s="544" t="s">
        <v>397</v>
      </c>
      <c r="D8" s="262"/>
      <c r="E8" s="255"/>
      <c r="F8" s="340"/>
      <c r="G8" s="328"/>
      <c r="H8" s="373"/>
      <c r="I8" s="257"/>
      <c r="J8" s="258">
        <f t="shared" si="0"/>
        <v>0</v>
      </c>
      <c r="K8" s="255">
        <f t="shared" ref="K8:K21" si="2">IF(ISNUMBER(SEARCH("Dev",D8)),0,IF(ISNUMBER(SEARCH("xSmall",D8)),1,IF(ISNUMBER(SEARCH("Small",D8)),2,IF(ISNUMBER(SEARCH("Medium",D8)),3,IF(ISNUMBER(SEARCH("Beyond Large",D8)),5,IF(ISNUMBER(SEARCH("Large",D8)),4,6))))))</f>
        <v>6</v>
      </c>
      <c r="L8" s="255"/>
      <c r="M8" s="274">
        <f ca="1">OFFSET($Q$14,$K8,0)</f>
        <v>0</v>
      </c>
      <c r="O8" s="259" t="s">
        <v>278</v>
      </c>
      <c r="P8" s="259">
        <f>healthvpcmedium</f>
        <v>4</v>
      </c>
      <c r="Q8" s="259">
        <f>healthdb2vpcmedium</f>
        <v>17</v>
      </c>
      <c r="R8" s="259">
        <f>healthdb2medium</f>
        <v>1024</v>
      </c>
      <c r="S8" s="293">
        <v>458.33333333333331</v>
      </c>
      <c r="T8" s="299">
        <f t="shared" si="1"/>
        <v>229.16666666666666</v>
      </c>
    </row>
    <row r="9" spans="2:22" ht="17" thickBot="1" x14ac:dyDescent="0.25">
      <c r="B9" s="254"/>
      <c r="C9" s="227"/>
      <c r="D9" s="305"/>
      <c r="E9" s="255"/>
      <c r="F9" s="340"/>
      <c r="G9" s="328"/>
      <c r="H9" s="373"/>
      <c r="I9" s="257"/>
      <c r="J9" s="258">
        <f t="shared" si="0"/>
        <v>0</v>
      </c>
      <c r="K9" s="255">
        <f t="shared" si="2"/>
        <v>6</v>
      </c>
      <c r="L9" s="255"/>
      <c r="M9" s="274">
        <f ca="1">OFFSET($Q$14,$K9,0)</f>
        <v>0</v>
      </c>
      <c r="O9" s="259" t="s">
        <v>53</v>
      </c>
      <c r="P9" s="259">
        <f>healthvpclarge</f>
        <v>4</v>
      </c>
      <c r="Q9" s="259">
        <f>healthdb2vpclarge</f>
        <v>33</v>
      </c>
      <c r="R9" s="259">
        <f>healthdb2large</f>
        <v>1200</v>
      </c>
      <c r="S9" s="293">
        <v>458.33333333333331</v>
      </c>
      <c r="T9" s="299">
        <f t="shared" si="1"/>
        <v>229.16666666666666</v>
      </c>
    </row>
    <row r="10" spans="2:22" ht="17" thickBot="1" x14ac:dyDescent="0.25">
      <c r="B10" s="254"/>
      <c r="C10" s="291" t="s">
        <v>374</v>
      </c>
      <c r="D10" s="292" t="str">
        <f>IF(D11="None","No","Yes")</f>
        <v>No</v>
      </c>
      <c r="E10" s="255"/>
      <c r="F10" s="340"/>
      <c r="G10" s="328"/>
      <c r="H10" s="373"/>
      <c r="I10" s="257"/>
      <c r="J10" s="258">
        <f t="shared" si="0"/>
        <v>0</v>
      </c>
      <c r="K10" s="255">
        <f t="shared" si="2"/>
        <v>6</v>
      </c>
      <c r="L10" s="255"/>
      <c r="M10" s="274">
        <f ca="1">OFFSET($Q$14,$K10,0)</f>
        <v>0</v>
      </c>
    </row>
    <row r="11" spans="2:22" x14ac:dyDescent="0.2">
      <c r="B11" s="254"/>
      <c r="C11" s="279" t="s">
        <v>224</v>
      </c>
      <c r="D11" s="356" t="s">
        <v>223</v>
      </c>
      <c r="E11" s="255"/>
      <c r="F11" s="335">
        <f ca="1">IF(D6="yes",OFFSET($S$14,$K11,0),OFFSET($U$14,$K11,0))+IF(AND(K11&lt;6,$D$21="Yes"),10,0)</f>
        <v>0</v>
      </c>
      <c r="G11" s="370">
        <f ca="1">OFFSET($P$5,$K11,0)+IF(AND(K11&lt;6,$D$21="Yes"),OFFSET($P$26,$K11,0)+$V$34,0)</f>
        <v>0</v>
      </c>
      <c r="H11" s="371">
        <f ca="1">OFFSET($R$5,$K11,0)+IF(AND(K11&lt;6,$D$21="Yes"),1000,0)</f>
        <v>0</v>
      </c>
      <c r="I11" s="257"/>
      <c r="J11" s="258">
        <f t="shared" ca="1" si="0"/>
        <v>0</v>
      </c>
      <c r="K11" s="255">
        <f t="shared" si="2"/>
        <v>6</v>
      </c>
      <c r="L11" s="255">
        <f t="shared" ref="L11:L16" ca="1" si="3">OFFSET($Q$5,$K11,0)</f>
        <v>0</v>
      </c>
      <c r="M11" s="274">
        <f ca="1">OFFSET($Q$14,$K11,0)</f>
        <v>0</v>
      </c>
    </row>
    <row r="12" spans="2:22" x14ac:dyDescent="0.2">
      <c r="B12" s="254"/>
      <c r="C12" s="279" t="s">
        <v>225</v>
      </c>
      <c r="D12" s="356" t="s">
        <v>223</v>
      </c>
      <c r="E12" s="255"/>
      <c r="F12" s="335">
        <f ca="1">OFFSET($U$14,$K12,0)+IF(AND(K12&lt;6,$D$21="Yes"),10,0)</f>
        <v>0</v>
      </c>
      <c r="G12" s="370">
        <f t="shared" ref="G12:G15" ca="1" si="4">OFFSET($P$5,$K12,0)+IF(AND(K12&lt;6,$D$21="Yes"),OFFSET($P$26,$K12,0)+$V$34,0)</f>
        <v>0</v>
      </c>
      <c r="H12" s="371">
        <f t="shared" ref="H12:H15" ca="1" si="5">OFFSET($R$5,$K12,0)+IF(AND(K12&lt;6,$D$21="Yes"),1000,0)</f>
        <v>0</v>
      </c>
      <c r="I12" s="257"/>
      <c r="J12" s="258">
        <f t="shared" ca="1" si="0"/>
        <v>0</v>
      </c>
      <c r="K12" s="255">
        <f t="shared" si="2"/>
        <v>6</v>
      </c>
      <c r="L12" s="255">
        <f t="shared" ca="1" si="3"/>
        <v>0</v>
      </c>
      <c r="M12" s="274">
        <f ca="1">OFFSET($T$5,$K12,0)</f>
        <v>0</v>
      </c>
      <c r="Q12" s="611" t="s">
        <v>285</v>
      </c>
      <c r="R12" s="612"/>
      <c r="S12" s="613"/>
    </row>
    <row r="13" spans="2:22" x14ac:dyDescent="0.2">
      <c r="B13" s="254"/>
      <c r="C13" s="279" t="s">
        <v>226</v>
      </c>
      <c r="D13" s="356" t="s">
        <v>223</v>
      </c>
      <c r="E13" s="255"/>
      <c r="F13" s="335">
        <f ca="1">OFFSET($U$14,$K13,0)+IF(AND(K13&lt;6,$D$21="Yes"),10,0)</f>
        <v>0</v>
      </c>
      <c r="G13" s="370">
        <f t="shared" ca="1" si="4"/>
        <v>0</v>
      </c>
      <c r="H13" s="371">
        <f t="shared" ca="1" si="5"/>
        <v>0</v>
      </c>
      <c r="I13" s="257"/>
      <c r="J13" s="258">
        <f t="shared" ca="1" si="0"/>
        <v>0</v>
      </c>
      <c r="K13" s="255">
        <f t="shared" si="2"/>
        <v>6</v>
      </c>
      <c r="L13" s="255">
        <f t="shared" ca="1" si="3"/>
        <v>0</v>
      </c>
      <c r="M13" s="274">
        <f t="shared" ref="M13:M16" ca="1" si="6">OFFSET($T$5,$K13,0)</f>
        <v>0</v>
      </c>
      <c r="P13" s="259" t="s">
        <v>289</v>
      </c>
      <c r="Q13" s="254" t="s">
        <v>281</v>
      </c>
      <c r="R13" s="255" t="s">
        <v>283</v>
      </c>
      <c r="S13" s="257" t="s">
        <v>284</v>
      </c>
      <c r="T13" s="298"/>
      <c r="U13" s="259" t="s">
        <v>286</v>
      </c>
      <c r="V13" s="259" t="s">
        <v>330</v>
      </c>
    </row>
    <row r="14" spans="2:22" x14ac:dyDescent="0.2">
      <c r="B14" s="254"/>
      <c r="C14" s="279" t="s">
        <v>227</v>
      </c>
      <c r="D14" s="356" t="s">
        <v>223</v>
      </c>
      <c r="E14" s="255"/>
      <c r="F14" s="335">
        <f t="shared" ref="F14:F15" ca="1" si="7">OFFSET($U$14,$K14,0)+IF(AND(K14&lt;6,$D$21="Yes"),10,0)</f>
        <v>0</v>
      </c>
      <c r="G14" s="370">
        <f t="shared" ca="1" si="4"/>
        <v>0</v>
      </c>
      <c r="H14" s="371">
        <f t="shared" ca="1" si="5"/>
        <v>0</v>
      </c>
      <c r="I14" s="257"/>
      <c r="J14" s="258">
        <f t="shared" ca="1" si="0"/>
        <v>0</v>
      </c>
      <c r="K14" s="255">
        <f t="shared" si="2"/>
        <v>6</v>
      </c>
      <c r="L14" s="255">
        <f t="shared" ca="1" si="3"/>
        <v>0</v>
      </c>
      <c r="M14" s="274">
        <f t="shared" ca="1" si="6"/>
        <v>0</v>
      </c>
      <c r="O14" s="259" t="s">
        <v>247</v>
      </c>
      <c r="P14" s="299">
        <f>Q5*VPCCost</f>
        <v>184.68</v>
      </c>
      <c r="Q14" s="300">
        <v>0</v>
      </c>
      <c r="R14" s="258">
        <f>Q14+P14</f>
        <v>184.68</v>
      </c>
      <c r="S14" s="316">
        <f>(R14/CapUCost)</f>
        <v>8.0295652173913048</v>
      </c>
      <c r="T14" s="316">
        <f>(P14/CapUCost)</f>
        <v>8.0295652173913048</v>
      </c>
      <c r="U14" s="334">
        <f>(T5+P14)/CapUCost</f>
        <v>17.993333333333336</v>
      </c>
      <c r="V14" s="334">
        <f>(S5+P14)/CapUCost</f>
        <v>27.957101449275363</v>
      </c>
    </row>
    <row r="15" spans="2:22" x14ac:dyDescent="0.2">
      <c r="B15" s="254"/>
      <c r="C15" s="279" t="s">
        <v>228</v>
      </c>
      <c r="D15" s="356" t="s">
        <v>223</v>
      </c>
      <c r="E15" s="255"/>
      <c r="F15" s="335">
        <f t="shared" ca="1" si="7"/>
        <v>0</v>
      </c>
      <c r="G15" s="370">
        <f t="shared" ca="1" si="4"/>
        <v>0</v>
      </c>
      <c r="H15" s="371">
        <f t="shared" ca="1" si="5"/>
        <v>0</v>
      </c>
      <c r="I15" s="257"/>
      <c r="J15" s="258">
        <f t="shared" ca="1" si="0"/>
        <v>0</v>
      </c>
      <c r="K15" s="255">
        <f t="shared" si="2"/>
        <v>6</v>
      </c>
      <c r="L15" s="255">
        <f t="shared" ca="1" si="3"/>
        <v>0</v>
      </c>
      <c r="M15" s="274">
        <f t="shared" ca="1" si="6"/>
        <v>0</v>
      </c>
      <c r="O15" s="259" t="s">
        <v>277</v>
      </c>
      <c r="P15" s="299">
        <f>Q6*VPCCost</f>
        <v>369.36</v>
      </c>
      <c r="Q15" s="300">
        <f>S6</f>
        <v>458.33333333333331</v>
      </c>
      <c r="R15" s="258">
        <f t="shared" ref="R15:R18" si="8">Q15+P15</f>
        <v>827.69333333333338</v>
      </c>
      <c r="S15" s="316">
        <f>(R15/CapUCost)</f>
        <v>35.986666666666672</v>
      </c>
      <c r="T15" s="316">
        <f>(P15/CapUCost)</f>
        <v>16.05913043478261</v>
      </c>
      <c r="U15" s="334">
        <f>(T6+P15)/CapUCost</f>
        <v>26.022898550724637</v>
      </c>
      <c r="V15" s="334">
        <f>(S6+P15)/CapUCost</f>
        <v>35.986666666666672</v>
      </c>
    </row>
    <row r="16" spans="2:22" x14ac:dyDescent="0.2">
      <c r="B16" s="254"/>
      <c r="C16" s="590" t="s">
        <v>229</v>
      </c>
      <c r="D16" s="356">
        <v>0</v>
      </c>
      <c r="E16" s="255"/>
      <c r="F16" s="335">
        <f ca="1">(OFFSET($U$14,$K16,0)+IF(AND(K16&lt;6,$D$21="Yes"),10,0))*D16</f>
        <v>0</v>
      </c>
      <c r="G16" s="370">
        <f ca="1">(OFFSET($P$5,$K16,0)+IF(AND(K16&lt;6,$D$21="Yes"),OFFSET($P$26,$K16,0)+$V34,0))*D16</f>
        <v>0</v>
      </c>
      <c r="H16" s="371">
        <f ca="1">(OFFSET($R$5,$K16,0)+IF(AND(K16&lt;6,$D$21="Yes"),1000,0))*D16</f>
        <v>0</v>
      </c>
      <c r="I16" s="257"/>
      <c r="J16" s="258">
        <f t="shared" ca="1" si="0"/>
        <v>0</v>
      </c>
      <c r="K16" s="255">
        <f>IF(D16=0,6,0)</f>
        <v>6</v>
      </c>
      <c r="L16" s="255">
        <f t="shared" ca="1" si="3"/>
        <v>0</v>
      </c>
      <c r="M16" s="274">
        <f t="shared" ca="1" si="6"/>
        <v>0</v>
      </c>
      <c r="O16" s="259" t="s">
        <v>22</v>
      </c>
      <c r="P16" s="299">
        <f>Q7*VPCCost</f>
        <v>369.36</v>
      </c>
      <c r="Q16" s="300">
        <f t="shared" ref="Q16:Q18" si="9">S7</f>
        <v>458.33333333333331</v>
      </c>
      <c r="R16" s="258">
        <f t="shared" si="8"/>
        <v>827.69333333333338</v>
      </c>
      <c r="S16" s="316">
        <f>(R16/CapUCost)</f>
        <v>35.986666666666672</v>
      </c>
      <c r="T16" s="316">
        <f>(P16/CapUCost)</f>
        <v>16.05913043478261</v>
      </c>
      <c r="U16" s="334">
        <f>(T7+P16)/CapUCost</f>
        <v>26.022898550724637</v>
      </c>
      <c r="V16" s="334">
        <f>(S7+P16)/CapUCost</f>
        <v>35.986666666666672</v>
      </c>
    </row>
    <row r="17" spans="2:23" x14ac:dyDescent="0.2">
      <c r="B17" s="254"/>
      <c r="C17" s="277"/>
      <c r="D17" s="339"/>
      <c r="E17" s="255"/>
      <c r="F17" s="340"/>
      <c r="G17" s="328"/>
      <c r="H17" s="375"/>
      <c r="I17" s="306"/>
      <c r="J17" s="258">
        <f t="shared" si="0"/>
        <v>0</v>
      </c>
      <c r="K17" s="255">
        <f t="shared" si="2"/>
        <v>6</v>
      </c>
      <c r="O17" s="259" t="s">
        <v>278</v>
      </c>
      <c r="P17" s="299">
        <f>Q8*VPCCost</f>
        <v>523.26</v>
      </c>
      <c r="Q17" s="300">
        <f t="shared" si="9"/>
        <v>458.33333333333331</v>
      </c>
      <c r="R17" s="258">
        <f t="shared" si="8"/>
        <v>981.59333333333325</v>
      </c>
      <c r="S17" s="316">
        <f>(R17/CapUCost)</f>
        <v>42.677971014492748</v>
      </c>
      <c r="T17" s="316">
        <f>(P17/CapUCost)</f>
        <v>22.750434782608696</v>
      </c>
      <c r="U17" s="334">
        <f>(T8+P17)/CapUCost</f>
        <v>32.714202898550724</v>
      </c>
      <c r="V17" s="334">
        <f>(S8+P17)/CapUCost</f>
        <v>42.677971014492748</v>
      </c>
    </row>
    <row r="18" spans="2:23" x14ac:dyDescent="0.2">
      <c r="B18" s="254"/>
      <c r="C18" s="276" t="s">
        <v>222</v>
      </c>
      <c r="D18" s="357" t="s">
        <v>223</v>
      </c>
      <c r="E18" s="255"/>
      <c r="F18" s="335">
        <f ca="1">OFFSET($V$14,$K18,0)+IF(AND(K18&lt;6,$D$21="Yes"),10,0)</f>
        <v>0</v>
      </c>
      <c r="G18" s="370">
        <f ca="1">OFFSET($P$5,$K18,0)+IF(AND(K18&lt;6,$D$21="Yes"),OFFSET($P$26,$K18,0)+V34,0)</f>
        <v>0</v>
      </c>
      <c r="H18" s="371">
        <f ca="1">OFFSET($R$5,$K18,0)+IF(AND(K18&lt;6,$D$21="Yes"),1000,0)</f>
        <v>0</v>
      </c>
      <c r="I18" s="257"/>
      <c r="J18" s="258">
        <f t="shared" ca="1" si="0"/>
        <v>0</v>
      </c>
      <c r="K18" s="255">
        <f t="shared" si="2"/>
        <v>6</v>
      </c>
      <c r="O18" s="259" t="s">
        <v>53</v>
      </c>
      <c r="P18" s="299">
        <f>Q9*VPCCost</f>
        <v>1015.74</v>
      </c>
      <c r="Q18" s="300">
        <f t="shared" si="9"/>
        <v>458.33333333333331</v>
      </c>
      <c r="R18" s="310">
        <f t="shared" si="8"/>
        <v>1474.0733333333333</v>
      </c>
      <c r="S18" s="316">
        <f>(R18/CapUCost)</f>
        <v>64.09014492753623</v>
      </c>
      <c r="T18" s="316">
        <f>(P18/CapUCost)</f>
        <v>44.162608695652175</v>
      </c>
      <c r="U18" s="334">
        <f>(T9+P18)/CapUCost</f>
        <v>54.126376811594206</v>
      </c>
      <c r="V18" s="334">
        <f>(S9+P18)/CapUCost</f>
        <v>64.09014492753623</v>
      </c>
    </row>
    <row r="19" spans="2:23" x14ac:dyDescent="0.2">
      <c r="B19" s="254"/>
      <c r="C19" s="279"/>
      <c r="D19" s="330"/>
      <c r="E19" s="255"/>
      <c r="F19" s="340"/>
      <c r="G19" s="328"/>
      <c r="H19" s="373"/>
      <c r="I19" s="257"/>
      <c r="J19" s="258">
        <f t="shared" si="0"/>
        <v>0</v>
      </c>
      <c r="K19" s="255">
        <f t="shared" si="2"/>
        <v>6</v>
      </c>
    </row>
    <row r="20" spans="2:23" ht="17" thickBot="1" x14ac:dyDescent="0.25">
      <c r="B20" s="254"/>
      <c r="C20" s="255"/>
      <c r="D20" s="262"/>
      <c r="E20" s="255"/>
      <c r="F20" s="340"/>
      <c r="G20" s="328"/>
      <c r="H20" s="373"/>
      <c r="I20" s="257"/>
      <c r="J20" s="258">
        <f t="shared" si="0"/>
        <v>0</v>
      </c>
      <c r="K20" s="255">
        <f t="shared" si="2"/>
        <v>6</v>
      </c>
    </row>
    <row r="21" spans="2:23" ht="17" thickBot="1" x14ac:dyDescent="0.25">
      <c r="B21" s="254"/>
      <c r="C21" s="307" t="s">
        <v>617</v>
      </c>
      <c r="D21" s="292" t="str">
        <f>IF(D22="No","No","Yes")</f>
        <v>No</v>
      </c>
      <c r="E21" s="255"/>
      <c r="F21" s="340"/>
      <c r="G21" s="328"/>
      <c r="H21" s="373"/>
      <c r="I21" s="257"/>
      <c r="J21" s="258">
        <f t="shared" si="0"/>
        <v>0</v>
      </c>
      <c r="K21" s="255">
        <f t="shared" si="2"/>
        <v>6</v>
      </c>
      <c r="L21" s="259" t="s">
        <v>318</v>
      </c>
      <c r="M21" s="259" t="s">
        <v>317</v>
      </c>
      <c r="N21" s="274" t="s">
        <v>302</v>
      </c>
    </row>
    <row r="22" spans="2:23" x14ac:dyDescent="0.2">
      <c r="B22" s="254"/>
      <c r="C22" s="602" t="s">
        <v>352</v>
      </c>
      <c r="D22" s="609" t="s">
        <v>3</v>
      </c>
      <c r="E22" s="255"/>
      <c r="F22" s="335">
        <f ca="1">OFFSET($S$36,$K22,0)</f>
        <v>0</v>
      </c>
      <c r="G22" s="370">
        <f ca="1">OFFSET($Q$36,$K22,0)</f>
        <v>0</v>
      </c>
      <c r="H22" s="371">
        <f ca="1">OFFSET($R$36,$K22,0)</f>
        <v>0</v>
      </c>
      <c r="I22" s="608" t="str">
        <f>L51&amp;" "&amp;L52</f>
        <v xml:space="preserve"> </v>
      </c>
      <c r="J22" s="258">
        <f t="shared" ca="1" si="0"/>
        <v>0</v>
      </c>
      <c r="K22" s="255">
        <f>IF(ISNUMBER(SEARCH("Predict",D22)),0,IF(ISNUMBER(SEARCH("Health",D22)),1,6))</f>
        <v>6</v>
      </c>
      <c r="M22" s="259"/>
      <c r="N22" s="274"/>
      <c r="O22" s="610" t="s">
        <v>607</v>
      </c>
      <c r="P22" s="610"/>
      <c r="Q22" s="610"/>
      <c r="R22" s="610"/>
      <c r="S22" s="610"/>
      <c r="T22" s="610"/>
      <c r="U22" s="610"/>
      <c r="V22" s="610"/>
    </row>
    <row r="23" spans="2:23" x14ac:dyDescent="0.2">
      <c r="B23" s="254"/>
      <c r="C23" s="276" t="s">
        <v>599</v>
      </c>
      <c r="D23" s="357" t="s">
        <v>223</v>
      </c>
      <c r="E23" s="255"/>
      <c r="F23" s="335">
        <v>0</v>
      </c>
      <c r="G23" s="370">
        <f ca="1">OFFSET($P$26,$K23,0)</f>
        <v>0</v>
      </c>
      <c r="H23" s="371">
        <v>0</v>
      </c>
      <c r="I23" s="530" t="str">
        <f>L50</f>
        <v/>
      </c>
      <c r="J23" s="258">
        <f t="shared" ca="1" si="0"/>
        <v>0</v>
      </c>
      <c r="K23" s="255">
        <f>IF(ISNUMBER(SEARCH("Dev",D23)),0,IF(ISNUMBER(SEARCH("xSmall",D23)),1,IF(ISNUMBER(SEARCH("Small",D23)),2,IF(ISNUMBER(SEARCH("Medium",D23)),3,IF(ISNUMBER(SEARCH("Beyond Large",D23)),5,IF(ISNUMBER(SEARCH("Large",D23)),4,6))))))</f>
        <v>6</v>
      </c>
      <c r="P23" s="620" t="s">
        <v>4</v>
      </c>
      <c r="Q23" s="620"/>
      <c r="U23" s="611"/>
      <c r="V23" s="612"/>
      <c r="W23" s="613"/>
    </row>
    <row r="24" spans="2:23" x14ac:dyDescent="0.2">
      <c r="B24" s="254"/>
      <c r="C24" s="276" t="str">
        <f>IF(AND(D21="yes",D6="Ontop of manage"),"Health ontop of Manage non-production Health and Preduct Utilities Requirement for","")</f>
        <v/>
      </c>
      <c r="D24" s="339" t="str">
        <f>IF(AND(D21="yes",D6="Ontop of manage"),(COUNTIF(Manage!K10:K14,"&lt;6")+Manage!D15+COUNTIF(Manage!K17,"&lt;6"))&amp;" non prod Environments","")</f>
        <v/>
      </c>
      <c r="E24" s="255"/>
      <c r="F24" s="335">
        <f>K24*10</f>
        <v>0</v>
      </c>
      <c r="G24" s="370">
        <f>K24*(P28+V34)</f>
        <v>0</v>
      </c>
      <c r="H24" s="371">
        <f>K24*W26</f>
        <v>0</v>
      </c>
      <c r="I24" s="530"/>
      <c r="J24" s="258"/>
      <c r="K24" s="255" t="b">
        <f>IF(AND(D21="yes",D6="Ontop of manage"),(COUNTIF(Manage!K10:K14,"&lt;6")+Manage!D15+COUNTIF(Manage!K17,"&lt;6")))</f>
        <v>0</v>
      </c>
      <c r="P24" s="600"/>
      <c r="Q24" s="600"/>
      <c r="U24" s="262"/>
      <c r="V24" s="262"/>
      <c r="W24" s="262"/>
    </row>
    <row r="25" spans="2:23" x14ac:dyDescent="0.2">
      <c r="B25" s="254"/>
      <c r="C25" s="621" t="str">
        <f>IF(D21="Yes","Note: When Health &amp; Predict Utilities is enabled, it will be added to all non-production health environments","")</f>
        <v/>
      </c>
      <c r="D25" s="621"/>
      <c r="E25" s="255"/>
      <c r="F25" s="255"/>
      <c r="G25" s="255"/>
      <c r="H25" s="255"/>
      <c r="I25" s="608" t="str">
        <f>IF(AND(D21="yes",D5="no"),"Error: Health must be deployed. Select health deployment model in cell d6","")</f>
        <v/>
      </c>
      <c r="J25" s="258"/>
      <c r="P25" s="259" t="s">
        <v>600</v>
      </c>
      <c r="Q25" s="259" t="s">
        <v>279</v>
      </c>
      <c r="R25" s="259" t="s">
        <v>280</v>
      </c>
      <c r="S25" s="259" t="s">
        <v>281</v>
      </c>
      <c r="T25" s="259" t="s">
        <v>282</v>
      </c>
      <c r="V25" s="259" t="s">
        <v>286</v>
      </c>
      <c r="W25" s="259" t="s">
        <v>618</v>
      </c>
    </row>
    <row r="26" spans="2:23" x14ac:dyDescent="0.2">
      <c r="B26" s="254"/>
      <c r="C26" s="227"/>
      <c r="D26" s="601"/>
      <c r="E26" s="255"/>
      <c r="F26" s="255"/>
      <c r="G26" s="255"/>
      <c r="H26" s="255"/>
      <c r="I26" s="257"/>
      <c r="J26" s="258"/>
      <c r="O26" s="259" t="s">
        <v>247</v>
      </c>
      <c r="P26" s="259">
        <v>2</v>
      </c>
      <c r="Q26" s="259">
        <v>0</v>
      </c>
      <c r="R26" s="259">
        <v>0</v>
      </c>
      <c r="T26" s="299">
        <f>T5</f>
        <v>229.16666666666666</v>
      </c>
      <c r="V26" s="334">
        <f>(T26)/CapUCost</f>
        <v>9.9637681159420293</v>
      </c>
      <c r="W26" s="259">
        <v>1000</v>
      </c>
    </row>
    <row r="27" spans="2:23" x14ac:dyDescent="0.2">
      <c r="B27" s="254"/>
      <c r="C27" s="255"/>
      <c r="D27" s="615" t="s">
        <v>400</v>
      </c>
      <c r="E27" s="255"/>
      <c r="F27" s="255"/>
      <c r="G27" s="255"/>
      <c r="H27" s="255"/>
      <c r="I27" s="257"/>
      <c r="J27" s="257"/>
      <c r="O27" s="259" t="s">
        <v>277</v>
      </c>
      <c r="P27" s="259">
        <v>2</v>
      </c>
      <c r="Q27" s="259">
        <v>0</v>
      </c>
      <c r="R27" s="259">
        <v>0</v>
      </c>
      <c r="T27" s="299">
        <f t="shared" ref="T27:T30" si="10">T6</f>
        <v>229.16666666666666</v>
      </c>
      <c r="V27" s="334">
        <f>(T27)/CapUCost</f>
        <v>9.9637681159420293</v>
      </c>
      <c r="W27" s="259">
        <v>1000</v>
      </c>
    </row>
    <row r="28" spans="2:23" x14ac:dyDescent="0.2">
      <c r="B28" s="254"/>
      <c r="C28" s="255"/>
      <c r="D28" s="615"/>
      <c r="E28" s="255"/>
      <c r="F28" s="255"/>
      <c r="G28" s="255"/>
      <c r="H28" s="255"/>
      <c r="I28" s="257"/>
      <c r="J28" s="257"/>
      <c r="O28" s="259" t="s">
        <v>22</v>
      </c>
      <c r="P28" s="259">
        <v>3</v>
      </c>
      <c r="Q28" s="259">
        <v>0</v>
      </c>
      <c r="R28" s="259">
        <v>0</v>
      </c>
      <c r="T28" s="299">
        <f t="shared" si="10"/>
        <v>229.16666666666666</v>
      </c>
      <c r="V28" s="334">
        <f>(T28)/CapUCost</f>
        <v>9.9637681159420293</v>
      </c>
      <c r="W28" s="259">
        <v>1000</v>
      </c>
    </row>
    <row r="29" spans="2:23" x14ac:dyDescent="0.2">
      <c r="B29" s="254"/>
      <c r="C29" s="255"/>
      <c r="D29" s="262"/>
      <c r="E29" s="255"/>
      <c r="F29" s="256"/>
      <c r="G29" s="255"/>
      <c r="H29" s="255"/>
      <c r="I29" s="257"/>
      <c r="J29" s="257"/>
      <c r="O29" s="259" t="s">
        <v>278</v>
      </c>
      <c r="P29" s="259">
        <v>7</v>
      </c>
      <c r="Q29" s="259">
        <v>0</v>
      </c>
      <c r="R29" s="259">
        <v>0</v>
      </c>
      <c r="T29" s="299">
        <f t="shared" si="10"/>
        <v>229.16666666666666</v>
      </c>
      <c r="V29" s="334">
        <f>(T29)/CapUCost</f>
        <v>9.9637681159420293</v>
      </c>
      <c r="W29" s="259">
        <v>1000</v>
      </c>
    </row>
    <row r="30" spans="2:23" ht="17" thickBot="1" x14ac:dyDescent="0.25">
      <c r="B30" s="254"/>
      <c r="C30" s="255"/>
      <c r="D30" s="262"/>
      <c r="E30" s="255"/>
      <c r="F30" s="255"/>
      <c r="G30" s="255"/>
      <c r="H30" s="255"/>
      <c r="I30" s="257"/>
      <c r="J30" s="257"/>
      <c r="O30" s="259" t="s">
        <v>53</v>
      </c>
      <c r="P30" s="259">
        <v>11</v>
      </c>
      <c r="Q30" s="259">
        <v>0</v>
      </c>
      <c r="R30" s="259">
        <v>0</v>
      </c>
      <c r="T30" s="299">
        <f t="shared" si="10"/>
        <v>229.16666666666666</v>
      </c>
      <c r="V30" s="334">
        <f>(T30)/CapUCost</f>
        <v>9.9637681159420293</v>
      </c>
      <c r="W30" s="259">
        <v>1000</v>
      </c>
    </row>
    <row r="31" spans="2:23" ht="17" thickBot="1" x14ac:dyDescent="0.25">
      <c r="B31" s="254"/>
      <c r="C31" s="255"/>
      <c r="D31" s="262"/>
      <c r="E31" s="255"/>
      <c r="F31" s="591" t="s">
        <v>232</v>
      </c>
      <c r="G31" s="592" t="s">
        <v>5</v>
      </c>
      <c r="H31" s="593" t="s">
        <v>6</v>
      </c>
      <c r="I31" s="263"/>
      <c r="J31" s="263"/>
      <c r="P31" s="259">
        <v>11</v>
      </c>
    </row>
    <row r="32" spans="2:23" ht="17" thickBot="1" x14ac:dyDescent="0.25">
      <c r="B32" s="254"/>
      <c r="C32" s="255"/>
      <c r="D32" s="267" t="s">
        <v>351</v>
      </c>
      <c r="E32" s="255"/>
      <c r="F32" s="594">
        <f ca="1">IF($D$6="Ontop of Manage",0,SUM(F7:F18))+F6+F22+F23</f>
        <v>0</v>
      </c>
      <c r="G32" s="594">
        <f ca="1">IF($D$6="Ontop of Manage",0,SUM(G5:G18))+G22+G23</f>
        <v>0</v>
      </c>
      <c r="H32" s="594">
        <f ca="1">IF($D$6="Ontop of Manage",0,SUM(H5:H18))+H22+H23</f>
        <v>0</v>
      </c>
      <c r="I32" s="257"/>
      <c r="J32" s="257"/>
      <c r="K32" s="255">
        <f>SUM(K5:K22)</f>
        <v>96</v>
      </c>
      <c r="L32" s="260">
        <f ca="1">SUM(L5:L17)</f>
        <v>0</v>
      </c>
      <c r="M32" s="274">
        <f t="shared" ref="M32" ca="1" si="11">SUM(M5:M31)</f>
        <v>0</v>
      </c>
    </row>
    <row r="33" spans="2:22" x14ac:dyDescent="0.2">
      <c r="B33" s="254"/>
      <c r="C33" s="255"/>
      <c r="D33" s="262"/>
      <c r="E33" s="255"/>
      <c r="F33" s="255"/>
      <c r="G33" s="255"/>
      <c r="H33" s="255"/>
      <c r="I33" s="257"/>
      <c r="J33" s="257"/>
      <c r="V33" s="259" t="s">
        <v>619</v>
      </c>
    </row>
    <row r="34" spans="2:22" ht="16" customHeight="1" x14ac:dyDescent="0.2">
      <c r="B34" s="254"/>
      <c r="C34" s="227"/>
      <c r="D34" s="267" t="s">
        <v>321</v>
      </c>
      <c r="E34" s="255"/>
      <c r="F34" s="618" t="str">
        <f>I7&amp;" | " &amp;I23&amp;" "&amp;I22</f>
        <v xml:space="preserve"> |   </v>
      </c>
      <c r="G34" s="618"/>
      <c r="H34" s="618"/>
      <c r="I34" s="268"/>
      <c r="J34" s="257"/>
      <c r="L34" s="606" t="str">
        <f>IF(D6="Ontop of Manage","When Health is deployed ontop of of Manage it does not consume any additional infrastructure and will be sized the same as manage. All other health options need to be set to no.","")</f>
        <v/>
      </c>
      <c r="P34" s="259" t="s">
        <v>612</v>
      </c>
      <c r="Q34" s="259" t="s">
        <v>610</v>
      </c>
      <c r="R34" s="259" t="s">
        <v>611</v>
      </c>
      <c r="S34" s="257" t="s">
        <v>284</v>
      </c>
      <c r="V34" s="259">
        <f>IF(D22="ontop of health",12,0)</f>
        <v>0</v>
      </c>
    </row>
    <row r="35" spans="2:22" x14ac:dyDescent="0.2">
      <c r="B35" s="254"/>
      <c r="C35" s="255"/>
      <c r="D35" s="262"/>
      <c r="E35" s="255"/>
      <c r="F35" s="618"/>
      <c r="G35" s="618"/>
      <c r="H35" s="618"/>
      <c r="I35" s="268"/>
      <c r="J35" s="257"/>
      <c r="O35" s="259" t="s">
        <v>223</v>
      </c>
      <c r="P35" s="293">
        <v>0</v>
      </c>
      <c r="Q35" s="603">
        <v>0</v>
      </c>
      <c r="R35" s="604">
        <v>0</v>
      </c>
      <c r="S35" s="316">
        <f>(P35/CapUCost)</f>
        <v>0</v>
      </c>
      <c r="U35" s="334"/>
      <c r="V35" s="334"/>
    </row>
    <row r="36" spans="2:22" x14ac:dyDescent="0.2">
      <c r="B36" s="254"/>
      <c r="C36" s="255"/>
      <c r="D36" s="262"/>
      <c r="E36" s="255"/>
      <c r="F36" s="618"/>
      <c r="G36" s="618"/>
      <c r="H36" s="618"/>
      <c r="I36" s="268"/>
      <c r="J36" s="257"/>
      <c r="K36" s="255" t="b">
        <f>IF((COUNTIF(K7:K21,"&lt;6")),TRUE,FALSE)</f>
        <v>0</v>
      </c>
      <c r="O36" s="259" t="s">
        <v>609</v>
      </c>
      <c r="P36" s="293">
        <v>458.33333333333331</v>
      </c>
      <c r="Q36" s="254">
        <v>0</v>
      </c>
      <c r="R36" s="604">
        <v>1000</v>
      </c>
      <c r="S36" s="316">
        <f>(P36/CapUCost)</f>
        <v>19.927536231884059</v>
      </c>
      <c r="T36" s="298"/>
      <c r="U36" s="334"/>
      <c r="V36" s="334"/>
    </row>
    <row r="37" spans="2:22" x14ac:dyDescent="0.2">
      <c r="B37" s="254"/>
      <c r="C37" s="255"/>
      <c r="D37" s="262"/>
      <c r="E37" s="255"/>
      <c r="F37" s="618"/>
      <c r="G37" s="618"/>
      <c r="H37" s="618"/>
      <c r="I37" s="268"/>
      <c r="J37" s="257"/>
      <c r="O37" s="259" t="s">
        <v>608</v>
      </c>
      <c r="P37" s="293">
        <v>458.33333333333331</v>
      </c>
      <c r="Q37" s="605">
        <v>12</v>
      </c>
      <c r="R37" s="604">
        <v>1000</v>
      </c>
      <c r="S37" s="316">
        <f>(P37/CapUCost)</f>
        <v>19.927536231884059</v>
      </c>
      <c r="T37" s="316"/>
      <c r="U37" s="334"/>
      <c r="V37" s="334"/>
    </row>
    <row r="38" spans="2:22" x14ac:dyDescent="0.2">
      <c r="B38" s="254"/>
      <c r="C38" s="255"/>
      <c r="D38" s="262"/>
      <c r="E38" s="255"/>
      <c r="F38" s="618"/>
      <c r="G38" s="618"/>
      <c r="H38" s="618"/>
      <c r="I38" s="268"/>
      <c r="J38" s="257"/>
      <c r="P38" s="293"/>
      <c r="Q38" s="300"/>
      <c r="R38" s="258"/>
      <c r="S38" s="316"/>
      <c r="T38" s="316"/>
      <c r="U38" s="334"/>
      <c r="V38" s="334"/>
    </row>
    <row r="39" spans="2:22" x14ac:dyDescent="0.2">
      <c r="B39" s="254"/>
      <c r="C39" s="255"/>
      <c r="D39" s="262"/>
      <c r="E39" s="255"/>
      <c r="F39" s="618"/>
      <c r="G39" s="618"/>
      <c r="H39" s="618"/>
      <c r="I39" s="268"/>
      <c r="J39" s="257"/>
      <c r="P39" s="299"/>
      <c r="Q39" s="300"/>
      <c r="R39" s="310"/>
      <c r="S39" s="316"/>
      <c r="T39" s="316"/>
      <c r="U39" s="334"/>
      <c r="V39" s="334"/>
    </row>
    <row r="40" spans="2:22" x14ac:dyDescent="0.2">
      <c r="B40" s="254"/>
      <c r="C40" s="255"/>
      <c r="D40" s="262"/>
      <c r="E40" s="255"/>
      <c r="F40" s="618"/>
      <c r="G40" s="618"/>
      <c r="H40" s="618"/>
      <c r="I40" s="268"/>
      <c r="J40" s="257"/>
    </row>
    <row r="41" spans="2:22" x14ac:dyDescent="0.2">
      <c r="B41" s="254"/>
      <c r="C41" s="255"/>
      <c r="D41" s="262"/>
      <c r="E41" s="255"/>
      <c r="F41" s="618"/>
      <c r="G41" s="618"/>
      <c r="H41" s="618"/>
      <c r="I41" s="268"/>
      <c r="J41" s="257"/>
    </row>
    <row r="42" spans="2:22" x14ac:dyDescent="0.2">
      <c r="B42" s="254"/>
      <c r="C42" s="255"/>
      <c r="D42" s="262"/>
      <c r="E42" s="255"/>
      <c r="F42" s="618"/>
      <c r="G42" s="618"/>
      <c r="H42" s="618"/>
      <c r="I42" s="268"/>
      <c r="J42" s="257"/>
    </row>
    <row r="43" spans="2:22" x14ac:dyDescent="0.2">
      <c r="B43" s="254"/>
      <c r="C43" s="255"/>
      <c r="D43" s="262"/>
      <c r="E43" s="255"/>
      <c r="F43" s="618"/>
      <c r="G43" s="618"/>
      <c r="H43" s="618"/>
      <c r="I43" s="268"/>
      <c r="J43" s="257"/>
    </row>
    <row r="44" spans="2:22" x14ac:dyDescent="0.2">
      <c r="B44" s="269"/>
      <c r="C44" s="270"/>
      <c r="D44" s="271"/>
      <c r="E44" s="270"/>
      <c r="F44" s="270"/>
      <c r="G44" s="270"/>
      <c r="H44" s="270"/>
      <c r="I44" s="548"/>
      <c r="J44" s="548"/>
    </row>
    <row r="48" spans="2:22" x14ac:dyDescent="0.2">
      <c r="C48" s="273"/>
    </row>
    <row r="49" spans="3:12" x14ac:dyDescent="0.2">
      <c r="C49" s="255"/>
      <c r="L49" s="259" t="s">
        <v>613</v>
      </c>
    </row>
    <row r="50" spans="3:12" x14ac:dyDescent="0.2">
      <c r="C50" s="255"/>
      <c r="K50" s="255" t="s">
        <v>614</v>
      </c>
      <c r="L50" s="259" t="str">
        <f>IF(K23=5,"Quote contains Beyond Large size, contact Drew.A.Sens@ibm.com for custom quote","")</f>
        <v/>
      </c>
    </row>
    <row r="51" spans="3:12" x14ac:dyDescent="0.2">
      <c r="C51" s="255"/>
      <c r="K51" s="255" t="s">
        <v>615</v>
      </c>
      <c r="L51" s="259" t="str">
        <f>IF(AND(D23="None",NOT(D21="No")),"Error: Health and Predict Utilities is deployed, a size must be select, set cell D23 to a yes value","")</f>
        <v/>
      </c>
    </row>
    <row r="52" spans="3:12" x14ac:dyDescent="0.2">
      <c r="C52" s="255"/>
      <c r="K52" s="255" t="s">
        <v>616</v>
      </c>
      <c r="L52" s="259" t="str">
        <f>IF(AND(NOT(D23="None"),(D22="No")),"Error: Health and Predict Utilities is NOT deployed, set cell D22 to a no value","")</f>
        <v/>
      </c>
    </row>
    <row r="53" spans="3:12" x14ac:dyDescent="0.2">
      <c r="C53" s="255"/>
    </row>
  </sheetData>
  <sheetProtection algorithmName="SHA-512" hashValue="YXAIFcUMHD6RldVu2BzXdrf4SIpqd8eCSKQyNUpxudWKMxwMzg2TDP19+xl23pkDImod8WuUi9eQVf5Tkv1aVQ==" saltValue="tCmdJVXjPKNe+b6zsT5T7g==" spinCount="100000" sheet="1" objects="1" scenarios="1"/>
  <dataConsolidate/>
  <mergeCells count="9">
    <mergeCell ref="P3:Q3"/>
    <mergeCell ref="Q12:S12"/>
    <mergeCell ref="F34:H43"/>
    <mergeCell ref="D27:D28"/>
    <mergeCell ref="I5:I6"/>
    <mergeCell ref="O22:V22"/>
    <mergeCell ref="P23:Q23"/>
    <mergeCell ref="U23:W23"/>
    <mergeCell ref="C25:D25"/>
  </mergeCells>
  <dataValidations count="5">
    <dataValidation type="list" allowBlank="1" showInputMessage="1" showErrorMessage="1" sqref="D16" xr:uid="{F9E43896-E87C-D443-A7E1-808900F869A0}">
      <formula1>zerothroughten</formula1>
    </dataValidation>
    <dataValidation type="list" allowBlank="1" showInputMessage="1" showErrorMessage="1" sqref="D11:D15" xr:uid="{115143D5-D1A8-A240-8718-CB9DC6B1CD85}">
      <formula1>healthsizesyesno</formula1>
    </dataValidation>
    <dataValidation type="list" allowBlank="1" showInputMessage="1" showErrorMessage="1" sqref="D7" xr:uid="{6631610B-8A41-3B4D-A564-6C43A2CCB8D0}">
      <formula1>healthprodsizes</formula1>
    </dataValidation>
    <dataValidation type="list" allowBlank="1" showInputMessage="1" showErrorMessage="1" sqref="D19" xr:uid="{4D6F3457-E26F-AD48-BAEE-EADA329E4350}">
      <formula1>tshirtsizes</formula1>
    </dataValidation>
    <dataValidation type="list" allowBlank="1" showInputMessage="1" showErrorMessage="1" sqref="D6" xr:uid="{4433216A-C662-D840-A9D6-F1EDA382A973}">
      <formula1>healthstand</formula1>
    </dataValidation>
  </dataValidations>
  <hyperlinks>
    <hyperlink ref="C8" r:id="rId1" display="See more details around sizing for Health &amp; Predict based on Number of Assets" xr:uid="{A973F76D-1DA7-5D40-98A5-001970A1E151}"/>
    <hyperlink ref="D27" location="'Output Dashboard'!A1" display="Go to Output Dashboard" xr:uid="{7BDD1A75-145F-1D4D-9C16-E00EB5923B0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Title="Deployment Model" prompt="Health is required for Health &amp; Predict Utilities, however Predict is optional. If predict is deployed and 'ontop of health &amp; predict' is selected, then Watson Studio will not be added twice. " xr:uid="{09A777CE-DFA8-CE42-95F3-2D3B79234CF2}">
          <x14:formula1>
            <xm:f>txts!$E$11:$E$13</xm:f>
          </x14:formula1>
          <xm:sqref>D22</xm:sqref>
        </x14:dataValidation>
        <x14:dataValidation type="list" allowBlank="1" showInputMessage="1" showErrorMessage="1" promptTitle="PoC" prompt="Allowable PoC is 3 to 6 Months" xr:uid="{C7987DC3-FDB3-9A48-8EF4-89710EAB94C4}">
          <x14:formula1>
            <xm:f>txts!$H$13:$H$14</xm:f>
          </x14:formula1>
          <xm:sqref>D18</xm:sqref>
        </x14:dataValidation>
        <x14:dataValidation type="list" allowBlank="1" showInputMessage="1" showErrorMessage="1" xr:uid="{9BA5153E-E4B4-7D48-8B2C-F9430CD72011}">
          <x14:formula1>
            <xm:f>txts!$G$70:$G$75</xm:f>
          </x14:formula1>
          <xm:sqref>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1D73E-E49F-F445-B01E-7FC8D23AC750}">
  <sheetPr codeName="Sheet1">
    <tabColor theme="9" tint="0.79998168889431442"/>
  </sheetPr>
  <dimension ref="B1:Z38"/>
  <sheetViews>
    <sheetView zoomScaleNormal="125" workbookViewId="0">
      <selection activeCell="F15" sqref="F15"/>
    </sheetView>
  </sheetViews>
  <sheetFormatPr baseColWidth="10" defaultRowHeight="16" outlineLevelCol="1" x14ac:dyDescent="0.2"/>
  <cols>
    <col min="1" max="1" width="1.83203125" style="259" customWidth="1"/>
    <col min="2" max="2" width="6" style="259" customWidth="1"/>
    <col min="3" max="3" width="67.1640625" style="259" customWidth="1"/>
    <col min="4" max="4" width="39.33203125" style="386" bestFit="1" customWidth="1"/>
    <col min="5" max="5" width="2.6640625" style="259" customWidth="1"/>
    <col min="6" max="6" width="19.5" style="326" bestFit="1" customWidth="1"/>
    <col min="7" max="7" width="17.6640625" style="259" customWidth="1"/>
    <col min="8" max="8" width="17.83203125" style="259" customWidth="1"/>
    <col min="9" max="9" width="43.33203125" style="259" customWidth="1"/>
    <col min="10" max="10" width="24.6640625" style="259" hidden="1" customWidth="1" outlineLevel="1"/>
    <col min="11" max="11" width="15.33203125" style="255" hidden="1" customWidth="1" outlineLevel="1"/>
    <col min="12" max="12" width="20.83203125" style="259" hidden="1" customWidth="1" outlineLevel="1"/>
    <col min="13" max="13" width="13" style="274" hidden="1" customWidth="1" outlineLevel="1"/>
    <col min="14" max="19" width="10.83203125" style="259" hidden="1" customWidth="1" outlineLevel="1"/>
    <col min="20" max="20" width="13.83203125" style="259" hidden="1" customWidth="1" outlineLevel="1"/>
    <col min="21" max="21" width="14.1640625" style="259" hidden="1" customWidth="1" outlineLevel="1"/>
    <col min="22" max="22" width="10.83203125" style="259" hidden="1" customWidth="1" outlineLevel="1"/>
    <col min="23" max="23" width="24.5" style="259" hidden="1" customWidth="1" outlineLevel="1"/>
    <col min="24" max="24" width="12.5" style="259" hidden="1" customWidth="1" outlineLevel="1"/>
    <col min="25" max="25" width="10.83203125" style="259" hidden="1" customWidth="1" outlineLevel="1"/>
    <col min="26" max="26" width="10.83203125" style="259" collapsed="1"/>
    <col min="27" max="16384" width="10.83203125" style="259"/>
  </cols>
  <sheetData>
    <row r="1" spans="2:24" ht="9" customHeight="1" x14ac:dyDescent="0.2"/>
    <row r="2" spans="2:24" ht="13" customHeight="1" x14ac:dyDescent="0.2">
      <c r="B2" s="280" t="str">
        <f>'Output Dashboard'!B2</f>
        <v>MAS Managed Service Calculator 5.4</v>
      </c>
      <c r="C2" s="281"/>
      <c r="D2" s="346"/>
      <c r="E2" s="281"/>
      <c r="F2" s="347"/>
      <c r="G2" s="281"/>
      <c r="H2" s="281"/>
      <c r="I2" s="282"/>
      <c r="W2" s="259" t="s">
        <v>479</v>
      </c>
    </row>
    <row r="3" spans="2:24" ht="17" thickBot="1" x14ac:dyDescent="0.25">
      <c r="B3" s="283" t="s">
        <v>362</v>
      </c>
      <c r="C3" s="255"/>
      <c r="D3" s="262"/>
      <c r="E3" s="255"/>
      <c r="F3" s="321"/>
      <c r="G3" s="255"/>
      <c r="H3" s="255"/>
      <c r="I3" s="257"/>
      <c r="L3" s="259" t="s">
        <v>548</v>
      </c>
      <c r="P3" s="610" t="s">
        <v>4</v>
      </c>
      <c r="Q3" s="610"/>
      <c r="W3" s="259" t="b">
        <f>OR(Issafetydeployed,Ismonitoreddeployed)</f>
        <v>0</v>
      </c>
    </row>
    <row r="4" spans="2:24" ht="16" customHeight="1" thickBot="1" x14ac:dyDescent="0.25">
      <c r="B4" s="254"/>
      <c r="C4" s="255"/>
      <c r="D4" s="262"/>
      <c r="E4" s="255"/>
      <c r="F4" s="349" t="s">
        <v>232</v>
      </c>
      <c r="G4" s="285" t="s">
        <v>5</v>
      </c>
      <c r="H4" s="286" t="s">
        <v>6</v>
      </c>
      <c r="I4" s="263" t="s">
        <v>388</v>
      </c>
      <c r="J4" s="350" t="s">
        <v>403</v>
      </c>
      <c r="K4" s="288" t="s">
        <v>7</v>
      </c>
      <c r="L4" s="289" t="s">
        <v>295</v>
      </c>
      <c r="M4" s="351" t="s">
        <v>302</v>
      </c>
      <c r="P4" s="259" t="s">
        <v>377</v>
      </c>
      <c r="Q4" s="259" t="s">
        <v>279</v>
      </c>
      <c r="R4" s="259" t="s">
        <v>280</v>
      </c>
      <c r="S4" s="259" t="s">
        <v>378</v>
      </c>
      <c r="T4" s="259" t="s">
        <v>282</v>
      </c>
      <c r="V4" s="259" t="s">
        <v>477</v>
      </c>
      <c r="W4" s="259" t="s">
        <v>478</v>
      </c>
      <c r="X4" s="259" t="s">
        <v>481</v>
      </c>
    </row>
    <row r="5" spans="2:24" ht="17" thickBot="1" x14ac:dyDescent="0.25">
      <c r="B5" s="254"/>
      <c r="C5" s="291" t="s">
        <v>547</v>
      </c>
      <c r="D5" s="292" t="str">
        <f>IF(D6="None","No","Yes")</f>
        <v>No</v>
      </c>
      <c r="E5" s="255"/>
      <c r="F5" s="541"/>
      <c r="G5" s="542"/>
      <c r="H5" s="543"/>
      <c r="I5" s="257"/>
      <c r="J5" s="258"/>
      <c r="O5" s="259" t="s">
        <v>247</v>
      </c>
      <c r="P5" s="259">
        <f>monitorvpcdev+W5</f>
        <v>3</v>
      </c>
      <c r="Q5" s="259">
        <f>monitordb2vpcdev</f>
        <v>6</v>
      </c>
      <c r="R5" s="259">
        <f>monitordb2dev</f>
        <v>512</v>
      </c>
      <c r="S5" s="293">
        <v>458.33333333333331</v>
      </c>
      <c r="T5" s="299">
        <f>T6</f>
        <v>229.16666666666666</v>
      </c>
      <c r="V5" s="259">
        <f>Iotpvpcdev</f>
        <v>7</v>
      </c>
      <c r="W5" s="259">
        <f>IF($W$3,V5,0)</f>
        <v>0</v>
      </c>
      <c r="X5" s="259">
        <v>0</v>
      </c>
    </row>
    <row r="6" spans="2:24" x14ac:dyDescent="0.2">
      <c r="B6" s="254"/>
      <c r="C6" s="279" t="s">
        <v>429</v>
      </c>
      <c r="D6" s="356" t="s">
        <v>223</v>
      </c>
      <c r="E6" s="255"/>
      <c r="F6" s="335">
        <f ca="1">OFFSET($S$14,$K6,0)</f>
        <v>0</v>
      </c>
      <c r="G6" s="336">
        <f ca="1">OFFSET($P$5,$K6,0)</f>
        <v>0</v>
      </c>
      <c r="H6" s="337">
        <f ca="1">OFFSET($R$5,$K6,0)</f>
        <v>0</v>
      </c>
      <c r="I6" s="257"/>
      <c r="J6" s="258">
        <f t="shared" ref="J6:J20" ca="1" si="0">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O6" s="259" t="s">
        <v>277</v>
      </c>
      <c r="P6" s="259">
        <f>monitorvpcxsmall+W6</f>
        <v>3</v>
      </c>
      <c r="Q6" s="259">
        <f>monitordb2vpcxsmall</f>
        <v>12</v>
      </c>
      <c r="R6" s="259">
        <f>monitordb3small</f>
        <v>512</v>
      </c>
      <c r="S6" s="293">
        <v>458.33333333333331</v>
      </c>
      <c r="T6" s="299">
        <f t="shared" ref="T6:T9" si="1">S6/2</f>
        <v>229.16666666666666</v>
      </c>
      <c r="V6" s="259">
        <f>Iotpvpcxsmall</f>
        <v>14</v>
      </c>
      <c r="W6" s="259">
        <f t="shared" ref="W6:W9" si="2">IF($W$3,V6,0)</f>
        <v>0</v>
      </c>
      <c r="X6" s="259">
        <v>0</v>
      </c>
    </row>
    <row r="7" spans="2:24" x14ac:dyDescent="0.2">
      <c r="B7" s="254"/>
      <c r="C7" s="544" t="s">
        <v>369</v>
      </c>
      <c r="D7" s="262"/>
      <c r="E7" s="255"/>
      <c r="F7" s="340"/>
      <c r="G7" s="329"/>
      <c r="H7" s="344"/>
      <c r="I7" s="530" t="str">
        <f>IF(K6=5,"Quote contains Beyond Large size, contact Drew.A.Sens@ibm.com for custom quote","")</f>
        <v/>
      </c>
      <c r="J7" s="258">
        <f t="shared" si="0"/>
        <v>0</v>
      </c>
      <c r="K7" s="255">
        <f t="shared" ref="K7:K17" si="3">IF(ISNUMBER(SEARCH("Dev",D7)),0,IF(ISNUMBER(SEARCH("xSmall",D7)),1,IF(ISNUMBER(SEARCH("Small",D7)),2,IF(ISNUMBER(SEARCH("Medium",D7)),3,IF(ISNUMBER(SEARCH("Beyond Large",D7)),5,IF(ISNUMBER(SEARCH("Large",D7)),4,6))))))</f>
        <v>6</v>
      </c>
      <c r="L7" s="255"/>
      <c r="M7" s="274">
        <f t="shared" ref="M7:M10" ca="1" si="4">OFFSET($Q$14,$K7,0)</f>
        <v>0</v>
      </c>
      <c r="O7" s="259" t="s">
        <v>22</v>
      </c>
      <c r="P7" s="259">
        <f>monitorvpcsmall+W7</f>
        <v>3</v>
      </c>
      <c r="Q7" s="259">
        <f>monitordb2vpcsmall</f>
        <v>12</v>
      </c>
      <c r="R7" s="259">
        <f>monitordb2small</f>
        <v>1024</v>
      </c>
      <c r="S7" s="293">
        <v>458.33333333333331</v>
      </c>
      <c r="T7" s="299">
        <f t="shared" si="1"/>
        <v>229.16666666666666</v>
      </c>
      <c r="V7" s="259">
        <f>Iotpvpcsmall</f>
        <v>14</v>
      </c>
      <c r="W7" s="259">
        <f t="shared" si="2"/>
        <v>0</v>
      </c>
      <c r="X7" s="259">
        <v>0</v>
      </c>
    </row>
    <row r="8" spans="2:24" ht="17" thickBot="1" x14ac:dyDescent="0.25">
      <c r="B8" s="254"/>
      <c r="C8" s="227"/>
      <c r="D8" s="305"/>
      <c r="E8" s="255"/>
      <c r="F8" s="340"/>
      <c r="G8" s="329"/>
      <c r="H8" s="344"/>
      <c r="I8" s="257"/>
      <c r="J8" s="258">
        <f t="shared" si="0"/>
        <v>0</v>
      </c>
      <c r="K8" s="255">
        <f t="shared" si="3"/>
        <v>6</v>
      </c>
      <c r="L8" s="255"/>
      <c r="M8" s="274">
        <f t="shared" ca="1" si="4"/>
        <v>0</v>
      </c>
      <c r="O8" s="259" t="s">
        <v>278</v>
      </c>
      <c r="P8" s="259">
        <f>monitorvpcmedium+W8</f>
        <v>4.5</v>
      </c>
      <c r="Q8" s="259">
        <f>monitordb2vpcmedium</f>
        <v>17</v>
      </c>
      <c r="R8" s="259">
        <f>monitordb2medium</f>
        <v>2048</v>
      </c>
      <c r="S8" s="293">
        <v>458.33333333333331</v>
      </c>
      <c r="T8" s="299">
        <f t="shared" si="1"/>
        <v>229.16666666666666</v>
      </c>
      <c r="V8" s="259">
        <f>Iotpvpcmedium</f>
        <v>24</v>
      </c>
      <c r="W8" s="259">
        <f t="shared" si="2"/>
        <v>0</v>
      </c>
      <c r="X8" s="259">
        <v>0</v>
      </c>
    </row>
    <row r="9" spans="2:24" ht="17" thickBot="1" x14ac:dyDescent="0.25">
      <c r="B9" s="254"/>
      <c r="C9" s="291" t="s">
        <v>375</v>
      </c>
      <c r="D9" s="292" t="str">
        <f>IF((IF((COUNTIF(K10:K17,"&lt;6")),TRUE,FALSE))*Ismonitoreddeployed,"Yes","No")</f>
        <v>No</v>
      </c>
      <c r="E9" s="255"/>
      <c r="F9" s="340"/>
      <c r="G9" s="329"/>
      <c r="H9" s="344"/>
      <c r="I9" s="257"/>
      <c r="J9" s="258">
        <f t="shared" si="0"/>
        <v>0</v>
      </c>
      <c r="K9" s="255">
        <v>6</v>
      </c>
      <c r="L9" s="255"/>
      <c r="M9" s="274">
        <f t="shared" ca="1" si="4"/>
        <v>0</v>
      </c>
      <c r="O9" s="259" t="s">
        <v>53</v>
      </c>
      <c r="P9" s="259">
        <f>monitorvpclarge+W9</f>
        <v>5</v>
      </c>
      <c r="Q9" s="259">
        <f>monitordb2vpclarge</f>
        <v>33</v>
      </c>
      <c r="R9" s="259">
        <f>monitordb2large</f>
        <v>1024</v>
      </c>
      <c r="S9" s="293">
        <v>458.33333333333331</v>
      </c>
      <c r="T9" s="299">
        <f t="shared" si="1"/>
        <v>229.16666666666666</v>
      </c>
      <c r="V9" s="259">
        <f>Iotpvpclarge</f>
        <v>100</v>
      </c>
      <c r="W9" s="259">
        <f t="shared" si="2"/>
        <v>0</v>
      </c>
      <c r="X9" s="259">
        <v>0</v>
      </c>
    </row>
    <row r="10" spans="2:24" x14ac:dyDescent="0.2">
      <c r="B10" s="254"/>
      <c r="C10" s="279" t="s">
        <v>224</v>
      </c>
      <c r="D10" s="356" t="s">
        <v>223</v>
      </c>
      <c r="E10" s="255"/>
      <c r="F10" s="335">
        <f ca="1">IF(D5="yes",OFFSET($S$14,$K10,0),OFFSET($U$14,$K10,0))</f>
        <v>0</v>
      </c>
      <c r="G10" s="336">
        <f t="shared" ref="G10:G14" ca="1" si="5">OFFSET($P$5,$K10,0)</f>
        <v>0</v>
      </c>
      <c r="H10" s="337">
        <f t="shared" ref="H10:H14" ca="1" si="6">OFFSET($R$5,$K10,0)</f>
        <v>0</v>
      </c>
      <c r="I10" s="257"/>
      <c r="J10" s="258">
        <f t="shared" ca="1" si="0"/>
        <v>0</v>
      </c>
      <c r="K10" s="255">
        <f t="shared" si="3"/>
        <v>6</v>
      </c>
      <c r="L10" s="255">
        <f t="shared" ref="L10:L15" ca="1" si="7">OFFSET($Q$5,$K10,0)</f>
        <v>0</v>
      </c>
      <c r="M10" s="274">
        <f t="shared" ca="1" si="4"/>
        <v>0</v>
      </c>
    </row>
    <row r="11" spans="2:24" x14ac:dyDescent="0.2">
      <c r="B11" s="254"/>
      <c r="C11" s="279" t="s">
        <v>225</v>
      </c>
      <c r="D11" s="356" t="s">
        <v>223</v>
      </c>
      <c r="E11" s="255"/>
      <c r="F11" s="335">
        <f ca="1">OFFSET($U$14,$K11,0)</f>
        <v>0</v>
      </c>
      <c r="G11" s="336">
        <f t="shared" ca="1" si="5"/>
        <v>0</v>
      </c>
      <c r="H11" s="337">
        <f t="shared" ca="1" si="6"/>
        <v>0</v>
      </c>
      <c r="I11" s="257"/>
      <c r="J11" s="258">
        <f t="shared" ca="1" si="0"/>
        <v>0</v>
      </c>
      <c r="K11" s="255">
        <f t="shared" si="3"/>
        <v>6</v>
      </c>
      <c r="L11" s="255">
        <f t="shared" ca="1" si="7"/>
        <v>0</v>
      </c>
      <c r="M11" s="274">
        <f ca="1">OFFSET($T$5,$K11,0)</f>
        <v>0</v>
      </c>
    </row>
    <row r="12" spans="2:24" x14ac:dyDescent="0.2">
      <c r="B12" s="254"/>
      <c r="C12" s="279" t="s">
        <v>226</v>
      </c>
      <c r="D12" s="356" t="s">
        <v>223</v>
      </c>
      <c r="E12" s="255"/>
      <c r="F12" s="335">
        <f t="shared" ref="F12:F14" ca="1" si="8">OFFSET($U$14,$K12,0)</f>
        <v>0</v>
      </c>
      <c r="G12" s="336">
        <f t="shared" ca="1" si="5"/>
        <v>0</v>
      </c>
      <c r="H12" s="337">
        <f t="shared" ca="1" si="6"/>
        <v>0</v>
      </c>
      <c r="I12" s="257"/>
      <c r="J12" s="258">
        <f t="shared" ca="1" si="0"/>
        <v>0</v>
      </c>
      <c r="K12" s="255">
        <f t="shared" si="3"/>
        <v>6</v>
      </c>
      <c r="L12" s="255">
        <f t="shared" ca="1" si="7"/>
        <v>0</v>
      </c>
      <c r="M12" s="274">
        <f t="shared" ref="M12:M15" ca="1" si="9">OFFSET($T$5,$K12,0)</f>
        <v>0</v>
      </c>
      <c r="Q12" s="611" t="s">
        <v>285</v>
      </c>
      <c r="R12" s="612"/>
      <c r="S12" s="613"/>
    </row>
    <row r="13" spans="2:24" x14ac:dyDescent="0.2">
      <c r="B13" s="254"/>
      <c r="C13" s="279" t="s">
        <v>227</v>
      </c>
      <c r="D13" s="356" t="s">
        <v>223</v>
      </c>
      <c r="E13" s="255"/>
      <c r="F13" s="335">
        <f t="shared" ca="1" si="8"/>
        <v>0</v>
      </c>
      <c r="G13" s="336">
        <f t="shared" ca="1" si="5"/>
        <v>0</v>
      </c>
      <c r="H13" s="337">
        <f t="shared" ca="1" si="6"/>
        <v>0</v>
      </c>
      <c r="I13" s="257"/>
      <c r="J13" s="258">
        <f t="shared" ca="1" si="0"/>
        <v>0</v>
      </c>
      <c r="K13" s="255">
        <f t="shared" si="3"/>
        <v>6</v>
      </c>
      <c r="L13" s="255">
        <f t="shared" ca="1" si="7"/>
        <v>0</v>
      </c>
      <c r="M13" s="274">
        <f t="shared" ca="1" si="9"/>
        <v>0</v>
      </c>
      <c r="P13" s="259" t="s">
        <v>289</v>
      </c>
      <c r="Q13" s="254" t="s">
        <v>281</v>
      </c>
      <c r="R13" s="255" t="s">
        <v>283</v>
      </c>
      <c r="S13" s="257" t="s">
        <v>284</v>
      </c>
      <c r="T13" s="298"/>
      <c r="U13" s="259" t="s">
        <v>286</v>
      </c>
      <c r="V13" s="259" t="s">
        <v>330</v>
      </c>
    </row>
    <row r="14" spans="2:24" x14ac:dyDescent="0.2">
      <c r="B14" s="254"/>
      <c r="C14" s="279" t="s">
        <v>228</v>
      </c>
      <c r="D14" s="356" t="s">
        <v>223</v>
      </c>
      <c r="E14" s="255"/>
      <c r="F14" s="335">
        <f t="shared" ca="1" si="8"/>
        <v>0</v>
      </c>
      <c r="G14" s="336">
        <f t="shared" ca="1" si="5"/>
        <v>0</v>
      </c>
      <c r="H14" s="337">
        <f t="shared" ca="1" si="6"/>
        <v>0</v>
      </c>
      <c r="I14" s="257"/>
      <c r="J14" s="258">
        <f t="shared" ca="1" si="0"/>
        <v>0</v>
      </c>
      <c r="K14" s="255">
        <f t="shared" si="3"/>
        <v>6</v>
      </c>
      <c r="L14" s="255">
        <f t="shared" ca="1" si="7"/>
        <v>0</v>
      </c>
      <c r="M14" s="274">
        <f t="shared" ca="1" si="9"/>
        <v>0</v>
      </c>
      <c r="O14" s="259" t="s">
        <v>247</v>
      </c>
      <c r="P14" s="299">
        <f>Q5*VPCCost</f>
        <v>184.68</v>
      </c>
      <c r="Q14" s="300">
        <v>0</v>
      </c>
      <c r="R14" s="258">
        <f>Q14+P14</f>
        <v>184.68</v>
      </c>
      <c r="S14" s="316">
        <f>(R14/CapUCost)</f>
        <v>8.0295652173913048</v>
      </c>
      <c r="U14" s="334">
        <f>(T5+P14+X5/2)/CapUCost</f>
        <v>17.993333333333336</v>
      </c>
      <c r="V14" s="334">
        <f>(S5+P14+X5)/CapUCost</f>
        <v>27.957101449275363</v>
      </c>
    </row>
    <row r="15" spans="2:24" x14ac:dyDescent="0.2">
      <c r="B15" s="254"/>
      <c r="C15" s="545" t="s">
        <v>229</v>
      </c>
      <c r="D15" s="356">
        <v>0</v>
      </c>
      <c r="E15" s="255"/>
      <c r="F15" s="335">
        <f ca="1">OFFSET($U$14,$K15,0)*D15</f>
        <v>0</v>
      </c>
      <c r="G15" s="336">
        <f ca="1">OFFSET($P$5,$K15,0)*D15</f>
        <v>0</v>
      </c>
      <c r="H15" s="337">
        <f ca="1">OFFSET($R$5,$K15,0)*D15</f>
        <v>0</v>
      </c>
      <c r="I15" s="257"/>
      <c r="J15" s="258">
        <f t="shared" ca="1" si="0"/>
        <v>0</v>
      </c>
      <c r="K15" s="343">
        <f>IF(D15=0,6,0)</f>
        <v>6</v>
      </c>
      <c r="L15" s="255">
        <f t="shared" ca="1" si="7"/>
        <v>0</v>
      </c>
      <c r="M15" s="274">
        <f t="shared" ca="1" si="9"/>
        <v>0</v>
      </c>
      <c r="O15" s="259" t="s">
        <v>277</v>
      </c>
      <c r="P15" s="299">
        <f>Q6*VPCCost</f>
        <v>369.36</v>
      </c>
      <c r="Q15" s="300">
        <f>S6</f>
        <v>458.33333333333331</v>
      </c>
      <c r="R15" s="258">
        <f t="shared" ref="R15:R18" si="10">Q15+P15</f>
        <v>827.69333333333338</v>
      </c>
      <c r="S15" s="316">
        <f>((R15+X6)/CapUCost)</f>
        <v>35.986666666666672</v>
      </c>
      <c r="U15" s="334">
        <f>(T6+P15+X6/2)/CapUCost</f>
        <v>26.022898550724637</v>
      </c>
      <c r="V15" s="334">
        <f>(S6+P15+X6)/CapUCost</f>
        <v>35.986666666666672</v>
      </c>
    </row>
    <row r="16" spans="2:24" x14ac:dyDescent="0.2">
      <c r="B16" s="254"/>
      <c r="C16" s="277"/>
      <c r="D16" s="339"/>
      <c r="E16" s="255"/>
      <c r="F16" s="340"/>
      <c r="G16" s="329"/>
      <c r="H16" s="341"/>
      <c r="I16" s="306"/>
      <c r="J16" s="258">
        <f t="shared" si="0"/>
        <v>0</v>
      </c>
      <c r="K16" s="255">
        <v>6</v>
      </c>
      <c r="O16" s="259" t="s">
        <v>22</v>
      </c>
      <c r="P16" s="299">
        <f>Q7*VPCCost</f>
        <v>369.36</v>
      </c>
      <c r="Q16" s="300">
        <f t="shared" ref="Q16:Q18" si="11">S7</f>
        <v>458.33333333333331</v>
      </c>
      <c r="R16" s="258">
        <f t="shared" si="10"/>
        <v>827.69333333333338</v>
      </c>
      <c r="S16" s="316">
        <f>((R16+X7)/CapUCost)</f>
        <v>35.986666666666672</v>
      </c>
      <c r="U16" s="334">
        <f>(T7+P16+X7/2)/CapUCost</f>
        <v>26.022898550724637</v>
      </c>
      <c r="V16" s="334">
        <f>(S7+P16+X7)/CapUCost</f>
        <v>35.986666666666672</v>
      </c>
    </row>
    <row r="17" spans="2:22" x14ac:dyDescent="0.2">
      <c r="B17" s="254"/>
      <c r="C17" s="276" t="s">
        <v>222</v>
      </c>
      <c r="D17" s="357" t="s">
        <v>223</v>
      </c>
      <c r="E17" s="255"/>
      <c r="F17" s="335">
        <f ca="1">OFFSET($V$14,$K17,0)</f>
        <v>0</v>
      </c>
      <c r="G17" s="336">
        <f t="shared" ref="G17" ca="1" si="12">OFFSET($P$5,$K17,0)</f>
        <v>0</v>
      </c>
      <c r="H17" s="337">
        <f t="shared" ref="H17" ca="1" si="13">OFFSET($R$5,$K17,0)</f>
        <v>0</v>
      </c>
      <c r="I17" s="257"/>
      <c r="J17" s="258">
        <f t="shared" ca="1" si="0"/>
        <v>0</v>
      </c>
      <c r="K17" s="255">
        <f t="shared" si="3"/>
        <v>6</v>
      </c>
      <c r="O17" s="259" t="s">
        <v>278</v>
      </c>
      <c r="P17" s="299">
        <f>Q8*VPCCost</f>
        <v>523.26</v>
      </c>
      <c r="Q17" s="300">
        <f t="shared" si="11"/>
        <v>458.33333333333331</v>
      </c>
      <c r="R17" s="258">
        <f t="shared" si="10"/>
        <v>981.59333333333325</v>
      </c>
      <c r="S17" s="316">
        <f>((R17+X8)/CapUCost)</f>
        <v>42.677971014492748</v>
      </c>
      <c r="U17" s="334">
        <f>(T8+P17+X8/2)/CapUCost</f>
        <v>32.714202898550724</v>
      </c>
      <c r="V17" s="334">
        <f>(S8+P17+X8)/CapUCost</f>
        <v>42.677971014492748</v>
      </c>
    </row>
    <row r="18" spans="2:22" ht="17" thickBot="1" x14ac:dyDescent="0.25">
      <c r="B18" s="254"/>
      <c r="C18" s="279"/>
      <c r="D18" s="330"/>
      <c r="E18" s="255"/>
      <c r="F18" s="340"/>
      <c r="G18" s="329"/>
      <c r="H18" s="344"/>
      <c r="I18" s="257"/>
      <c r="J18" s="258">
        <f t="shared" si="0"/>
        <v>0</v>
      </c>
      <c r="O18" s="259" t="s">
        <v>53</v>
      </c>
      <c r="P18" s="299">
        <f>Q9*VPCCost</f>
        <v>1015.74</v>
      </c>
      <c r="Q18" s="300">
        <f t="shared" si="11"/>
        <v>458.33333333333331</v>
      </c>
      <c r="R18" s="310">
        <f t="shared" si="10"/>
        <v>1474.0733333333333</v>
      </c>
      <c r="S18" s="316">
        <f>((R18+X9)/CapUCost)</f>
        <v>64.09014492753623</v>
      </c>
      <c r="U18" s="334">
        <f>(T9+P18+X9/2)/CapUCost</f>
        <v>54.126376811594206</v>
      </c>
      <c r="V18" s="334">
        <f>(S9+P18+X9)/CapUCost</f>
        <v>64.09014492753623</v>
      </c>
    </row>
    <row r="19" spans="2:22" ht="17" thickBot="1" x14ac:dyDescent="0.25">
      <c r="B19" s="254"/>
      <c r="C19" s="307" t="s">
        <v>376</v>
      </c>
      <c r="D19" s="308"/>
      <c r="E19" s="255"/>
      <c r="F19" s="340"/>
      <c r="G19" s="329"/>
      <c r="H19" s="344"/>
      <c r="I19" s="257"/>
      <c r="J19" s="258">
        <f t="shared" si="0"/>
        <v>0</v>
      </c>
      <c r="L19" s="277"/>
      <c r="M19" s="277"/>
      <c r="N19" s="534"/>
    </row>
    <row r="20" spans="2:22" ht="17" thickBot="1" x14ac:dyDescent="0.25">
      <c r="B20" s="254"/>
      <c r="C20" s="545" t="s">
        <v>334</v>
      </c>
      <c r="D20" s="357" t="s">
        <v>3</v>
      </c>
      <c r="E20" s="255"/>
      <c r="F20" s="376">
        <f>IF(D20="Yes",35*1,0)</f>
        <v>0</v>
      </c>
      <c r="G20" s="538">
        <v>0</v>
      </c>
      <c r="H20" s="539">
        <v>0</v>
      </c>
      <c r="I20" s="257"/>
      <c r="J20" s="258">
        <f t="shared" si="0"/>
        <v>0</v>
      </c>
      <c r="M20" s="260"/>
      <c r="N20" s="261"/>
    </row>
    <row r="21" spans="2:22" x14ac:dyDescent="0.2">
      <c r="B21" s="254"/>
      <c r="C21" s="546"/>
      <c r="D21" s="546"/>
      <c r="E21" s="255"/>
      <c r="F21" s="362"/>
      <c r="G21" s="329"/>
      <c r="H21" s="329"/>
      <c r="I21" s="257"/>
      <c r="J21" s="258"/>
      <c r="M21" s="260"/>
      <c r="N21" s="261"/>
    </row>
    <row r="22" spans="2:22" x14ac:dyDescent="0.2">
      <c r="B22" s="254"/>
      <c r="C22" s="273"/>
      <c r="D22" s="615" t="s">
        <v>400</v>
      </c>
      <c r="E22" s="255"/>
      <c r="F22" s="328"/>
      <c r="G22" s="329"/>
      <c r="H22" s="329"/>
      <c r="I22" s="257"/>
      <c r="J22" s="258"/>
    </row>
    <row r="23" spans="2:22" x14ac:dyDescent="0.2">
      <c r="B23" s="254"/>
      <c r="C23" s="255"/>
      <c r="D23" s="615"/>
      <c r="E23" s="255"/>
      <c r="F23" s="328"/>
      <c r="G23" s="329"/>
      <c r="H23" s="329"/>
      <c r="I23" s="257"/>
      <c r="J23" s="258"/>
    </row>
    <row r="24" spans="2:22" ht="17" thickBot="1" x14ac:dyDescent="0.25">
      <c r="B24" s="254"/>
      <c r="C24" s="255"/>
      <c r="D24" s="262"/>
      <c r="E24" s="255"/>
      <c r="F24" s="328"/>
      <c r="G24" s="329"/>
      <c r="H24" s="329"/>
      <c r="I24" s="257"/>
      <c r="J24" s="258"/>
    </row>
    <row r="25" spans="2:22" ht="17" thickBot="1" x14ac:dyDescent="0.25">
      <c r="B25" s="254"/>
      <c r="C25" s="255"/>
      <c r="D25" s="262"/>
      <c r="E25" s="255"/>
      <c r="F25" s="312" t="s">
        <v>232</v>
      </c>
      <c r="G25" s="313" t="s">
        <v>5</v>
      </c>
      <c r="H25" s="314" t="s">
        <v>6</v>
      </c>
      <c r="I25" s="263"/>
      <c r="J25" s="258"/>
    </row>
    <row r="26" spans="2:22" ht="17" thickBot="1" x14ac:dyDescent="0.25">
      <c r="B26" s="254"/>
      <c r="C26" s="255"/>
      <c r="D26" s="265" t="s">
        <v>430</v>
      </c>
      <c r="E26" s="255"/>
      <c r="F26" s="317">
        <f ca="1">SUM(F5:F20)</f>
        <v>0</v>
      </c>
      <c r="G26" s="547">
        <f ca="1">SUM(G5:G20)</f>
        <v>0</v>
      </c>
      <c r="H26" s="547">
        <f ca="1">SUM(H5:H20)</f>
        <v>0</v>
      </c>
      <c r="I26" s="257"/>
      <c r="J26" s="258">
        <f ca="1">CapUdiscounedpriceyearly*F26+VPCdiscountedpriceyearly*G26+GBstoragediscountedpriceyearly*H26</f>
        <v>0</v>
      </c>
      <c r="K26" s="255">
        <f>SUM(K5:K19)</f>
        <v>72</v>
      </c>
      <c r="L26" s="260">
        <f ca="1">SUM(L5:L16)</f>
        <v>0</v>
      </c>
      <c r="M26" s="274">
        <f ca="1">SUM(M6:M18)</f>
        <v>0</v>
      </c>
    </row>
    <row r="27" spans="2:22" x14ac:dyDescent="0.2">
      <c r="B27" s="254"/>
      <c r="C27" s="255"/>
      <c r="D27" s="262"/>
      <c r="E27" s="255"/>
      <c r="F27" s="321"/>
      <c r="G27" s="255"/>
      <c r="H27" s="255"/>
      <c r="I27" s="257"/>
      <c r="K27" s="255" t="b">
        <f>IF((COUNTIF(K6:K17,"&lt;6")),TRUE,FALSE)</f>
        <v>0</v>
      </c>
      <c r="L27" s="275"/>
    </row>
    <row r="28" spans="2:22" x14ac:dyDescent="0.2">
      <c r="B28" s="254"/>
      <c r="C28" s="255"/>
      <c r="D28" s="267" t="s">
        <v>321</v>
      </c>
      <c r="E28" s="255"/>
      <c r="F28" s="614" t="str">
        <f>K38</f>
        <v/>
      </c>
      <c r="G28" s="614"/>
      <c r="H28" s="614"/>
      <c r="I28" s="257"/>
      <c r="L28" s="274"/>
    </row>
    <row r="29" spans="2:22" x14ac:dyDescent="0.2">
      <c r="B29" s="254"/>
      <c r="C29" s="255"/>
      <c r="D29" s="262"/>
      <c r="E29" s="255"/>
      <c r="F29" s="614"/>
      <c r="G29" s="614"/>
      <c r="H29" s="614"/>
      <c r="I29" s="257"/>
    </row>
    <row r="30" spans="2:22" x14ac:dyDescent="0.2">
      <c r="B30" s="254"/>
      <c r="C30" s="255"/>
      <c r="D30" s="262"/>
      <c r="E30" s="255"/>
      <c r="F30" s="614"/>
      <c r="G30" s="614"/>
      <c r="H30" s="614"/>
      <c r="I30" s="257"/>
    </row>
    <row r="31" spans="2:22" x14ac:dyDescent="0.2">
      <c r="B31" s="254"/>
      <c r="C31" s="255"/>
      <c r="D31" s="262"/>
      <c r="E31" s="255"/>
      <c r="F31" s="614"/>
      <c r="G31" s="614"/>
      <c r="H31" s="614"/>
      <c r="I31" s="257"/>
    </row>
    <row r="32" spans="2:22" x14ac:dyDescent="0.2">
      <c r="B32" s="254"/>
      <c r="C32" s="255"/>
      <c r="D32" s="262"/>
      <c r="E32" s="255"/>
      <c r="F32" s="614"/>
      <c r="G32" s="614"/>
      <c r="H32" s="614"/>
      <c r="I32" s="257"/>
    </row>
    <row r="33" spans="2:11" x14ac:dyDescent="0.2">
      <c r="B33" s="254"/>
      <c r="C33" s="255"/>
      <c r="D33" s="262"/>
      <c r="E33" s="255"/>
      <c r="F33" s="614"/>
      <c r="G33" s="614"/>
      <c r="H33" s="614"/>
      <c r="I33" s="257"/>
    </row>
    <row r="34" spans="2:11" x14ac:dyDescent="0.2">
      <c r="B34" s="254"/>
      <c r="C34" s="255"/>
      <c r="D34" s="262"/>
      <c r="E34" s="255"/>
      <c r="F34" s="614"/>
      <c r="G34" s="614"/>
      <c r="H34" s="614"/>
      <c r="I34" s="257"/>
    </row>
    <row r="35" spans="2:11" x14ac:dyDescent="0.2">
      <c r="B35" s="254"/>
      <c r="C35" s="255"/>
      <c r="D35" s="262"/>
      <c r="E35" s="255"/>
      <c r="F35" s="614"/>
      <c r="G35" s="614"/>
      <c r="H35" s="614"/>
      <c r="I35" s="257"/>
    </row>
    <row r="36" spans="2:11" x14ac:dyDescent="0.2">
      <c r="B36" s="254"/>
      <c r="C36" s="255"/>
      <c r="D36" s="262"/>
      <c r="E36" s="255"/>
      <c r="F36" s="614"/>
      <c r="G36" s="614"/>
      <c r="H36" s="614"/>
      <c r="I36" s="257"/>
    </row>
    <row r="37" spans="2:11" x14ac:dyDescent="0.2">
      <c r="B37" s="254"/>
      <c r="C37" s="255"/>
      <c r="D37" s="262"/>
      <c r="E37" s="255"/>
      <c r="F37" s="614"/>
      <c r="G37" s="614"/>
      <c r="H37" s="614"/>
      <c r="I37" s="257"/>
    </row>
    <row r="38" spans="2:11" x14ac:dyDescent="0.2">
      <c r="B38" s="269"/>
      <c r="C38" s="270"/>
      <c r="D38" s="271"/>
      <c r="E38" s="270"/>
      <c r="F38" s="324"/>
      <c r="G38" s="270"/>
      <c r="H38" s="270"/>
      <c r="I38" s="548"/>
      <c r="J38" s="259" t="b">
        <f>IF(COUNTIF(K6:K17,5),TRUE,FALSE)</f>
        <v>0</v>
      </c>
      <c r="K38" s="258" t="str">
        <f>IF(J38,"Error: Quote contains Beyond Large size, contact Drew.A.Sens@ibm.com for custom quote","")</f>
        <v/>
      </c>
    </row>
  </sheetData>
  <sheetProtection algorithmName="SHA-512" hashValue="62N4+bsgsiFEixHjRj7AIG8iHvzWXwz2j2T+34+bv5nruBnt0QFJ3MrDXY+rhDIJGE2FI1K/ctyiHHtZthGiEg==" saltValue="znjIdDpK37g+gWSn/NFEmw==" spinCount="100000" sheet="1" objects="1" scenarios="1"/>
  <dataConsolidate/>
  <mergeCells count="4">
    <mergeCell ref="P3:Q3"/>
    <mergeCell ref="Q12:S12"/>
    <mergeCell ref="F28:H37"/>
    <mergeCell ref="D22:D23"/>
  </mergeCells>
  <dataValidations count="6">
    <dataValidation type="list" allowBlank="1" showInputMessage="1" showErrorMessage="1" sqref="D17" xr:uid="{F2F9DBF5-3D24-8248-B200-B29DCAFD2FAC}">
      <formula1>monitorpoc</formula1>
    </dataValidation>
    <dataValidation type="list" allowBlank="1" showInputMessage="1" showErrorMessage="1" sqref="D15" xr:uid="{EC59CEAC-4256-C644-814F-FB69F3C2257E}">
      <formula1>zerothroughten</formula1>
    </dataValidation>
    <dataValidation type="list" allowBlank="1" showInputMessage="1" showErrorMessage="1" sqref="D10:D14" xr:uid="{E471CE3E-44A5-4747-9073-40CC24B70BB5}">
      <formula1>monitorsizesyesno</formula1>
    </dataValidation>
    <dataValidation type="list" allowBlank="1" showInputMessage="1" showErrorMessage="1" sqref="D18" xr:uid="{764542E1-E971-C94F-A2AF-90AD220432AD}">
      <formula1>tshirtsizes</formula1>
    </dataValidation>
    <dataValidation type="list" allowBlank="1" showInputMessage="1" showErrorMessage="1" sqref="D6" xr:uid="{CCE2E5BA-EAB7-B447-9C49-FE7D69D1CD69}">
      <formula1>monitorproductionsizes</formula1>
    </dataValidation>
    <dataValidation type="list" allowBlank="1" showInputMessage="1" showErrorMessage="1" sqref="D20" xr:uid="{B268925B-1A0C-7942-B3AC-978C79B8B5EC}">
      <formula1>yesno</formula1>
    </dataValidation>
  </dataValidations>
  <hyperlinks>
    <hyperlink ref="C7" r:id="rId1" display="What is an I/O Point: Click to See Definitions" xr:uid="{CC9A87CE-0483-614F-815E-7A3A9B3D0E8B}"/>
    <hyperlink ref="D22" location="'Output Dashboard'!A1" display="Go to Output Dashboard" xr:uid="{C117125A-C04A-E84F-9FD4-2756A812D8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E13C-38C9-274B-B666-F58A8FD7F73A}">
  <sheetPr codeName="Sheet2">
    <tabColor theme="9" tint="0.79998168889431442"/>
  </sheetPr>
  <dimension ref="B1:X36"/>
  <sheetViews>
    <sheetView zoomScale="117" zoomScaleNormal="125" workbookViewId="0">
      <selection activeCell="D6" sqref="D6"/>
    </sheetView>
  </sheetViews>
  <sheetFormatPr baseColWidth="10" defaultRowHeight="16" outlineLevelCol="1" x14ac:dyDescent="0.2"/>
  <cols>
    <col min="1" max="1" width="1.83203125" style="259" customWidth="1"/>
    <col min="2" max="2" width="6" style="259" customWidth="1"/>
    <col min="3" max="3" width="67.1640625" style="259" customWidth="1"/>
    <col min="4" max="4" width="38.5" style="386" bestFit="1" customWidth="1"/>
    <col min="5" max="5" width="2.6640625" style="259" customWidth="1"/>
    <col min="6" max="6" width="19.5" style="549" bestFit="1" customWidth="1"/>
    <col min="7" max="7" width="17.6640625" style="359" customWidth="1"/>
    <col min="8" max="8" width="17.83203125" style="359" customWidth="1"/>
    <col min="9" max="9" width="56.5" style="526" customWidth="1"/>
    <col min="10" max="10" width="24.6640625" style="259" hidden="1" customWidth="1" outlineLevel="1"/>
    <col min="11" max="11" width="15.33203125" style="255" hidden="1" customWidth="1" outlineLevel="1"/>
    <col min="12" max="12" width="20.83203125" style="259" hidden="1" customWidth="1" outlineLevel="1"/>
    <col min="13" max="13" width="13" style="274" hidden="1" customWidth="1" outlineLevel="1"/>
    <col min="14" max="15" width="10.83203125" style="259" hidden="1" customWidth="1" outlineLevel="1"/>
    <col min="16" max="16" width="17.6640625" style="259" hidden="1" customWidth="1" outlineLevel="1"/>
    <col min="17" max="18" width="10.83203125" style="259" hidden="1" customWidth="1" outlineLevel="1"/>
    <col min="19" max="19" width="18.6640625" style="259" hidden="1" customWidth="1" outlineLevel="1"/>
    <col min="20" max="20" width="13.83203125" style="259" hidden="1" customWidth="1" outlineLevel="1"/>
    <col min="21" max="21" width="14.1640625" style="259" hidden="1" customWidth="1" outlineLevel="1"/>
    <col min="22" max="22" width="10.83203125" style="259" hidden="1" customWidth="1" outlineLevel="1"/>
    <col min="23" max="23" width="10.83203125" style="259" hidden="1" customWidth="1" outlineLevel="1" collapsed="1"/>
    <col min="24" max="24" width="10.83203125" style="259" customWidth="1" collapsed="1"/>
    <col min="25" max="16384" width="10.83203125" style="259"/>
  </cols>
  <sheetData>
    <row r="1" spans="2:22" ht="9" customHeight="1" x14ac:dyDescent="0.2"/>
    <row r="2" spans="2:22" ht="13" customHeight="1" x14ac:dyDescent="0.2">
      <c r="B2" s="280" t="str">
        <f>'Output Dashboard'!B2</f>
        <v>MAS Managed Service Calculator 5.4</v>
      </c>
      <c r="C2" s="281"/>
      <c r="D2" s="346"/>
      <c r="E2" s="281"/>
      <c r="F2" s="550"/>
      <c r="G2" s="361"/>
      <c r="H2" s="361"/>
      <c r="I2" s="527"/>
    </row>
    <row r="3" spans="2:22" ht="17" thickBot="1" x14ac:dyDescent="0.25">
      <c r="B3" s="283" t="s">
        <v>431</v>
      </c>
      <c r="C3" s="255"/>
      <c r="D3" s="262"/>
      <c r="E3" s="255"/>
      <c r="F3" s="551"/>
      <c r="G3" s="328"/>
      <c r="H3" s="328"/>
      <c r="I3" s="528"/>
      <c r="L3" s="259" t="s">
        <v>548</v>
      </c>
      <c r="P3" s="610" t="s">
        <v>4</v>
      </c>
      <c r="Q3" s="610"/>
    </row>
    <row r="4" spans="2:22" ht="16" customHeight="1" thickBot="1" x14ac:dyDescent="0.25">
      <c r="B4" s="254"/>
      <c r="C4" s="255"/>
      <c r="D4" s="262"/>
      <c r="E4" s="255"/>
      <c r="F4" s="349" t="s">
        <v>232</v>
      </c>
      <c r="G4" s="364" t="s">
        <v>5</v>
      </c>
      <c r="H4" s="365" t="s">
        <v>6</v>
      </c>
      <c r="I4" s="529" t="s">
        <v>388</v>
      </c>
      <c r="J4" s="287" t="s">
        <v>403</v>
      </c>
      <c r="K4" s="288" t="s">
        <v>7</v>
      </c>
      <c r="L4" s="289" t="s">
        <v>295</v>
      </c>
      <c r="M4" s="351" t="s">
        <v>302</v>
      </c>
      <c r="P4" s="259" t="s">
        <v>25</v>
      </c>
      <c r="Q4" s="259" t="s">
        <v>445</v>
      </c>
      <c r="R4" s="259" t="s">
        <v>443</v>
      </c>
      <c r="S4" s="259" t="s">
        <v>378</v>
      </c>
      <c r="T4" s="259" t="s">
        <v>282</v>
      </c>
    </row>
    <row r="5" spans="2:22" ht="17" thickBot="1" x14ac:dyDescent="0.25">
      <c r="B5" s="254"/>
      <c r="C5" s="291" t="s">
        <v>432</v>
      </c>
      <c r="D5" s="292" t="str">
        <f>IF(D6="None","No","Yes")</f>
        <v>No</v>
      </c>
      <c r="E5" s="255"/>
      <c r="F5" s="552"/>
      <c r="G5" s="367"/>
      <c r="H5" s="368"/>
      <c r="I5" s="528"/>
      <c r="J5" s="258"/>
      <c r="O5" s="259" t="s">
        <v>247</v>
      </c>
      <c r="P5" s="259">
        <f>Predictvpcdev</f>
        <v>2</v>
      </c>
      <c r="Q5" s="259">
        <f>mlvpcdev+studiovpcdev</f>
        <v>28</v>
      </c>
      <c r="R5" s="259">
        <f>Predictdbdev</f>
        <v>512</v>
      </c>
      <c r="S5" s="293">
        <v>458.33333333333331</v>
      </c>
      <c r="T5" s="299">
        <f>T6</f>
        <v>229.16666666666666</v>
      </c>
    </row>
    <row r="6" spans="2:22" x14ac:dyDescent="0.2">
      <c r="B6" s="254"/>
      <c r="C6" s="279" t="s">
        <v>429</v>
      </c>
      <c r="D6" s="356" t="s">
        <v>223</v>
      </c>
      <c r="E6" s="255"/>
      <c r="F6" s="553">
        <f ca="1">OFFSET($S$14,$K6,0)</f>
        <v>0</v>
      </c>
      <c r="G6" s="370">
        <f ca="1">OFFSET($P$5,$K6,0)</f>
        <v>0</v>
      </c>
      <c r="H6" s="371">
        <f ca="1">OFFSET($R$5,$K6,0)</f>
        <v>0</v>
      </c>
      <c r="I6" s="554" t="s">
        <v>434</v>
      </c>
      <c r="J6" s="258">
        <f t="shared" ref="J6:J18" ca="1" si="0">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O6" s="259" t="s">
        <v>277</v>
      </c>
      <c r="P6" s="259">
        <f>Predictvpcxsmall</f>
        <v>2</v>
      </c>
      <c r="Q6" s="259">
        <f>mlvpcxsmall+studiovpcxsmall</f>
        <v>44</v>
      </c>
      <c r="R6" s="259">
        <f>Predictdbxsmall</f>
        <v>512</v>
      </c>
      <c r="S6" s="293">
        <v>458.33333333333331</v>
      </c>
      <c r="T6" s="299">
        <f t="shared" ref="T6:T9" si="1">S6/2</f>
        <v>229.16666666666666</v>
      </c>
    </row>
    <row r="7" spans="2:22" x14ac:dyDescent="0.2">
      <c r="B7" s="254"/>
      <c r="C7" s="544" t="s">
        <v>433</v>
      </c>
      <c r="D7" s="262"/>
      <c r="E7" s="255"/>
      <c r="F7" s="555"/>
      <c r="G7" s="328"/>
      <c r="H7" s="373"/>
      <c r="I7" s="530" t="str">
        <f>IF(K6=5,"Quote contains Beyond Large size, contact Drew.A.Sens@ibm.com for custom quote","")</f>
        <v/>
      </c>
      <c r="J7" s="258">
        <f t="shared" si="0"/>
        <v>0</v>
      </c>
      <c r="K7" s="255">
        <f t="shared" ref="K7:K18" si="2">IF(ISNUMBER(SEARCH("Dev",D7)),0,IF(ISNUMBER(SEARCH("xSmall",D7)),1,IF(ISNUMBER(SEARCH("Small",D7)),2,IF(ISNUMBER(SEARCH("Medium",D7)),3,IF(ISNUMBER(SEARCH("Beyond Large",D7)),5,IF(ISNUMBER(SEARCH("Large",D7)),4,6))))))</f>
        <v>6</v>
      </c>
      <c r="L7" s="255"/>
      <c r="M7" s="274">
        <f t="shared" ref="M7:M10" ca="1" si="3">OFFSET($Q$14,$K7,0)</f>
        <v>0</v>
      </c>
      <c r="O7" s="259" t="s">
        <v>22</v>
      </c>
      <c r="P7" s="259">
        <f>Predictvpcsmall</f>
        <v>2</v>
      </c>
      <c r="Q7" s="259">
        <f>mlvpcsmall+studiovpcsmall</f>
        <v>44</v>
      </c>
      <c r="R7" s="259">
        <f>Predictdbsmall</f>
        <v>1024</v>
      </c>
      <c r="S7" s="293">
        <v>458.33333333333331</v>
      </c>
      <c r="T7" s="299">
        <f t="shared" si="1"/>
        <v>229.16666666666666</v>
      </c>
    </row>
    <row r="8" spans="2:22" ht="17" thickBot="1" x14ac:dyDescent="0.25">
      <c r="B8" s="254"/>
      <c r="C8" s="227"/>
      <c r="D8" s="305"/>
      <c r="E8" s="255"/>
      <c r="F8" s="555"/>
      <c r="G8" s="328"/>
      <c r="H8" s="373"/>
      <c r="I8" s="528"/>
      <c r="J8" s="258">
        <f t="shared" si="0"/>
        <v>0</v>
      </c>
      <c r="K8" s="255">
        <f t="shared" si="2"/>
        <v>6</v>
      </c>
      <c r="L8" s="255"/>
      <c r="M8" s="274">
        <f t="shared" ca="1" si="3"/>
        <v>0</v>
      </c>
      <c r="O8" s="259" t="s">
        <v>278</v>
      </c>
      <c r="P8" s="259">
        <f>Predictvpcmedium</f>
        <v>2</v>
      </c>
      <c r="Q8" s="259">
        <f>mlvpcmedium+studiovpcmedium</f>
        <v>54</v>
      </c>
      <c r="R8" s="259">
        <f>Predictdbmedium</f>
        <v>2048</v>
      </c>
      <c r="S8" s="293">
        <v>458.33333333333331</v>
      </c>
      <c r="T8" s="299">
        <f t="shared" si="1"/>
        <v>229.16666666666666</v>
      </c>
    </row>
    <row r="9" spans="2:22" ht="17" thickBot="1" x14ac:dyDescent="0.25">
      <c r="B9" s="254"/>
      <c r="C9" s="291" t="s">
        <v>441</v>
      </c>
      <c r="D9" s="292" t="str">
        <f>IF((IF((COUNTIF(K10:K17,"&lt;6")),TRUE,FALSE))*Predictisdeployed,"Yes","No")</f>
        <v>No</v>
      </c>
      <c r="E9" s="255"/>
      <c r="F9" s="555"/>
      <c r="G9" s="328"/>
      <c r="H9" s="373"/>
      <c r="I9" s="528"/>
      <c r="J9" s="258">
        <f t="shared" si="0"/>
        <v>0</v>
      </c>
      <c r="K9" s="255">
        <v>6</v>
      </c>
      <c r="L9" s="255"/>
      <c r="M9" s="274">
        <f t="shared" ca="1" si="3"/>
        <v>0</v>
      </c>
      <c r="O9" s="259" t="s">
        <v>53</v>
      </c>
      <c r="P9" s="259">
        <f>Predictvpclarge</f>
        <v>8</v>
      </c>
      <c r="Q9" s="259">
        <f>mlvpclarge+studiovpclarge</f>
        <v>70</v>
      </c>
      <c r="R9" s="259">
        <f>Predictdblarge</f>
        <v>1024</v>
      </c>
      <c r="S9" s="293">
        <v>458.33333333333331</v>
      </c>
      <c r="T9" s="299">
        <f t="shared" si="1"/>
        <v>229.16666666666666</v>
      </c>
    </row>
    <row r="10" spans="2:22" x14ac:dyDescent="0.2">
      <c r="B10" s="254"/>
      <c r="C10" s="279" t="s">
        <v>224</v>
      </c>
      <c r="D10" s="356" t="s">
        <v>223</v>
      </c>
      <c r="E10" s="255"/>
      <c r="F10" s="553">
        <f ca="1">IF(D5="yes",OFFSET($S$14,$K10,0),OFFSET($U$14,$K10,0))</f>
        <v>0</v>
      </c>
      <c r="G10" s="370">
        <f t="shared" ref="G10:G14" ca="1" si="4">OFFSET($P$5,$K10,0)</f>
        <v>0</v>
      </c>
      <c r="H10" s="371">
        <f t="shared" ref="H10:H14" ca="1" si="5">OFFSET($R$5,$K10,0)</f>
        <v>0</v>
      </c>
      <c r="I10" s="528"/>
      <c r="J10" s="258">
        <f t="shared" ca="1" si="0"/>
        <v>0</v>
      </c>
      <c r="K10" s="255">
        <f t="shared" si="2"/>
        <v>6</v>
      </c>
      <c r="L10" s="255">
        <f t="shared" ref="L10:L15" ca="1" si="6">OFFSET($Q$5,$K10,0)</f>
        <v>0</v>
      </c>
      <c r="M10" s="274">
        <f t="shared" ca="1" si="3"/>
        <v>0</v>
      </c>
    </row>
    <row r="11" spans="2:22" x14ac:dyDescent="0.2">
      <c r="B11" s="254"/>
      <c r="C11" s="279" t="s">
        <v>225</v>
      </c>
      <c r="D11" s="356" t="s">
        <v>223</v>
      </c>
      <c r="E11" s="255"/>
      <c r="F11" s="553">
        <f ca="1">OFFSET($U$14,$K11,0)</f>
        <v>0</v>
      </c>
      <c r="G11" s="370">
        <f t="shared" ca="1" si="4"/>
        <v>0</v>
      </c>
      <c r="H11" s="371">
        <f t="shared" ca="1" si="5"/>
        <v>0</v>
      </c>
      <c r="I11" s="528"/>
      <c r="J11" s="258">
        <f t="shared" ca="1" si="0"/>
        <v>0</v>
      </c>
      <c r="K11" s="255">
        <f t="shared" si="2"/>
        <v>6</v>
      </c>
      <c r="L11" s="255">
        <f t="shared" ca="1" si="6"/>
        <v>0</v>
      </c>
      <c r="M11" s="274">
        <f ca="1">OFFSET($T$5,$K11,0)</f>
        <v>0</v>
      </c>
    </row>
    <row r="12" spans="2:22" x14ac:dyDescent="0.2">
      <c r="B12" s="254"/>
      <c r="C12" s="279" t="s">
        <v>226</v>
      </c>
      <c r="D12" s="356" t="s">
        <v>223</v>
      </c>
      <c r="E12" s="255"/>
      <c r="F12" s="553">
        <f t="shared" ref="F12:F14" ca="1" si="7">OFFSET($U$14,$K12,0)</f>
        <v>0</v>
      </c>
      <c r="G12" s="370">
        <f t="shared" ca="1" si="4"/>
        <v>0</v>
      </c>
      <c r="H12" s="371">
        <f t="shared" ca="1" si="5"/>
        <v>0</v>
      </c>
      <c r="I12" s="528"/>
      <c r="J12" s="258">
        <f t="shared" ca="1" si="0"/>
        <v>0</v>
      </c>
      <c r="K12" s="255">
        <f t="shared" si="2"/>
        <v>6</v>
      </c>
      <c r="L12" s="255">
        <f t="shared" ca="1" si="6"/>
        <v>0</v>
      </c>
      <c r="M12" s="274">
        <f t="shared" ref="M12:M15" ca="1" si="8">OFFSET($T$5,$K12,0)</f>
        <v>0</v>
      </c>
      <c r="Q12" s="611" t="s">
        <v>285</v>
      </c>
      <c r="R12" s="612"/>
      <c r="S12" s="613"/>
    </row>
    <row r="13" spans="2:22" x14ac:dyDescent="0.2">
      <c r="B13" s="254"/>
      <c r="C13" s="279" t="s">
        <v>227</v>
      </c>
      <c r="D13" s="356" t="s">
        <v>223</v>
      </c>
      <c r="E13" s="255"/>
      <c r="F13" s="553">
        <f t="shared" ca="1" si="7"/>
        <v>0</v>
      </c>
      <c r="G13" s="370">
        <f t="shared" ca="1" si="4"/>
        <v>0</v>
      </c>
      <c r="H13" s="371">
        <f t="shared" ca="1" si="5"/>
        <v>0</v>
      </c>
      <c r="I13" s="528"/>
      <c r="J13" s="258">
        <f t="shared" ca="1" si="0"/>
        <v>0</v>
      </c>
      <c r="K13" s="255">
        <f t="shared" si="2"/>
        <v>6</v>
      </c>
      <c r="L13" s="255">
        <f t="shared" ca="1" si="6"/>
        <v>0</v>
      </c>
      <c r="M13" s="274">
        <f t="shared" ca="1" si="8"/>
        <v>0</v>
      </c>
      <c r="P13" s="259" t="s">
        <v>289</v>
      </c>
      <c r="Q13" s="254" t="s">
        <v>281</v>
      </c>
      <c r="R13" s="255" t="s">
        <v>283</v>
      </c>
      <c r="S13" s="257" t="s">
        <v>284</v>
      </c>
      <c r="T13" s="298"/>
      <c r="U13" s="259" t="s">
        <v>286</v>
      </c>
      <c r="V13" s="259" t="s">
        <v>330</v>
      </c>
    </row>
    <row r="14" spans="2:22" x14ac:dyDescent="0.2">
      <c r="B14" s="254"/>
      <c r="C14" s="279" t="s">
        <v>228</v>
      </c>
      <c r="D14" s="356" t="s">
        <v>223</v>
      </c>
      <c r="E14" s="255"/>
      <c r="F14" s="553">
        <f t="shared" ca="1" si="7"/>
        <v>0</v>
      </c>
      <c r="G14" s="370">
        <f t="shared" ca="1" si="4"/>
        <v>0</v>
      </c>
      <c r="H14" s="371">
        <f t="shared" ca="1" si="5"/>
        <v>0</v>
      </c>
      <c r="I14" s="528"/>
      <c r="J14" s="258">
        <f t="shared" ca="1" si="0"/>
        <v>0</v>
      </c>
      <c r="K14" s="255">
        <f t="shared" si="2"/>
        <v>6</v>
      </c>
      <c r="L14" s="255">
        <f t="shared" ca="1" si="6"/>
        <v>0</v>
      </c>
      <c r="M14" s="274">
        <f t="shared" ca="1" si="8"/>
        <v>0</v>
      </c>
      <c r="O14" s="259" t="s">
        <v>247</v>
      </c>
      <c r="P14" s="299">
        <f>Q5*VPCCost</f>
        <v>861.84</v>
      </c>
      <c r="Q14" s="300">
        <v>0</v>
      </c>
      <c r="R14" s="258">
        <f>Q14+P14</f>
        <v>861.84</v>
      </c>
      <c r="S14" s="316">
        <f>(R14/CapUCost)</f>
        <v>37.471304347826091</v>
      </c>
      <c r="U14" s="334">
        <f>(T5+P14)/CapUCost</f>
        <v>47.435072463768115</v>
      </c>
      <c r="V14" s="334">
        <f>(S5+P14)/CapUCost</f>
        <v>57.398840579710146</v>
      </c>
    </row>
    <row r="15" spans="2:22" x14ac:dyDescent="0.2">
      <c r="B15" s="254"/>
      <c r="C15" s="545" t="s">
        <v>229</v>
      </c>
      <c r="D15" s="356">
        <v>0</v>
      </c>
      <c r="E15" s="255"/>
      <c r="F15" s="553">
        <f ca="1">OFFSET($U$14,$K15,0)*D15</f>
        <v>0</v>
      </c>
      <c r="G15" s="370">
        <f ca="1">OFFSET($P$5,$K15,0)*D15</f>
        <v>0</v>
      </c>
      <c r="H15" s="371">
        <f ca="1">OFFSET($R$5,$K15,0)*D15</f>
        <v>0</v>
      </c>
      <c r="I15" s="528"/>
      <c r="J15" s="258">
        <f t="shared" ca="1" si="0"/>
        <v>0</v>
      </c>
      <c r="K15" s="343">
        <f>IF(D15=0,6,0)</f>
        <v>6</v>
      </c>
      <c r="L15" s="255">
        <f t="shared" ca="1" si="6"/>
        <v>0</v>
      </c>
      <c r="M15" s="274">
        <f t="shared" ca="1" si="8"/>
        <v>0</v>
      </c>
      <c r="O15" s="259" t="s">
        <v>277</v>
      </c>
      <c r="P15" s="299">
        <f>Q6*VPCCost</f>
        <v>1354.3200000000002</v>
      </c>
      <c r="Q15" s="300">
        <f>S6</f>
        <v>458.33333333333331</v>
      </c>
      <c r="R15" s="258">
        <f t="shared" ref="R15:R18" si="9">Q15+P15</f>
        <v>1812.6533333333334</v>
      </c>
      <c r="S15" s="316">
        <f>(R15/CapUCost)</f>
        <v>78.811014492753628</v>
      </c>
      <c r="U15" s="334">
        <f>(T6+P15)/CapUCost</f>
        <v>68.847246376811611</v>
      </c>
      <c r="V15" s="334">
        <f>(S6+P15)/CapUCost</f>
        <v>78.811014492753628</v>
      </c>
    </row>
    <row r="16" spans="2:22" x14ac:dyDescent="0.2">
      <c r="B16" s="254"/>
      <c r="C16" s="277"/>
      <c r="D16" s="339"/>
      <c r="E16" s="255"/>
      <c r="F16" s="555"/>
      <c r="G16" s="328"/>
      <c r="H16" s="375"/>
      <c r="I16" s="532"/>
      <c r="J16" s="258">
        <f t="shared" si="0"/>
        <v>0</v>
      </c>
      <c r="K16" s="255">
        <f t="shared" si="2"/>
        <v>6</v>
      </c>
      <c r="O16" s="259" t="s">
        <v>22</v>
      </c>
      <c r="P16" s="299">
        <f>Q7*VPCCost</f>
        <v>1354.3200000000002</v>
      </c>
      <c r="Q16" s="300">
        <f t="shared" ref="Q16:Q18" si="10">S7</f>
        <v>458.33333333333331</v>
      </c>
      <c r="R16" s="258">
        <f t="shared" si="9"/>
        <v>1812.6533333333334</v>
      </c>
      <c r="S16" s="316">
        <f>(R16/CapUCost)</f>
        <v>78.811014492753628</v>
      </c>
      <c r="U16" s="334">
        <f>(T7+P16)/CapUCost</f>
        <v>68.847246376811611</v>
      </c>
      <c r="V16" s="334">
        <f>(S7+P16)/CapUCost</f>
        <v>78.811014492753628</v>
      </c>
    </row>
    <row r="17" spans="2:22" ht="17" thickBot="1" x14ac:dyDescent="0.25">
      <c r="B17" s="254"/>
      <c r="C17" s="276" t="s">
        <v>222</v>
      </c>
      <c r="D17" s="357" t="s">
        <v>223</v>
      </c>
      <c r="E17" s="255"/>
      <c r="F17" s="556">
        <f ca="1">OFFSET($V$14,$K17,0)</f>
        <v>0</v>
      </c>
      <c r="G17" s="377">
        <f t="shared" ref="G17" ca="1" si="11">OFFSET($P$5,$K17,0)</f>
        <v>0</v>
      </c>
      <c r="H17" s="378">
        <f t="shared" ref="H17" ca="1" si="12">OFFSET($R$5,$K17,0)</f>
        <v>0</v>
      </c>
      <c r="I17" s="528"/>
      <c r="J17" s="258">
        <f t="shared" ca="1" si="0"/>
        <v>0</v>
      </c>
      <c r="K17" s="255">
        <f t="shared" si="2"/>
        <v>6</v>
      </c>
      <c r="O17" s="259" t="s">
        <v>278</v>
      </c>
      <c r="P17" s="299">
        <f>Q8*VPCCost</f>
        <v>1662.1200000000001</v>
      </c>
      <c r="Q17" s="300">
        <f t="shared" si="10"/>
        <v>458.33333333333331</v>
      </c>
      <c r="R17" s="258">
        <f t="shared" si="9"/>
        <v>2120.4533333333334</v>
      </c>
      <c r="S17" s="316">
        <f>(R17/CapUCost)</f>
        <v>92.193623188405795</v>
      </c>
      <c r="U17" s="334">
        <f>(T8+P17)/CapUCost</f>
        <v>82.229855072463778</v>
      </c>
      <c r="V17" s="334">
        <f>(S8+P17)/CapUCost</f>
        <v>92.193623188405795</v>
      </c>
    </row>
    <row r="18" spans="2:22" x14ac:dyDescent="0.2">
      <c r="B18" s="254"/>
      <c r="C18" s="255"/>
      <c r="D18" s="262"/>
      <c r="E18" s="255"/>
      <c r="F18" s="551"/>
      <c r="G18" s="328"/>
      <c r="H18" s="328"/>
      <c r="I18" s="528"/>
      <c r="J18" s="258">
        <f t="shared" si="0"/>
        <v>0</v>
      </c>
      <c r="K18" s="255">
        <f t="shared" si="2"/>
        <v>6</v>
      </c>
      <c r="O18" s="259" t="s">
        <v>53</v>
      </c>
      <c r="P18" s="299">
        <f>Q9*VPCCost</f>
        <v>2154.6</v>
      </c>
      <c r="Q18" s="300">
        <f t="shared" si="10"/>
        <v>458.33333333333331</v>
      </c>
      <c r="R18" s="310">
        <f t="shared" si="9"/>
        <v>2612.9333333333334</v>
      </c>
      <c r="S18" s="316">
        <f>(R18/CapUCost)</f>
        <v>113.60579710144928</v>
      </c>
      <c r="U18" s="334">
        <f>(T9+P18)/CapUCost</f>
        <v>103.64202898550724</v>
      </c>
      <c r="V18" s="334">
        <f>(S9+P18)/CapUCost</f>
        <v>113.60579710144928</v>
      </c>
    </row>
    <row r="19" spans="2:22" x14ac:dyDescent="0.2">
      <c r="B19" s="254"/>
      <c r="C19" s="255"/>
      <c r="D19" s="262"/>
      <c r="E19" s="255"/>
      <c r="F19" s="551"/>
      <c r="G19" s="328"/>
      <c r="H19" s="328"/>
      <c r="I19" s="528"/>
      <c r="J19" s="258"/>
    </row>
    <row r="20" spans="2:22" x14ac:dyDescent="0.2">
      <c r="B20" s="254"/>
      <c r="C20" s="273"/>
      <c r="D20" s="615" t="s">
        <v>400</v>
      </c>
      <c r="E20" s="255"/>
      <c r="F20" s="551"/>
      <c r="G20" s="328"/>
      <c r="H20" s="328"/>
      <c r="I20" s="528"/>
      <c r="J20" s="258"/>
    </row>
    <row r="21" spans="2:22" x14ac:dyDescent="0.2">
      <c r="B21" s="254"/>
      <c r="C21" s="255"/>
      <c r="D21" s="615"/>
      <c r="E21" s="255"/>
      <c r="F21" s="551"/>
      <c r="G21" s="328"/>
      <c r="H21" s="328"/>
      <c r="I21" s="528"/>
      <c r="J21" s="258"/>
    </row>
    <row r="22" spans="2:22" ht="17" thickBot="1" x14ac:dyDescent="0.25">
      <c r="B22" s="254"/>
      <c r="C22" s="255"/>
      <c r="D22" s="262"/>
      <c r="E22" s="255"/>
      <c r="F22" s="551"/>
      <c r="G22" s="328"/>
      <c r="H22" s="328"/>
      <c r="I22" s="528"/>
      <c r="J22" s="258"/>
    </row>
    <row r="23" spans="2:22" ht="17" thickBot="1" x14ac:dyDescent="0.25">
      <c r="B23" s="254"/>
      <c r="C23" s="255"/>
      <c r="D23" s="262"/>
      <c r="E23" s="255"/>
      <c r="F23" s="557" t="s">
        <v>232</v>
      </c>
      <c r="G23" s="380" t="s">
        <v>5</v>
      </c>
      <c r="H23" s="381" t="s">
        <v>6</v>
      </c>
      <c r="I23" s="529"/>
      <c r="J23" s="258"/>
    </row>
    <row r="24" spans="2:22" ht="17" thickBot="1" x14ac:dyDescent="0.25">
      <c r="B24" s="254"/>
      <c r="C24" s="255"/>
      <c r="D24" s="265" t="s">
        <v>442</v>
      </c>
      <c r="E24" s="255"/>
      <c r="F24" s="317">
        <f ca="1">SUM(F5:F18)</f>
        <v>0</v>
      </c>
      <c r="G24" s="383">
        <f ca="1">SUM(G5:G18)</f>
        <v>0</v>
      </c>
      <c r="H24" s="384">
        <f ca="1">SUM(H5:H18)</f>
        <v>0</v>
      </c>
      <c r="I24" s="528"/>
      <c r="J24" s="258">
        <f ca="1">CapUdiscounedpriceyearly*F24+VPCdiscountedpriceyearly*G24+GBstoragediscountedpriceyearly*H24</f>
        <v>0</v>
      </c>
      <c r="K24" s="255">
        <f>SUM(K5:K18)</f>
        <v>78</v>
      </c>
      <c r="L24" s="260">
        <f ca="1">SUM(L5:L16)</f>
        <v>0</v>
      </c>
      <c r="M24" s="274">
        <f ca="1">SUM(M6:M18)</f>
        <v>0</v>
      </c>
    </row>
    <row r="25" spans="2:22" x14ac:dyDescent="0.2">
      <c r="B25" s="254"/>
      <c r="C25" s="255"/>
      <c r="D25" s="262"/>
      <c r="E25" s="255"/>
      <c r="F25" s="551"/>
      <c r="G25" s="328"/>
      <c r="H25" s="328"/>
      <c r="I25" s="528"/>
      <c r="K25" s="255" t="b">
        <f>IF((COUNTIF(K5:K18,"&lt;6")),TRUE,FALSE)</f>
        <v>0</v>
      </c>
      <c r="L25" s="275"/>
    </row>
    <row r="26" spans="2:22" x14ac:dyDescent="0.2">
      <c r="B26" s="254"/>
      <c r="C26" s="255"/>
      <c r="D26" s="267" t="s">
        <v>321</v>
      </c>
      <c r="E26" s="255"/>
      <c r="F26" s="614" t="str">
        <f>K36</f>
        <v/>
      </c>
      <c r="G26" s="614"/>
      <c r="H26" s="614"/>
      <c r="I26" s="528"/>
      <c r="L26" s="274"/>
    </row>
    <row r="27" spans="2:22" x14ac:dyDescent="0.2">
      <c r="B27" s="254"/>
      <c r="C27" s="255"/>
      <c r="D27" s="262"/>
      <c r="E27" s="255"/>
      <c r="F27" s="614"/>
      <c r="G27" s="614"/>
      <c r="H27" s="614"/>
      <c r="I27" s="528"/>
    </row>
    <row r="28" spans="2:22" x14ac:dyDescent="0.2">
      <c r="B28" s="254"/>
      <c r="C28" s="255"/>
      <c r="D28" s="262"/>
      <c r="E28" s="255"/>
      <c r="F28" s="614"/>
      <c r="G28" s="614"/>
      <c r="H28" s="614"/>
      <c r="I28" s="528"/>
    </row>
    <row r="29" spans="2:22" x14ac:dyDescent="0.2">
      <c r="B29" s="254"/>
      <c r="C29" s="255"/>
      <c r="D29" s="262"/>
      <c r="E29" s="255"/>
      <c r="F29" s="614"/>
      <c r="G29" s="614"/>
      <c r="H29" s="614"/>
      <c r="I29" s="528"/>
    </row>
    <row r="30" spans="2:22" x14ac:dyDescent="0.2">
      <c r="B30" s="254"/>
      <c r="C30" s="255"/>
      <c r="D30" s="262"/>
      <c r="E30" s="255"/>
      <c r="F30" s="614"/>
      <c r="G30" s="614"/>
      <c r="H30" s="614"/>
      <c r="I30" s="528"/>
    </row>
    <row r="31" spans="2:22" x14ac:dyDescent="0.2">
      <c r="B31" s="254"/>
      <c r="C31" s="255"/>
      <c r="D31" s="262"/>
      <c r="E31" s="255"/>
      <c r="F31" s="614"/>
      <c r="G31" s="614"/>
      <c r="H31" s="614"/>
      <c r="I31" s="528"/>
    </row>
    <row r="32" spans="2:22" x14ac:dyDescent="0.2">
      <c r="B32" s="254"/>
      <c r="C32" s="255"/>
      <c r="D32" s="262"/>
      <c r="E32" s="255"/>
      <c r="F32" s="614"/>
      <c r="G32" s="614"/>
      <c r="H32" s="614"/>
      <c r="I32" s="528"/>
    </row>
    <row r="33" spans="2:11" x14ac:dyDescent="0.2">
      <c r="B33" s="254"/>
      <c r="C33" s="255"/>
      <c r="D33" s="262"/>
      <c r="E33" s="255"/>
      <c r="F33" s="614"/>
      <c r="G33" s="614"/>
      <c r="H33" s="614"/>
      <c r="I33" s="528"/>
    </row>
    <row r="34" spans="2:11" x14ac:dyDescent="0.2">
      <c r="B34" s="254"/>
      <c r="C34" s="255"/>
      <c r="D34" s="262"/>
      <c r="E34" s="255"/>
      <c r="F34" s="614"/>
      <c r="G34" s="614"/>
      <c r="H34" s="614"/>
      <c r="I34" s="528"/>
    </row>
    <row r="35" spans="2:11" x14ac:dyDescent="0.2">
      <c r="B35" s="254"/>
      <c r="C35" s="255"/>
      <c r="D35" s="262"/>
      <c r="E35" s="255"/>
      <c r="F35" s="614"/>
      <c r="G35" s="614"/>
      <c r="H35" s="614"/>
      <c r="I35" s="528"/>
    </row>
    <row r="36" spans="2:11" x14ac:dyDescent="0.2">
      <c r="B36" s="269"/>
      <c r="C36" s="270"/>
      <c r="D36" s="271"/>
      <c r="E36" s="270"/>
      <c r="F36" s="558"/>
      <c r="G36" s="559"/>
      <c r="H36" s="559"/>
      <c r="I36" s="540"/>
      <c r="J36" s="259" t="b">
        <f>IF(COUNTIF(K4:K15,5),TRUE,FALSE)</f>
        <v>0</v>
      </c>
      <c r="K36" s="258" t="str">
        <f>IF(J36,"Error: Quote contains Beyond Large size, contact Drew.A.Sens@ibm.com for custom quote","")</f>
        <v/>
      </c>
    </row>
  </sheetData>
  <sheetProtection algorithmName="SHA-512" hashValue="GjwuTtBxZ47/GTiLWFFms9J/9LOHeEFKnyXi54cKxBd67pLeap8HZhVhH14qnFQuDiaPNlgv/vj1xLdYb0kvDw==" saltValue="a1QdyjQ2gzAet03CH6yG2w==" spinCount="100000" sheet="1" objects="1" scenarios="1"/>
  <dataConsolidate/>
  <mergeCells count="4">
    <mergeCell ref="P3:Q3"/>
    <mergeCell ref="Q12:S12"/>
    <mergeCell ref="D20:D21"/>
    <mergeCell ref="F26:H35"/>
  </mergeCells>
  <dataValidations count="4">
    <dataValidation type="list" allowBlank="1" showInputMessage="1" showErrorMessage="1" sqref="D6" xr:uid="{DBE7AB52-4167-B446-A4DC-D8170B3F2E45}">
      <formula1>Predictsizes</formula1>
    </dataValidation>
    <dataValidation type="list" allowBlank="1" showInputMessage="1" showErrorMessage="1" sqref="D10:D14" xr:uid="{ECD08D14-8678-7F49-9C37-D4CD16097A63}">
      <formula1>predictsizesyesno</formula1>
    </dataValidation>
    <dataValidation type="list" allowBlank="1" showInputMessage="1" showErrorMessage="1" sqref="D15" xr:uid="{3DEAD000-5DA3-5946-8F35-350DE0D9C6FA}">
      <formula1>zerothroughten</formula1>
    </dataValidation>
    <dataValidation type="list" allowBlank="1" showInputMessage="1" showErrorMessage="1" sqref="D17" xr:uid="{88C944F1-D06A-E249-9273-3EB5A70B7196}">
      <formula1>monitorpoc</formula1>
    </dataValidation>
  </dataValidations>
  <hyperlinks>
    <hyperlink ref="D20" location="'Output Dashboard'!A1" display="Go to Output Dashboard" xr:uid="{B4A5C51C-F449-FA4E-8F42-96AA85ADD130}"/>
    <hyperlink ref="C7" r:id="rId1" display="See more details around sizing for Health &amp; Predict based on Number of Assets" xr:uid="{15D5BC92-BFC9-2B46-81E7-C431B5547B7C}"/>
    <hyperlink ref="I6" r:id="rId2" display="Deeper Predict Sizing can be done on 'predict Data points' tab here" xr:uid="{AC4938EF-F546-F949-B87B-9459B0E7AB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E780-FF99-EB4A-A3E8-DD9D0BD809E9}">
  <sheetPr codeName="Sheet7">
    <tabColor theme="9" tint="0.79998168889431442"/>
  </sheetPr>
  <dimension ref="A1:AC48"/>
  <sheetViews>
    <sheetView zoomScale="110" zoomScaleNormal="125" workbookViewId="0">
      <selection activeCell="C24" sqref="C24"/>
    </sheetView>
  </sheetViews>
  <sheetFormatPr baseColWidth="10" defaultRowHeight="16" outlineLevelCol="1" x14ac:dyDescent="0.2"/>
  <cols>
    <col min="1" max="1" width="1.83203125" style="259" customWidth="1"/>
    <col min="2" max="2" width="6" style="259" customWidth="1"/>
    <col min="3" max="3" width="73.83203125" style="259" customWidth="1"/>
    <col min="4" max="4" width="36.5" style="386" bestFit="1" customWidth="1"/>
    <col min="5" max="5" width="2.6640625" style="259" customWidth="1"/>
    <col min="6" max="6" width="19.5" style="326" bestFit="1" customWidth="1"/>
    <col min="7" max="7" width="17.6640625" style="259" customWidth="1"/>
    <col min="8" max="8" width="17.83203125" style="259" customWidth="1"/>
    <col min="9" max="9" width="46.83203125" style="526" customWidth="1"/>
    <col min="10" max="10" width="23.6640625" style="261" hidden="1" customWidth="1" outlineLevel="1"/>
    <col min="11" max="11" width="15.33203125" style="255" hidden="1" customWidth="1" outlineLevel="1"/>
    <col min="12" max="12" width="20.83203125" style="259" hidden="1" customWidth="1" outlineLevel="1"/>
    <col min="13" max="13" width="13" style="274" hidden="1" customWidth="1" outlineLevel="1"/>
    <col min="14" max="15" width="10.83203125" style="259" hidden="1" customWidth="1" outlineLevel="1"/>
    <col min="16" max="16" width="13.5" style="259" hidden="1" customWidth="1" outlineLevel="1"/>
    <col min="17" max="19" width="10.83203125" style="259" hidden="1" customWidth="1" outlineLevel="1"/>
    <col min="20" max="20" width="13.83203125" style="259" hidden="1" customWidth="1" outlineLevel="1"/>
    <col min="21" max="21" width="14.1640625" style="259" hidden="1" customWidth="1" outlineLevel="1"/>
    <col min="22" max="22" width="20" style="259" hidden="1" customWidth="1" outlineLevel="1"/>
    <col min="23" max="23" width="25.1640625" style="259" hidden="1" customWidth="1" outlineLevel="1"/>
    <col min="24" max="24" width="15.1640625" style="259" hidden="1" customWidth="1" outlineLevel="1"/>
    <col min="25" max="28" width="10.83203125" style="259" hidden="1" customWidth="1" outlineLevel="1"/>
    <col min="29" max="29" width="10.83203125" style="259" collapsed="1"/>
    <col min="30" max="16384" width="10.83203125" style="259"/>
  </cols>
  <sheetData>
    <row r="1" spans="2:24" ht="9" customHeight="1" x14ac:dyDescent="0.2"/>
    <row r="2" spans="2:24" ht="13" customHeight="1" x14ac:dyDescent="0.2">
      <c r="B2" s="280" t="str">
        <f>'Output Dashboard'!B2</f>
        <v>MAS Managed Service Calculator 5.4</v>
      </c>
      <c r="C2" s="281"/>
      <c r="D2" s="346"/>
      <c r="E2" s="281"/>
      <c r="F2" s="347"/>
      <c r="G2" s="281"/>
      <c r="H2" s="281"/>
      <c r="I2" s="527"/>
      <c r="J2" s="258"/>
      <c r="V2" s="259" t="s">
        <v>480</v>
      </c>
      <c r="W2" s="259" t="s">
        <v>479</v>
      </c>
    </row>
    <row r="3" spans="2:24" ht="17" thickBot="1" x14ac:dyDescent="0.25">
      <c r="B3" s="283" t="s">
        <v>450</v>
      </c>
      <c r="C3" s="255"/>
      <c r="D3" s="262"/>
      <c r="E3" s="255"/>
      <c r="F3" s="321"/>
      <c r="G3" s="255"/>
      <c r="H3" s="255"/>
      <c r="I3" s="528"/>
      <c r="J3" s="258"/>
      <c r="L3" s="259" t="s">
        <v>548</v>
      </c>
      <c r="P3" s="610" t="s">
        <v>4</v>
      </c>
      <c r="Q3" s="610"/>
      <c r="V3" s="259" t="b">
        <f>NOT(AND(Issafetydeployed,Ismonitoreddeployed))</f>
        <v>1</v>
      </c>
      <c r="W3" s="259" t="b">
        <f>OR(Issafetydeployed,Ismonitoreddeployed)</f>
        <v>0</v>
      </c>
    </row>
    <row r="4" spans="2:24" ht="16" customHeight="1" thickBot="1" x14ac:dyDescent="0.25">
      <c r="B4" s="254"/>
      <c r="C4" s="255"/>
      <c r="D4" s="262"/>
      <c r="E4" s="255"/>
      <c r="F4" s="349" t="s">
        <v>232</v>
      </c>
      <c r="G4" s="285" t="s">
        <v>5</v>
      </c>
      <c r="H4" s="286" t="s">
        <v>6</v>
      </c>
      <c r="I4" s="529" t="s">
        <v>388</v>
      </c>
      <c r="J4" s="350" t="s">
        <v>403</v>
      </c>
      <c r="K4" s="288" t="s">
        <v>7</v>
      </c>
      <c r="L4" s="289" t="s">
        <v>295</v>
      </c>
      <c r="M4" s="351" t="s">
        <v>302</v>
      </c>
      <c r="P4" s="259" t="s">
        <v>565</v>
      </c>
      <c r="Q4" s="259" t="s">
        <v>474</v>
      </c>
      <c r="R4" s="259" t="s">
        <v>280</v>
      </c>
      <c r="S4" s="259" t="s">
        <v>378</v>
      </c>
      <c r="T4" s="259" t="s">
        <v>282</v>
      </c>
      <c r="V4" s="259" t="s">
        <v>477</v>
      </c>
      <c r="W4" s="259" t="s">
        <v>478</v>
      </c>
      <c r="X4" s="259" t="s">
        <v>481</v>
      </c>
    </row>
    <row r="5" spans="2:24" ht="17" thickBot="1" x14ac:dyDescent="0.25">
      <c r="B5" s="254"/>
      <c r="C5" s="291" t="s">
        <v>451</v>
      </c>
      <c r="D5" s="292" t="str">
        <f>IF(D6="None","No","Yes")</f>
        <v>No</v>
      </c>
      <c r="E5" s="255"/>
      <c r="F5" s="352"/>
      <c r="G5" s="353"/>
      <c r="H5" s="354"/>
      <c r="I5" s="622" t="s">
        <v>483</v>
      </c>
      <c r="J5" s="258"/>
      <c r="O5" s="259" t="s">
        <v>247</v>
      </c>
      <c r="P5" s="259">
        <f>safetyvpcsmall+W5</f>
        <v>10</v>
      </c>
      <c r="Q5" s="259">
        <v>0</v>
      </c>
      <c r="R5" s="259">
        <f>safetydbgbsmall</f>
        <v>1</v>
      </c>
      <c r="S5" s="293">
        <v>458.33333333333331</v>
      </c>
      <c r="T5" s="299">
        <f>T6</f>
        <v>229.16666666666666</v>
      </c>
      <c r="V5" s="259">
        <f>Iotpvpcdev</f>
        <v>7</v>
      </c>
      <c r="W5" s="259">
        <f>IF($V$3,V5,0)</f>
        <v>7</v>
      </c>
      <c r="X5" s="259">
        <v>458.33333333333331</v>
      </c>
    </row>
    <row r="6" spans="2:24" x14ac:dyDescent="0.2">
      <c r="B6" s="254"/>
      <c r="C6" s="279" t="s">
        <v>452</v>
      </c>
      <c r="D6" s="356" t="s">
        <v>223</v>
      </c>
      <c r="E6" s="255"/>
      <c r="F6" s="335">
        <f ca="1">OFFSET($S$14,$K6,0)</f>
        <v>0</v>
      </c>
      <c r="G6" s="336">
        <f ca="1">OFFSET($P$5,$K6,0)</f>
        <v>0</v>
      </c>
      <c r="H6" s="337">
        <f ca="1">OFFSET($R$5,$K6,0)</f>
        <v>0</v>
      </c>
      <c r="I6" s="622"/>
      <c r="J6" s="258">
        <f t="shared" ref="J6:J18" ca="1" si="0">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O6" s="259" t="s">
        <v>277</v>
      </c>
      <c r="P6" s="259">
        <f>safetyvpcsmall+W6</f>
        <v>17</v>
      </c>
      <c r="Q6" s="259">
        <v>0</v>
      </c>
      <c r="R6" s="259">
        <f>safetydbgbsmall</f>
        <v>1</v>
      </c>
      <c r="S6" s="293">
        <v>458.33333333333331</v>
      </c>
      <c r="T6" s="299">
        <f t="shared" ref="T6:T9" si="1">S6/2</f>
        <v>229.16666666666666</v>
      </c>
      <c r="V6" s="259">
        <f>Iotpvpcxsmall</f>
        <v>14</v>
      </c>
      <c r="W6" s="259">
        <f t="shared" ref="W6:W9" si="2">IF($V$3,V6,0)</f>
        <v>14</v>
      </c>
      <c r="X6" s="259">
        <v>458.33333333333331</v>
      </c>
    </row>
    <row r="7" spans="2:24" x14ac:dyDescent="0.2">
      <c r="B7" s="254"/>
      <c r="C7" s="255" t="s">
        <v>593</v>
      </c>
      <c r="D7" s="262"/>
      <c r="E7" s="255"/>
      <c r="F7" s="340"/>
      <c r="G7" s="329"/>
      <c r="H7" s="344"/>
      <c r="I7" s="530" t="str">
        <f>IF(K6=5,"Quote contains Beyond Large size, contact Drew.A.Sens@ibm.com for custom quote","")</f>
        <v/>
      </c>
      <c r="J7" s="258">
        <f t="shared" si="0"/>
        <v>0</v>
      </c>
      <c r="K7" s="255">
        <f t="shared" ref="K7:K18" si="3">IF(ISNUMBER(SEARCH("Dev",D7)),0,IF(ISNUMBER(SEARCH("xSmall",D7)),1,IF(ISNUMBER(SEARCH("Small",D7)),2,IF(ISNUMBER(SEARCH("Medium",D7)),3,IF(ISNUMBER(SEARCH("Beyond Large",D7)),5,IF(ISNUMBER(SEARCH("Large",D7)),4,6))))))</f>
        <v>6</v>
      </c>
      <c r="L7" s="255"/>
      <c r="M7" s="274">
        <f ca="1">OFFSET($Q$14,$K7,0)</f>
        <v>0</v>
      </c>
      <c r="O7" s="259" t="s">
        <v>22</v>
      </c>
      <c r="P7" s="259">
        <f>safetyvpcsmall+W7</f>
        <v>17</v>
      </c>
      <c r="Q7" s="259">
        <v>0</v>
      </c>
      <c r="R7" s="259">
        <f>safetydbgbsmall</f>
        <v>1</v>
      </c>
      <c r="S7" s="293">
        <v>458.33333333333331</v>
      </c>
      <c r="T7" s="299">
        <f t="shared" si="1"/>
        <v>229.16666666666666</v>
      </c>
      <c r="V7" s="259">
        <f>Iotpvpcsmall</f>
        <v>14</v>
      </c>
      <c r="W7" s="259">
        <f t="shared" si="2"/>
        <v>14</v>
      </c>
      <c r="X7" s="259">
        <v>458.33333333333331</v>
      </c>
    </row>
    <row r="8" spans="2:24" ht="17" thickBot="1" x14ac:dyDescent="0.25">
      <c r="B8" s="254"/>
      <c r="C8" s="227"/>
      <c r="D8" s="305"/>
      <c r="E8" s="255"/>
      <c r="F8" s="340"/>
      <c r="G8" s="329"/>
      <c r="H8" s="344"/>
      <c r="I8" s="528"/>
      <c r="J8" s="258">
        <f t="shared" si="0"/>
        <v>0</v>
      </c>
      <c r="K8" s="255">
        <f t="shared" si="3"/>
        <v>6</v>
      </c>
      <c r="L8" s="255"/>
      <c r="M8" s="274">
        <f ca="1">OFFSET($Q$14,$K8,0)</f>
        <v>0</v>
      </c>
      <c r="O8" s="259" t="s">
        <v>278</v>
      </c>
      <c r="P8" s="259">
        <f>safetyvpcmedium+W8</f>
        <v>29</v>
      </c>
      <c r="Q8" s="259">
        <v>0</v>
      </c>
      <c r="R8" s="259">
        <f>safetydbgbmedium</f>
        <v>5</v>
      </c>
      <c r="S8" s="293">
        <v>458.33333333333331</v>
      </c>
      <c r="T8" s="299">
        <f t="shared" si="1"/>
        <v>229.16666666666666</v>
      </c>
      <c r="V8" s="259">
        <f>Iotpvpcmedium</f>
        <v>24</v>
      </c>
      <c r="W8" s="259">
        <f t="shared" si="2"/>
        <v>24</v>
      </c>
      <c r="X8" s="259">
        <v>458.33333333333331</v>
      </c>
    </row>
    <row r="9" spans="2:24" ht="17" thickBot="1" x14ac:dyDescent="0.25">
      <c r="B9" s="254"/>
      <c r="C9" s="291" t="s">
        <v>473</v>
      </c>
      <c r="D9" s="292" t="str">
        <f>IF((IF((COUNTIF(K10:K17,"&lt;6")),TRUE,FALSE))*Issafetydeployed,"Yes","No")</f>
        <v>No</v>
      </c>
      <c r="E9" s="255"/>
      <c r="F9" s="340"/>
      <c r="G9" s="329"/>
      <c r="H9" s="344"/>
      <c r="I9" s="528"/>
      <c r="J9" s="258">
        <f t="shared" si="0"/>
        <v>0</v>
      </c>
      <c r="K9" s="255">
        <v>6</v>
      </c>
      <c r="L9" s="255"/>
      <c r="M9" s="274">
        <f ca="1">OFFSET($Q$14,$K9,0)</f>
        <v>0</v>
      </c>
      <c r="O9" s="259" t="s">
        <v>53</v>
      </c>
      <c r="P9" s="259">
        <f>safetyvpclarge+W9</f>
        <v>110</v>
      </c>
      <c r="Q9" s="259">
        <v>0</v>
      </c>
      <c r="R9" s="259">
        <f>safetydbgblarge</f>
        <v>50</v>
      </c>
      <c r="S9" s="293">
        <v>458.33333333333331</v>
      </c>
      <c r="T9" s="299">
        <f t="shared" si="1"/>
        <v>229.16666666666666</v>
      </c>
      <c r="V9" s="259">
        <f>Iotpvpclarge</f>
        <v>100</v>
      </c>
      <c r="W9" s="259">
        <f t="shared" si="2"/>
        <v>100</v>
      </c>
      <c r="X9" s="259">
        <v>458.33333333333331</v>
      </c>
    </row>
    <row r="10" spans="2:24" x14ac:dyDescent="0.2">
      <c r="B10" s="254"/>
      <c r="C10" s="279" t="s">
        <v>224</v>
      </c>
      <c r="D10" s="356" t="s">
        <v>223</v>
      </c>
      <c r="E10" s="255"/>
      <c r="F10" s="335">
        <f ca="1">IF(D5="yes",OFFSET($S$14,$K10,0),OFFSET($U$14,$K10,0))</f>
        <v>0</v>
      </c>
      <c r="G10" s="336">
        <f ca="1">OFFSET($P$5,$K10,0)</f>
        <v>0</v>
      </c>
      <c r="H10" s="337">
        <f ca="1">OFFSET($R$5,$K10,0)</f>
        <v>0</v>
      </c>
      <c r="I10" s="531"/>
      <c r="J10" s="258">
        <f t="shared" ca="1" si="0"/>
        <v>0</v>
      </c>
      <c r="K10" s="255">
        <f t="shared" si="3"/>
        <v>6</v>
      </c>
      <c r="L10" s="255">
        <f t="shared" ref="L10:L15" ca="1" si="4">OFFSET($Q$5,$K10,0)</f>
        <v>0</v>
      </c>
      <c r="M10" s="274">
        <f ca="1">OFFSET($Q$14,$K10,0)</f>
        <v>0</v>
      </c>
    </row>
    <row r="11" spans="2:24" x14ac:dyDescent="0.2">
      <c r="B11" s="254"/>
      <c r="C11" s="279" t="s">
        <v>225</v>
      </c>
      <c r="D11" s="356" t="s">
        <v>223</v>
      </c>
      <c r="E11" s="255"/>
      <c r="F11" s="335">
        <f ca="1">OFFSET($U$14,$K11,0)</f>
        <v>0</v>
      </c>
      <c r="G11" s="336">
        <f ca="1">OFFSET($P$5,$K11,0)</f>
        <v>0</v>
      </c>
      <c r="H11" s="337">
        <f ca="1">OFFSET($R$5,$K11,0)</f>
        <v>0</v>
      </c>
      <c r="I11" s="528"/>
      <c r="J11" s="258">
        <f t="shared" ca="1" si="0"/>
        <v>0</v>
      </c>
      <c r="K11" s="255">
        <f t="shared" si="3"/>
        <v>6</v>
      </c>
      <c r="L11" s="255">
        <f t="shared" ca="1" si="4"/>
        <v>0</v>
      </c>
      <c r="M11" s="274">
        <f ca="1">OFFSET($T$5,$K11,0)</f>
        <v>0</v>
      </c>
    </row>
    <row r="12" spans="2:24" x14ac:dyDescent="0.2">
      <c r="B12" s="254"/>
      <c r="C12" s="279" t="s">
        <v>226</v>
      </c>
      <c r="D12" s="356" t="s">
        <v>223</v>
      </c>
      <c r="E12" s="255"/>
      <c r="F12" s="335">
        <f ca="1">OFFSET($U$14,$K12,0)</f>
        <v>0</v>
      </c>
      <c r="G12" s="336">
        <f ca="1">OFFSET($P$5,$K12,0)</f>
        <v>0</v>
      </c>
      <c r="H12" s="337">
        <f ca="1">OFFSET($R$5,$K12,0)</f>
        <v>0</v>
      </c>
      <c r="I12" s="528"/>
      <c r="J12" s="258">
        <f t="shared" ca="1" si="0"/>
        <v>0</v>
      </c>
      <c r="K12" s="255">
        <f t="shared" si="3"/>
        <v>6</v>
      </c>
      <c r="L12" s="255">
        <f t="shared" ca="1" si="4"/>
        <v>0</v>
      </c>
      <c r="M12" s="274">
        <f ca="1">OFFSET($T$5,$K12,0)</f>
        <v>0</v>
      </c>
      <c r="Q12" s="611" t="s">
        <v>285</v>
      </c>
      <c r="R12" s="612"/>
      <c r="S12" s="613"/>
    </row>
    <row r="13" spans="2:24" x14ac:dyDescent="0.2">
      <c r="B13" s="254"/>
      <c r="C13" s="279" t="s">
        <v>227</v>
      </c>
      <c r="D13" s="356" t="s">
        <v>223</v>
      </c>
      <c r="E13" s="255"/>
      <c r="F13" s="335">
        <f ca="1">OFFSET($U$14,$K13,0)</f>
        <v>0</v>
      </c>
      <c r="G13" s="336">
        <f ca="1">OFFSET($P$5,$K13,0)</f>
        <v>0</v>
      </c>
      <c r="H13" s="337">
        <f ca="1">OFFSET($R$5,$K13,0)</f>
        <v>0</v>
      </c>
      <c r="I13" s="528"/>
      <c r="J13" s="258">
        <f t="shared" ca="1" si="0"/>
        <v>0</v>
      </c>
      <c r="K13" s="255">
        <f t="shared" si="3"/>
        <v>6</v>
      </c>
      <c r="L13" s="255">
        <f t="shared" ca="1" si="4"/>
        <v>0</v>
      </c>
      <c r="M13" s="274">
        <f ca="1">OFFSET($T$5,$K13,0)</f>
        <v>0</v>
      </c>
      <c r="P13" s="259" t="s">
        <v>289</v>
      </c>
      <c r="Q13" s="254" t="s">
        <v>281</v>
      </c>
      <c r="R13" s="255" t="s">
        <v>283</v>
      </c>
      <c r="S13" s="257" t="s">
        <v>284</v>
      </c>
      <c r="T13" s="298"/>
      <c r="U13" s="259" t="s">
        <v>286</v>
      </c>
      <c r="V13" s="259" t="s">
        <v>330</v>
      </c>
    </row>
    <row r="14" spans="2:24" x14ac:dyDescent="0.2">
      <c r="B14" s="254"/>
      <c r="C14" s="279" t="s">
        <v>228</v>
      </c>
      <c r="D14" s="356" t="s">
        <v>223</v>
      </c>
      <c r="E14" s="255"/>
      <c r="F14" s="335">
        <f ca="1">OFFSET($U$14,$K14,0)</f>
        <v>0</v>
      </c>
      <c r="G14" s="336">
        <f ca="1">OFFSET($P$5,$K14,0)</f>
        <v>0</v>
      </c>
      <c r="H14" s="337">
        <f ca="1">OFFSET($R$5,$K14,0)</f>
        <v>0</v>
      </c>
      <c r="I14" s="528"/>
      <c r="J14" s="258">
        <f t="shared" ca="1" si="0"/>
        <v>0</v>
      </c>
      <c r="K14" s="255">
        <f t="shared" si="3"/>
        <v>6</v>
      </c>
      <c r="L14" s="255">
        <f t="shared" ca="1" si="4"/>
        <v>0</v>
      </c>
      <c r="M14" s="274">
        <f ca="1">OFFSET($T$5,$K14,0)</f>
        <v>0</v>
      </c>
      <c r="O14" s="259" t="s">
        <v>247</v>
      </c>
      <c r="P14" s="299">
        <f>Q5*VPCCost</f>
        <v>0</v>
      </c>
      <c r="Q14" s="300">
        <v>0</v>
      </c>
      <c r="R14" s="258">
        <f>Q14+P14</f>
        <v>0</v>
      </c>
      <c r="S14" s="316">
        <f>((R14)/CapUCost)</f>
        <v>0</v>
      </c>
      <c r="U14" s="334">
        <f>(T5+P14+X5/2)/CapUCost</f>
        <v>19.927536231884059</v>
      </c>
      <c r="V14" s="334">
        <f>(S5+P14+X5)/CapUCost</f>
        <v>39.855072463768117</v>
      </c>
    </row>
    <row r="15" spans="2:24" x14ac:dyDescent="0.2">
      <c r="B15" s="254"/>
      <c r="C15" s="276" t="s">
        <v>229</v>
      </c>
      <c r="D15" s="356">
        <v>0</v>
      </c>
      <c r="E15" s="255"/>
      <c r="F15" s="335">
        <f ca="1">OFFSET($U$14,$K15,0)*D15</f>
        <v>0</v>
      </c>
      <c r="G15" s="336">
        <f ca="1">OFFSET($P$5,$K15,0)*D15</f>
        <v>0</v>
      </c>
      <c r="H15" s="337">
        <f ca="1">OFFSET($R$5,$K15,0)*D15</f>
        <v>0</v>
      </c>
      <c r="I15" s="528"/>
      <c r="J15" s="258">
        <f t="shared" ca="1" si="0"/>
        <v>0</v>
      </c>
      <c r="K15" s="343">
        <f>IF(D15=0,6,0)</f>
        <v>6</v>
      </c>
      <c r="L15" s="255">
        <f t="shared" ca="1" si="4"/>
        <v>0</v>
      </c>
      <c r="M15" s="274">
        <f ca="1">OFFSET($T$5,$K15,0)</f>
        <v>0</v>
      </c>
      <c r="O15" s="259" t="s">
        <v>277</v>
      </c>
      <c r="P15" s="299">
        <f>Q6*VPCCost</f>
        <v>0</v>
      </c>
      <c r="Q15" s="300">
        <f>S6</f>
        <v>458.33333333333331</v>
      </c>
      <c r="R15" s="258">
        <f t="shared" ref="R15:R18" si="5">Q15+P15</f>
        <v>458.33333333333331</v>
      </c>
      <c r="S15" s="316">
        <f>((R15+X6)/CapUCost)</f>
        <v>39.855072463768117</v>
      </c>
      <c r="U15" s="334">
        <f>(T6+P15+X6/2)/CapUCost</f>
        <v>19.927536231884059</v>
      </c>
      <c r="V15" s="334">
        <f>(S6+P15+X6)/CapUCost</f>
        <v>39.855072463768117</v>
      </c>
    </row>
    <row r="16" spans="2:24" x14ac:dyDescent="0.2">
      <c r="B16" s="254"/>
      <c r="C16" s="277"/>
      <c r="D16" s="339"/>
      <c r="E16" s="255"/>
      <c r="F16" s="340"/>
      <c r="G16" s="329"/>
      <c r="H16" s="341"/>
      <c r="I16" s="532"/>
      <c r="J16" s="258">
        <f t="shared" si="0"/>
        <v>0</v>
      </c>
      <c r="K16" s="255">
        <f t="shared" si="3"/>
        <v>6</v>
      </c>
      <c r="O16" s="259" t="s">
        <v>22</v>
      </c>
      <c r="P16" s="299">
        <f>Q7*VPCCost</f>
        <v>0</v>
      </c>
      <c r="Q16" s="300">
        <f t="shared" ref="Q16:Q18" si="6">S7</f>
        <v>458.33333333333331</v>
      </c>
      <c r="R16" s="258">
        <f t="shared" si="5"/>
        <v>458.33333333333331</v>
      </c>
      <c r="S16" s="316">
        <f>((R16+X7)/CapUCost)</f>
        <v>39.855072463768117</v>
      </c>
      <c r="U16" s="334">
        <f>(T7+P16+X7/2)/CapUCost</f>
        <v>19.927536231884059</v>
      </c>
      <c r="V16" s="334">
        <f>(S7+P16+X7)/CapUCost</f>
        <v>39.855072463768117</v>
      </c>
    </row>
    <row r="17" spans="2:22" x14ac:dyDescent="0.2">
      <c r="B17" s="254"/>
      <c r="C17" s="276" t="s">
        <v>222</v>
      </c>
      <c r="D17" s="357" t="s">
        <v>223</v>
      </c>
      <c r="E17" s="255"/>
      <c r="F17" s="335">
        <f ca="1">OFFSET($V$14,$K17,0)</f>
        <v>0</v>
      </c>
      <c r="G17" s="336">
        <f ca="1">OFFSET($P$5,$K17,0)</f>
        <v>0</v>
      </c>
      <c r="H17" s="337">
        <f ca="1">OFFSET($R$5,$K17,0)</f>
        <v>0</v>
      </c>
      <c r="I17" s="528"/>
      <c r="J17" s="258">
        <f t="shared" ca="1" si="0"/>
        <v>0</v>
      </c>
      <c r="K17" s="255">
        <f t="shared" si="3"/>
        <v>6</v>
      </c>
      <c r="O17" s="259" t="s">
        <v>278</v>
      </c>
      <c r="P17" s="299">
        <f>Q8*VPCCost</f>
        <v>0</v>
      </c>
      <c r="Q17" s="300">
        <f t="shared" si="6"/>
        <v>458.33333333333331</v>
      </c>
      <c r="R17" s="258">
        <f t="shared" si="5"/>
        <v>458.33333333333331</v>
      </c>
      <c r="S17" s="316">
        <f>((R17+X8)/CapUCost)</f>
        <v>39.855072463768117</v>
      </c>
      <c r="U17" s="334">
        <f>(T8+P17+X8/2)/CapUCost</f>
        <v>19.927536231884059</v>
      </c>
      <c r="V17" s="334">
        <f>(S8+P17+X8)/CapUCost</f>
        <v>39.855072463768117</v>
      </c>
    </row>
    <row r="18" spans="2:22" ht="17" thickBot="1" x14ac:dyDescent="0.25">
      <c r="B18" s="254"/>
      <c r="C18" s="279"/>
      <c r="D18" s="330"/>
      <c r="E18" s="255"/>
      <c r="F18" s="331"/>
      <c r="G18" s="332"/>
      <c r="H18" s="333"/>
      <c r="I18" s="528"/>
      <c r="J18" s="258">
        <f t="shared" si="0"/>
        <v>0</v>
      </c>
      <c r="K18" s="255">
        <f t="shared" si="3"/>
        <v>6</v>
      </c>
      <c r="O18" s="259" t="s">
        <v>53</v>
      </c>
      <c r="P18" s="299">
        <f>Q9*VPCCost</f>
        <v>0</v>
      </c>
      <c r="Q18" s="300">
        <f t="shared" si="6"/>
        <v>458.33333333333331</v>
      </c>
      <c r="R18" s="310">
        <f t="shared" si="5"/>
        <v>458.33333333333331</v>
      </c>
      <c r="S18" s="316">
        <f>((R18+X9)/CapUCost)</f>
        <v>39.855072463768117</v>
      </c>
      <c r="U18" s="334">
        <f>(T9+P18+X9/2)/CapUCost</f>
        <v>19.927536231884059</v>
      </c>
      <c r="V18" s="334">
        <f>(S9+P18+X9)/CapUCost</f>
        <v>39.855072463768117</v>
      </c>
    </row>
    <row r="19" spans="2:22" x14ac:dyDescent="0.2">
      <c r="B19" s="254"/>
      <c r="C19" s="227"/>
      <c r="D19" s="262"/>
      <c r="E19" s="528"/>
      <c r="F19" s="328"/>
      <c r="G19" s="329"/>
      <c r="H19" s="329"/>
      <c r="I19" s="528"/>
      <c r="J19" s="258"/>
      <c r="K19" s="255">
        <f>IF(ISNUMBER(SEARCH("Dev",#REF!)),0,IF(ISNUMBER(SEARCH("xSmall",#REF!)),1,IF(ISNUMBER(SEARCH("Small",#REF!)),2,IF(ISNUMBER(SEARCH("Medium",#REF!)),3,IF(ISNUMBER(SEARCH("Beyond Large",#REF!)),5,IF(ISNUMBER(SEARCH("Large",#REF!)),4,6))))))</f>
        <v>6</v>
      </c>
      <c r="L19" s="275"/>
      <c r="P19" s="299"/>
      <c r="Q19" s="261"/>
      <c r="R19" s="261"/>
      <c r="S19" s="260"/>
    </row>
    <row r="20" spans="2:22" x14ac:dyDescent="0.2">
      <c r="B20" s="254"/>
      <c r="C20" s="255"/>
      <c r="D20" s="262"/>
      <c r="E20" s="255"/>
      <c r="F20" s="328"/>
      <c r="G20" s="329"/>
      <c r="H20" s="329"/>
      <c r="I20" s="528"/>
      <c r="J20" s="258"/>
      <c r="K20" s="255">
        <f>IF(ISNUMBER(SEARCH("Dev",#REF!)),0,IF(ISNUMBER(SEARCH("xSmall",#REF!)),1,IF(ISNUMBER(SEARCH("Small",#REF!)),2,IF(ISNUMBER(SEARCH("Medium",#REF!)),3,IF(ISNUMBER(SEARCH("Beyond Large",#REF!)),5,IF(ISNUMBER(SEARCH("Large",#REF!)),4,6))))))</f>
        <v>6</v>
      </c>
      <c r="P20" s="299"/>
      <c r="Q20" s="261"/>
      <c r="R20" s="299"/>
      <c r="S20" s="260"/>
    </row>
    <row r="21" spans="2:22" x14ac:dyDescent="0.2">
      <c r="B21" s="254"/>
      <c r="C21" s="255"/>
      <c r="D21" s="615" t="s">
        <v>400</v>
      </c>
      <c r="E21" s="328"/>
      <c r="F21" s="328"/>
      <c r="G21" s="329"/>
      <c r="H21" s="329"/>
      <c r="I21" s="528"/>
      <c r="J21" s="258">
        <f>CapUdiscounedpriceyearly*F19+VPCdiscountedpriceyearly*G19+GBstoragediscountedpriceyearly*H19</f>
        <v>0</v>
      </c>
      <c r="K21" s="255">
        <f>IF(ISNUMBER(SEARCH("Dev",D19)),0,IF(ISNUMBER(SEARCH("xSmall",D19)),1,IF(ISNUMBER(SEARCH("Small",D19)),2,IF(ISNUMBER(SEARCH("Medium",D19)),3,IF(ISNUMBER(SEARCH("Beyond Large",D19)),5,IF(ISNUMBER(SEARCH("Large",D19)),4,6))))))</f>
        <v>6</v>
      </c>
      <c r="M21" s="259"/>
      <c r="P21" s="260"/>
      <c r="Q21" s="261"/>
      <c r="R21" s="260"/>
      <c r="S21" s="260"/>
    </row>
    <row r="22" spans="2:22" ht="17" thickBot="1" x14ac:dyDescent="0.25">
      <c r="B22" s="254"/>
      <c r="C22" s="255"/>
      <c r="D22" s="615"/>
      <c r="E22" s="255"/>
      <c r="F22" s="328"/>
      <c r="G22" s="329"/>
      <c r="H22" s="329"/>
      <c r="I22" s="528"/>
      <c r="J22" s="258" t="e">
        <f>CapUdiscounedpriceyearly*#REF!+VPCdiscountedpriceyearly*#REF!+GBstoragediscountedpriceyearly*#REF!</f>
        <v>#REF!</v>
      </c>
      <c r="K22" s="255">
        <f>IF(ISNUMBER(SEARCH("Dev",#REF!)),0,IF(ISNUMBER(SEARCH("xSmall",#REF!)),1,IF(ISNUMBER(SEARCH("Small",#REF!)),2,IF(ISNUMBER(SEARCH("Medium",#REF!)),3,IF(ISNUMBER(SEARCH("Beyond Large",#REF!)),5,IF(ISNUMBER(SEARCH("Large",#REF!)),4,6))))))</f>
        <v>6</v>
      </c>
      <c r="M22" s="259"/>
      <c r="P22" s="260"/>
      <c r="R22" s="260"/>
    </row>
    <row r="23" spans="2:22" ht="17" thickBot="1" x14ac:dyDescent="0.25">
      <c r="B23" s="254"/>
      <c r="C23" s="255"/>
      <c r="D23" s="262"/>
      <c r="E23" s="255"/>
      <c r="F23" s="312" t="s">
        <v>232</v>
      </c>
      <c r="G23" s="313" t="s">
        <v>5</v>
      </c>
      <c r="H23" s="314" t="s">
        <v>6</v>
      </c>
      <c r="I23" s="529"/>
      <c r="J23" s="258" t="e">
        <f>CapUdiscounedpriceyearly*#REF!+VPCdiscountedpriceyearly*#REF!+GBstoragediscountedpriceyearly*#REF!</f>
        <v>#REF!</v>
      </c>
      <c r="K23" s="255">
        <f>IF(ISNUMBER(SEARCH("Dev",#REF!)),0,IF(ISNUMBER(SEARCH("xSmall",#REF!)),1,IF(ISNUMBER(SEARCH("Small",#REF!)),2,IF(ISNUMBER(SEARCH("Medium",#REF!)),3,IF(ISNUMBER(SEARCH("Beyond Large",#REF!)),5,IF(ISNUMBER(SEARCH("Large",#REF!)),4,6))))))</f>
        <v>6</v>
      </c>
      <c r="L23" s="298"/>
      <c r="M23" s="298"/>
      <c r="N23" s="298"/>
      <c r="P23" s="260"/>
      <c r="Q23" s="284"/>
      <c r="R23" s="537"/>
      <c r="S23" s="284"/>
    </row>
    <row r="24" spans="2:22" ht="17" thickBot="1" x14ac:dyDescent="0.25">
      <c r="B24" s="254"/>
      <c r="C24" s="255"/>
      <c r="D24" s="265" t="s">
        <v>337</v>
      </c>
      <c r="E24" s="255"/>
      <c r="F24" s="317">
        <f ca="1">SUM(F5:F19)</f>
        <v>0</v>
      </c>
      <c r="G24" s="318">
        <f ca="1">SUM(G5:G19)</f>
        <v>0</v>
      </c>
      <c r="H24" s="319">
        <f ca="1">SUM(H5:H19)</f>
        <v>0</v>
      </c>
      <c r="I24" s="528"/>
      <c r="J24" s="258"/>
      <c r="K24" s="255">
        <f>IF(ISNUMBER(SEARCH("Dev",#REF!)),0,IF(ISNUMBER(SEARCH("xSmall",#REF!)),1,IF(ISNUMBER(SEARCH("Small",#REF!)),2,IF(ISNUMBER(SEARCH("Medium",#REF!)),3,IF(ISNUMBER(SEARCH("Beyond Large",#REF!)),5,IF(ISNUMBER(SEARCH("Large",#REF!)),4,6))))))</f>
        <v>6</v>
      </c>
      <c r="M24" s="259"/>
      <c r="P24" s="260"/>
      <c r="R24" s="260"/>
    </row>
    <row r="25" spans="2:22" x14ac:dyDescent="0.2">
      <c r="B25" s="254"/>
      <c r="C25" s="255"/>
      <c r="D25" s="262"/>
      <c r="E25" s="255"/>
      <c r="F25" s="321"/>
      <c r="G25" s="255"/>
      <c r="H25" s="255"/>
      <c r="I25" s="528"/>
      <c r="J25" s="258"/>
      <c r="K25" s="255">
        <f>IF(ISNUMBER(SEARCH("Dev",#REF!)),0,IF(ISNUMBER(SEARCH("xSmall",#REF!)),1,IF(ISNUMBER(SEARCH("Small",#REF!)),2,IF(ISNUMBER(SEARCH("Medium",#REF!)),3,IF(ISNUMBER(SEARCH("Beyond Large",#REF!)),5,IF(ISNUMBER(SEARCH("Large",#REF!)),4,6))))))</f>
        <v>6</v>
      </c>
      <c r="P25" s="260"/>
      <c r="Q25" s="261"/>
      <c r="R25" s="260"/>
      <c r="S25" s="260"/>
    </row>
    <row r="26" spans="2:22" x14ac:dyDescent="0.2">
      <c r="B26" s="254"/>
      <c r="C26" s="255"/>
      <c r="D26" s="267" t="s">
        <v>321</v>
      </c>
      <c r="E26" s="255"/>
      <c r="F26" s="614" t="str">
        <f>I10&amp;" | " &amp;K40</f>
        <v xml:space="preserve"> | </v>
      </c>
      <c r="G26" s="614"/>
      <c r="H26" s="614"/>
      <c r="I26" s="528"/>
      <c r="J26" s="258"/>
      <c r="K26" s="255">
        <f>IF(ISNUMBER(SEARCH("Dev",#REF!)),0,IF(ISNUMBER(SEARCH("xSmall",#REF!)),1,IF(ISNUMBER(SEARCH("Small",#REF!)),2,IF(ISNUMBER(SEARCH("Medium",#REF!)),3,IF(ISNUMBER(SEARCH("Beyond Large",#REF!)),5,IF(ISNUMBER(SEARCH("Large",#REF!)),4,6))))))</f>
        <v>6</v>
      </c>
      <c r="P26" s="299"/>
      <c r="Q26" s="261"/>
      <c r="R26" s="261"/>
      <c r="S26" s="260"/>
    </row>
    <row r="27" spans="2:22" x14ac:dyDescent="0.2">
      <c r="B27" s="254"/>
      <c r="C27" s="255"/>
      <c r="D27" s="262"/>
      <c r="E27" s="255"/>
      <c r="F27" s="614"/>
      <c r="G27" s="614"/>
      <c r="H27" s="614"/>
      <c r="I27" s="528"/>
      <c r="J27" s="258"/>
      <c r="K27" s="255">
        <f>IF(ISNUMBER(SEARCH("Dev",#REF!)),0,IF(ISNUMBER(SEARCH("xSmall",#REF!)),1,IF(ISNUMBER(SEARCH("Small",#REF!)),2,IF(ISNUMBER(SEARCH("Medium",#REF!)),3,IF(ISNUMBER(SEARCH("Beyond Large",#REF!)),5,IF(ISNUMBER(SEARCH("Large",#REF!)),4,6))))))</f>
        <v>6</v>
      </c>
      <c r="P27" s="299"/>
      <c r="Q27" s="261"/>
      <c r="R27" s="261"/>
      <c r="S27" s="260"/>
    </row>
    <row r="28" spans="2:22" x14ac:dyDescent="0.2">
      <c r="B28" s="254"/>
      <c r="C28" s="255"/>
      <c r="D28" s="262"/>
      <c r="E28" s="255"/>
      <c r="F28" s="614"/>
      <c r="G28" s="614"/>
      <c r="H28" s="614"/>
      <c r="I28" s="528"/>
      <c r="J28" s="258"/>
      <c r="P28" s="299"/>
      <c r="Q28" s="261"/>
      <c r="R28" s="261"/>
      <c r="S28" s="260"/>
    </row>
    <row r="29" spans="2:22" x14ac:dyDescent="0.2">
      <c r="B29" s="254"/>
      <c r="C29" s="255"/>
      <c r="D29" s="262"/>
      <c r="E29" s="255"/>
      <c r="F29" s="614"/>
      <c r="G29" s="614"/>
      <c r="H29" s="614"/>
      <c r="I29" s="528"/>
      <c r="J29" s="258"/>
      <c r="P29" s="299"/>
      <c r="Q29" s="261"/>
      <c r="R29" s="261"/>
      <c r="S29" s="260"/>
    </row>
    <row r="30" spans="2:22" x14ac:dyDescent="0.2">
      <c r="B30" s="254"/>
      <c r="C30" s="255"/>
      <c r="D30" s="262"/>
      <c r="E30" s="255"/>
      <c r="F30" s="614"/>
      <c r="G30" s="614"/>
      <c r="H30" s="614"/>
      <c r="I30" s="528"/>
      <c r="J30" s="258"/>
      <c r="P30" s="299"/>
      <c r="Q30" s="261"/>
      <c r="R30" s="261"/>
      <c r="S30" s="260"/>
    </row>
    <row r="31" spans="2:22" x14ac:dyDescent="0.2">
      <c r="B31" s="254"/>
      <c r="C31" s="255"/>
      <c r="D31" s="262"/>
      <c r="E31" s="255"/>
      <c r="F31" s="614"/>
      <c r="G31" s="614"/>
      <c r="H31" s="614"/>
      <c r="I31" s="528"/>
      <c r="J31" s="258"/>
      <c r="P31" s="299"/>
      <c r="Q31" s="261"/>
      <c r="R31" s="261"/>
      <c r="S31" s="260"/>
    </row>
    <row r="32" spans="2:22" x14ac:dyDescent="0.2">
      <c r="B32" s="254"/>
      <c r="C32" s="255"/>
      <c r="D32" s="262"/>
      <c r="E32" s="255"/>
      <c r="F32" s="614"/>
      <c r="G32" s="614"/>
      <c r="H32" s="614"/>
      <c r="I32" s="528"/>
    </row>
    <row r="33" spans="1:27" x14ac:dyDescent="0.2">
      <c r="B33" s="254"/>
      <c r="C33" s="255"/>
      <c r="D33" s="262"/>
      <c r="E33" s="255"/>
      <c r="F33" s="614"/>
      <c r="G33" s="614"/>
      <c r="H33" s="614"/>
      <c r="I33" s="528"/>
      <c r="J33" s="258"/>
    </row>
    <row r="34" spans="1:27" x14ac:dyDescent="0.2">
      <c r="B34" s="254"/>
      <c r="C34" s="255"/>
      <c r="D34" s="262"/>
      <c r="E34" s="255"/>
      <c r="F34" s="614"/>
      <c r="G34" s="614"/>
      <c r="H34" s="614"/>
      <c r="I34" s="528"/>
      <c r="J34" s="258"/>
    </row>
    <row r="35" spans="1:27" x14ac:dyDescent="0.2">
      <c r="B35" s="254"/>
      <c r="C35" s="255"/>
      <c r="D35" s="262"/>
      <c r="E35" s="255"/>
      <c r="F35" s="614"/>
      <c r="G35" s="614"/>
      <c r="H35" s="614"/>
      <c r="I35" s="528"/>
      <c r="J35" s="287"/>
    </row>
    <row r="36" spans="1:27" x14ac:dyDescent="0.2">
      <c r="B36" s="269"/>
      <c r="C36" s="270"/>
      <c r="D36" s="271"/>
      <c r="E36" s="270"/>
      <c r="F36" s="324"/>
      <c r="G36" s="270"/>
      <c r="H36" s="270"/>
      <c r="I36" s="540"/>
      <c r="J36" s="258">
        <f ca="1">CapUdiscounedpriceyearly*F24+VPCdiscountedpriceyearly*G24+GBstoragediscountedpriceyearly*H24</f>
        <v>0</v>
      </c>
      <c r="K36" s="255">
        <f>SUM(K5:K27)</f>
        <v>132</v>
      </c>
      <c r="L36" s="260">
        <f ca="1">SUM(L5:L16)</f>
        <v>0</v>
      </c>
      <c r="M36" s="274">
        <f ca="1">SUM(M5:M18)</f>
        <v>0</v>
      </c>
    </row>
    <row r="37" spans="1:27" x14ac:dyDescent="0.2">
      <c r="J37" s="258"/>
      <c r="K37" s="255" t="b">
        <f>IF((COUNTIF(K6:K19,"&lt;6")),TRUE,FALSE)</f>
        <v>0</v>
      </c>
      <c r="L37" s="275"/>
    </row>
    <row r="38" spans="1:27" x14ac:dyDescent="0.2">
      <c r="A38" s="273"/>
      <c r="B38" s="273"/>
      <c r="C38" s="273"/>
      <c r="J38" s="258"/>
      <c r="L38" s="274"/>
    </row>
    <row r="39" spans="1:27" x14ac:dyDescent="0.2">
      <c r="A39" s="255"/>
      <c r="B39" s="255"/>
      <c r="C39" s="255"/>
      <c r="J39" s="258" t="s">
        <v>541</v>
      </c>
    </row>
    <row r="40" spans="1:27" x14ac:dyDescent="0.2">
      <c r="A40" s="255"/>
      <c r="B40" s="255"/>
      <c r="C40" s="255"/>
      <c r="J40" s="259" t="b">
        <f>IF(COUNTIF(K6:K17,5),TRUE,FALSE)</f>
        <v>0</v>
      </c>
      <c r="K40" s="258" t="str">
        <f>IF(J40,"Error: Quote contains Beyond Large size, contact Drew.A.Sens@ibm.com for custom quote","")</f>
        <v/>
      </c>
    </row>
    <row r="41" spans="1:27" x14ac:dyDescent="0.2">
      <c r="A41" s="255"/>
      <c r="B41" s="255"/>
      <c r="C41" s="255"/>
      <c r="J41" s="258"/>
    </row>
    <row r="42" spans="1:27" x14ac:dyDescent="0.2">
      <c r="J42" s="258"/>
    </row>
    <row r="43" spans="1:27" x14ac:dyDescent="0.2">
      <c r="J43" s="258"/>
    </row>
    <row r="44" spans="1:27" x14ac:dyDescent="0.2">
      <c r="J44" s="258"/>
    </row>
    <row r="45" spans="1:27" x14ac:dyDescent="0.2">
      <c r="J45" s="258"/>
    </row>
    <row r="46" spans="1:27" x14ac:dyDescent="0.2">
      <c r="J46" s="258"/>
    </row>
    <row r="47" spans="1:27" s="255" customFormat="1" x14ac:dyDescent="0.2">
      <c r="B47" s="259"/>
      <c r="C47" s="259"/>
      <c r="D47" s="386"/>
      <c r="E47" s="259"/>
      <c r="F47" s="326"/>
      <c r="G47" s="259"/>
      <c r="H47" s="259"/>
      <c r="I47" s="526"/>
      <c r="J47" s="258"/>
      <c r="L47" s="259"/>
      <c r="M47" s="274"/>
      <c r="N47" s="259"/>
      <c r="O47" s="259"/>
      <c r="P47" s="259"/>
      <c r="Q47" s="259"/>
      <c r="R47" s="259"/>
      <c r="S47" s="259"/>
      <c r="T47" s="259"/>
      <c r="U47" s="259"/>
      <c r="V47" s="259"/>
      <c r="W47" s="259"/>
      <c r="X47" s="259"/>
      <c r="Y47" s="259"/>
      <c r="Z47" s="259"/>
      <c r="AA47" s="259"/>
    </row>
    <row r="48" spans="1:27" s="255" customFormat="1" x14ac:dyDescent="0.2">
      <c r="B48" s="259"/>
      <c r="C48" s="259"/>
      <c r="D48" s="386"/>
      <c r="E48" s="259"/>
      <c r="F48" s="326"/>
      <c r="G48" s="259"/>
      <c r="H48" s="259"/>
      <c r="I48" s="526"/>
      <c r="J48" s="258"/>
      <c r="L48" s="259"/>
      <c r="M48" s="274"/>
      <c r="N48" s="259"/>
      <c r="O48" s="259"/>
      <c r="P48" s="259"/>
      <c r="Q48" s="259"/>
      <c r="R48" s="259"/>
      <c r="S48" s="259"/>
      <c r="T48" s="259"/>
      <c r="U48" s="259"/>
      <c r="V48" s="259"/>
      <c r="W48" s="259"/>
      <c r="X48" s="259"/>
      <c r="Y48" s="259"/>
      <c r="Z48" s="259"/>
      <c r="AA48" s="259"/>
    </row>
  </sheetData>
  <sheetProtection algorithmName="SHA-512" hashValue="Kl4IbzgAJfyXEt0nLUh6THP66W/ZG+8f/pjnmDUzQQaKZED3iwJ6P2fmgdMr5uuX9DdngdOZROWyMtAP8aLSpw==" saltValue="a5fqmzwf6jqHMf7pznQ4/w==" spinCount="100000" sheet="1" objects="1" scenarios="1"/>
  <dataConsolidate/>
  <mergeCells count="5">
    <mergeCell ref="P3:Q3"/>
    <mergeCell ref="Q12:S12"/>
    <mergeCell ref="D21:D22"/>
    <mergeCell ref="F26:H35"/>
    <mergeCell ref="I5:I6"/>
  </mergeCells>
  <dataValidations count="4">
    <dataValidation type="list" allowBlank="1" showInputMessage="1" showErrorMessage="1" sqref="D15" xr:uid="{91B5869D-E674-B549-BAAF-BF2C900C2CFF}">
      <formula1>zerothroughten</formula1>
    </dataValidation>
    <dataValidation type="list" allowBlank="1" showInputMessage="1" showErrorMessage="1" sqref="D10:D14" xr:uid="{F693FA3B-F367-A247-A9BE-66469A17F4F9}">
      <formula1>safetysizesyesno</formula1>
    </dataValidation>
    <dataValidation type="list" allowBlank="1" showInputMessage="1" showErrorMessage="1" sqref="D6" xr:uid="{FAA5B74D-3B11-B544-B219-573CB314FF7A}">
      <formula1>safetyprodsizes</formula1>
    </dataValidation>
    <dataValidation type="list" allowBlank="1" showInputMessage="1" showErrorMessage="1" sqref="D18" xr:uid="{96F9B6BA-56E8-DC40-8915-B80356C17256}">
      <formula1>tshirtsizes</formula1>
    </dataValidation>
  </dataValidations>
  <hyperlinks>
    <hyperlink ref="D21" location="'Output Dashboard'!A1" display="Go to Output Dashboard" xr:uid="{425706D3-B722-7C46-B605-4944F59F4DEB}"/>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PoC" prompt="Allowable duration of PoC Environment is 3-6 months" xr:uid="{2D18DA8D-2F0F-614B-98A2-15608D1077DD}">
          <x14:formula1>
            <xm:f>txts!$H$39:$H$40</xm:f>
          </x14:formula1>
          <xm:sqref>D17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5BFB6-6449-4C4C-B6FF-F2DDBCB69890}">
  <sheetPr codeName="Sheet8">
    <tabColor theme="9" tint="0.79998168889431442"/>
  </sheetPr>
  <dimension ref="A1:AH76"/>
  <sheetViews>
    <sheetView zoomScale="114" zoomScaleNormal="125" workbookViewId="0">
      <selection activeCell="C26" sqref="C26"/>
    </sheetView>
  </sheetViews>
  <sheetFormatPr baseColWidth="10" defaultRowHeight="16" outlineLevelCol="1" x14ac:dyDescent="0.2"/>
  <cols>
    <col min="1" max="1" width="1.83203125" style="259" customWidth="1"/>
    <col min="2" max="2" width="6" style="259" customWidth="1"/>
    <col min="3" max="3" width="73.83203125" style="259" customWidth="1"/>
    <col min="4" max="4" width="36.1640625" style="386" bestFit="1" customWidth="1"/>
    <col min="5" max="5" width="2.6640625" style="259" customWidth="1"/>
    <col min="6" max="6" width="19.5" style="326" bestFit="1" customWidth="1"/>
    <col min="7" max="7" width="17.6640625" style="259" customWidth="1"/>
    <col min="8" max="8" width="17.83203125" style="259" customWidth="1"/>
    <col min="9" max="9" width="46.83203125" style="526" customWidth="1"/>
    <col min="10" max="10" width="25.6640625" style="261" hidden="1" customWidth="1" outlineLevel="1"/>
    <col min="11" max="11" width="15.33203125" style="255" hidden="1" customWidth="1" outlineLevel="1"/>
    <col min="12" max="12" width="20.83203125" style="259" hidden="1" customWidth="1" outlineLevel="1"/>
    <col min="13" max="13" width="13" style="274" hidden="1" customWidth="1" outlineLevel="1"/>
    <col min="14" max="15" width="10.83203125" style="259" hidden="1" customWidth="1" outlineLevel="1"/>
    <col min="16" max="16" width="13.5" style="259" hidden="1" customWidth="1" outlineLevel="1"/>
    <col min="17" max="17" width="14.33203125" style="259" hidden="1" customWidth="1" outlineLevel="1"/>
    <col min="18" max="18" width="15" style="259" hidden="1" customWidth="1" outlineLevel="1"/>
    <col min="19" max="19" width="20" style="259" hidden="1" customWidth="1" outlineLevel="1"/>
    <col min="20" max="20" width="13.83203125" style="259" hidden="1" customWidth="1" outlineLevel="1"/>
    <col min="21" max="21" width="23.33203125" style="259" hidden="1" customWidth="1" outlineLevel="1"/>
    <col min="22" max="22" width="10.83203125" style="259" hidden="1" customWidth="1" outlineLevel="1"/>
    <col min="23" max="23" width="25.1640625" style="259" hidden="1" customWidth="1" outlineLevel="1"/>
    <col min="24" max="24" width="15.1640625" style="259" hidden="1" customWidth="1" outlineLevel="1"/>
    <col min="25" max="33" width="10.83203125" style="259" hidden="1" customWidth="1" outlineLevel="1"/>
    <col min="34" max="34" width="10.83203125" style="259" collapsed="1"/>
    <col min="35" max="16384" width="10.83203125" style="259"/>
  </cols>
  <sheetData>
    <row r="1" spans="2:33" ht="9" customHeight="1" x14ac:dyDescent="0.2"/>
    <row r="2" spans="2:33" ht="13" customHeight="1" x14ac:dyDescent="0.2">
      <c r="B2" s="280" t="str">
        <f>'Output Dashboard'!B2</f>
        <v>MAS Managed Service Calculator 5.4</v>
      </c>
      <c r="C2" s="281"/>
      <c r="D2" s="346"/>
      <c r="E2" s="281"/>
      <c r="F2" s="347"/>
      <c r="G2" s="281"/>
      <c r="H2" s="281"/>
      <c r="I2" s="527"/>
      <c r="J2" s="258"/>
      <c r="V2" s="259" t="s">
        <v>480</v>
      </c>
      <c r="W2" s="259" t="s">
        <v>479</v>
      </c>
    </row>
    <row r="3" spans="2:33" ht="17" thickBot="1" x14ac:dyDescent="0.25">
      <c r="B3" s="283" t="s">
        <v>484</v>
      </c>
      <c r="C3" s="255"/>
      <c r="D3" s="262"/>
      <c r="E3" s="255"/>
      <c r="F3" s="321"/>
      <c r="G3" s="255"/>
      <c r="H3" s="255"/>
      <c r="I3" s="528"/>
      <c r="J3" s="258"/>
      <c r="L3" s="259" t="s">
        <v>548</v>
      </c>
      <c r="P3" s="284" t="s">
        <v>514</v>
      </c>
      <c r="Q3" s="284" t="s">
        <v>515</v>
      </c>
      <c r="V3" s="259" t="b">
        <f>NOT(AND(Issafetydeployed,Ismonitoreddeployed))</f>
        <v>1</v>
      </c>
      <c r="W3" s="259" t="b">
        <f>OR(Issafetydeployed,Ismonitoreddeployed)</f>
        <v>0</v>
      </c>
      <c r="AC3" s="610" t="s">
        <v>4</v>
      </c>
      <c r="AD3" s="610"/>
    </row>
    <row r="4" spans="2:33" ht="16" customHeight="1" thickBot="1" x14ac:dyDescent="0.25">
      <c r="B4" s="254"/>
      <c r="C4" s="255"/>
      <c r="D4" s="262"/>
      <c r="E4" s="255"/>
      <c r="F4" s="349" t="s">
        <v>232</v>
      </c>
      <c r="G4" s="285" t="s">
        <v>5</v>
      </c>
      <c r="H4" s="286" t="s">
        <v>6</v>
      </c>
      <c r="I4" s="529" t="s">
        <v>388</v>
      </c>
      <c r="J4" s="350" t="s">
        <v>403</v>
      </c>
      <c r="K4" s="288" t="s">
        <v>7</v>
      </c>
      <c r="L4" s="289" t="s">
        <v>295</v>
      </c>
      <c r="M4" s="351" t="s">
        <v>302</v>
      </c>
      <c r="P4" s="259" t="s">
        <v>510</v>
      </c>
      <c r="Q4" s="259" t="s">
        <v>513</v>
      </c>
      <c r="R4" s="259" t="s">
        <v>512</v>
      </c>
      <c r="S4" s="259" t="s">
        <v>378</v>
      </c>
      <c r="T4" s="259" t="s">
        <v>282</v>
      </c>
      <c r="U4" s="259" t="s">
        <v>567</v>
      </c>
      <c r="V4" s="259" t="s">
        <v>477</v>
      </c>
      <c r="W4" s="259" t="s">
        <v>478</v>
      </c>
      <c r="X4" s="259" t="s">
        <v>481</v>
      </c>
      <c r="AC4" s="259" t="s">
        <v>25</v>
      </c>
      <c r="AD4" s="259" t="s">
        <v>445</v>
      </c>
      <c r="AE4" s="259" t="s">
        <v>443</v>
      </c>
      <c r="AF4" s="259" t="s">
        <v>378</v>
      </c>
      <c r="AG4" s="259" t="s">
        <v>282</v>
      </c>
    </row>
    <row r="5" spans="2:33" ht="17" thickBot="1" x14ac:dyDescent="0.25">
      <c r="B5" s="254"/>
      <c r="C5" s="291" t="s">
        <v>485</v>
      </c>
      <c r="D5" s="292" t="str">
        <f>IF(D6="None","No","Yes")</f>
        <v>No</v>
      </c>
      <c r="E5" s="255"/>
      <c r="F5" s="352"/>
      <c r="G5" s="353"/>
      <c r="H5" s="354"/>
      <c r="I5" s="622"/>
      <c r="J5" s="258"/>
      <c r="O5" s="259" t="s">
        <v>247</v>
      </c>
      <c r="P5" s="259">
        <f>assistvpcdev+W5</f>
        <v>6</v>
      </c>
      <c r="Q5" s="259">
        <f>Couchdbvpcdev+discoveryvpcdev</f>
        <v>32</v>
      </c>
      <c r="R5" s="259">
        <f>Couchgbgbdev</f>
        <v>300</v>
      </c>
      <c r="S5" s="293">
        <v>458.33333333333331</v>
      </c>
      <c r="T5" s="299">
        <f>T6</f>
        <v>229.16666666666666</v>
      </c>
      <c r="U5" s="259">
        <f>discoverygbxsmall+100</f>
        <v>750</v>
      </c>
      <c r="V5" s="259">
        <v>0</v>
      </c>
      <c r="W5" s="259">
        <f>IF($V$3,V5,0)</f>
        <v>0</v>
      </c>
      <c r="X5" s="259">
        <v>458.33333333333331</v>
      </c>
      <c r="Y5" s="259" t="s">
        <v>482</v>
      </c>
      <c r="AB5" s="259" t="s">
        <v>247</v>
      </c>
      <c r="AC5" s="259">
        <f>Predictvpcdev</f>
        <v>2</v>
      </c>
      <c r="AD5" s="259">
        <f>mlvpcdev+studiovpcdev</f>
        <v>28</v>
      </c>
      <c r="AE5" s="259">
        <f>Predictdbdev</f>
        <v>512</v>
      </c>
      <c r="AF5" s="293">
        <v>458.33333333333331</v>
      </c>
      <c r="AG5" s="299">
        <f>AG6</f>
        <v>229.16666666666666</v>
      </c>
    </row>
    <row r="6" spans="2:33" x14ac:dyDescent="0.2">
      <c r="B6" s="254"/>
      <c r="C6" s="279" t="s">
        <v>533</v>
      </c>
      <c r="D6" s="356" t="s">
        <v>223</v>
      </c>
      <c r="E6" s="255"/>
      <c r="F6" s="335">
        <f ca="1">OFFSET($S$14,$K6,0)</f>
        <v>0</v>
      </c>
      <c r="G6" s="336">
        <f ca="1">OFFSET($P$5,$K6,0)</f>
        <v>0</v>
      </c>
      <c r="H6" s="337">
        <f ca="1">OFFSET($R$5,$K6,0)</f>
        <v>0</v>
      </c>
      <c r="I6" s="622"/>
      <c r="J6" s="258">
        <f t="shared" ref="J6:J21" ca="1" si="0">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O6" s="259" t="s">
        <v>277</v>
      </c>
      <c r="P6" s="259">
        <f>assistvpcxmsall+W6</f>
        <v>6</v>
      </c>
      <c r="Q6" s="259">
        <f>Couchdbvpcxsmall+discoveryvpcxsmall</f>
        <v>32</v>
      </c>
      <c r="R6" s="259">
        <f>Couchdbgbxsmall</f>
        <v>300</v>
      </c>
      <c r="S6" s="293">
        <v>458.33333333333331</v>
      </c>
      <c r="T6" s="299">
        <f t="shared" ref="T6:T9" si="1">S6/2</f>
        <v>229.16666666666666</v>
      </c>
      <c r="U6" s="259">
        <f>discoverygbsmall+100</f>
        <v>990</v>
      </c>
      <c r="V6" s="259">
        <v>0</v>
      </c>
      <c r="W6" s="259">
        <f t="shared" ref="W6:W9" si="2">IF($V$3,V6,0)</f>
        <v>0</v>
      </c>
      <c r="X6" s="259">
        <v>458.33333333333331</v>
      </c>
      <c r="AB6" s="259" t="s">
        <v>277</v>
      </c>
      <c r="AC6" s="259">
        <f>Predictvpcxsmall</f>
        <v>2</v>
      </c>
      <c r="AD6" s="259">
        <f>mlvpcxsmall+studiovpcxsmall</f>
        <v>44</v>
      </c>
      <c r="AE6" s="259">
        <f>Predictdbxsmall</f>
        <v>512</v>
      </c>
      <c r="AF6" s="293">
        <v>458.33333333333331</v>
      </c>
      <c r="AG6" s="299">
        <f t="shared" ref="AG6:AG9" si="3">AF6/2</f>
        <v>229.16666666666666</v>
      </c>
    </row>
    <row r="7" spans="2:33" x14ac:dyDescent="0.2">
      <c r="B7" s="254"/>
      <c r="C7" s="255"/>
      <c r="D7" s="262"/>
      <c r="E7" s="255"/>
      <c r="F7" s="340"/>
      <c r="G7" s="329"/>
      <c r="H7" s="344"/>
      <c r="I7" s="530" t="str">
        <f>IF(K6=5,"Quote contains Beyond Large size, contact Drew.A.Sens@ibm.com for custom quote","")</f>
        <v/>
      </c>
      <c r="J7" s="258">
        <f t="shared" si="0"/>
        <v>0</v>
      </c>
      <c r="K7" s="255">
        <f t="shared" ref="K7:K18" si="4">IF(ISNUMBER(SEARCH("Dev",D7)),0,IF(ISNUMBER(SEARCH("xSmall",D7)),1,IF(ISNUMBER(SEARCH("Small",D7)),2,IF(ISNUMBER(SEARCH("Medium",D7)),3,IF(ISNUMBER(SEARCH("Beyond Large",D7)),5,IF(ISNUMBER(SEARCH("Large",D7)),4,6))))))</f>
        <v>6</v>
      </c>
      <c r="L7" s="255"/>
      <c r="M7" s="274">
        <f ca="1">OFFSET($Q$14,$K7,0)</f>
        <v>0</v>
      </c>
      <c r="O7" s="259" t="s">
        <v>22</v>
      </c>
      <c r="P7" s="259">
        <f>assistvpcsmall+W7</f>
        <v>12</v>
      </c>
      <c r="Q7" s="259">
        <f>Couchdbvpcsmall+discoveryvpcsmall</f>
        <v>50</v>
      </c>
      <c r="R7" s="259">
        <f>Couchgbgbsmall</f>
        <v>300</v>
      </c>
      <c r="S7" s="293">
        <v>458.33333333333331</v>
      </c>
      <c r="T7" s="299">
        <f t="shared" si="1"/>
        <v>229.16666666666666</v>
      </c>
      <c r="U7" s="259">
        <f>discoverygbmedium+100</f>
        <v>990</v>
      </c>
      <c r="V7" s="259">
        <v>0</v>
      </c>
      <c r="W7" s="259">
        <f t="shared" si="2"/>
        <v>0</v>
      </c>
      <c r="X7" s="259">
        <v>458.33333333333331</v>
      </c>
      <c r="AB7" s="259" t="s">
        <v>22</v>
      </c>
      <c r="AC7" s="259">
        <f>Predictvpcsmall</f>
        <v>2</v>
      </c>
      <c r="AD7" s="259">
        <f>mlvpcsmall+studiovpcsmall</f>
        <v>44</v>
      </c>
      <c r="AE7" s="259">
        <f>Predictdbsmall</f>
        <v>1024</v>
      </c>
      <c r="AF7" s="293">
        <v>458.33333333333331</v>
      </c>
      <c r="AG7" s="299">
        <f t="shared" si="3"/>
        <v>229.16666666666666</v>
      </c>
    </row>
    <row r="8" spans="2:33" ht="17" thickBot="1" x14ac:dyDescent="0.25">
      <c r="B8" s="254"/>
      <c r="C8" s="227"/>
      <c r="D8" s="305"/>
      <c r="E8" s="255"/>
      <c r="F8" s="340"/>
      <c r="G8" s="329"/>
      <c r="H8" s="344"/>
      <c r="I8" s="528"/>
      <c r="J8" s="258">
        <f t="shared" si="0"/>
        <v>0</v>
      </c>
      <c r="K8" s="255">
        <f t="shared" si="4"/>
        <v>6</v>
      </c>
      <c r="L8" s="255"/>
      <c r="M8" s="274">
        <f ca="1">OFFSET($Q$14,$K8,0)</f>
        <v>0</v>
      </c>
      <c r="O8" s="259" t="s">
        <v>278</v>
      </c>
      <c r="P8" s="259">
        <f>assistvpcmedium+W8</f>
        <v>18</v>
      </c>
      <c r="Q8" s="259">
        <f>Couchdbvpcmedium+discoveryvpcmedium</f>
        <v>52</v>
      </c>
      <c r="R8" s="259">
        <f>Couchdbgbmedium</f>
        <v>500</v>
      </c>
      <c r="S8" s="293">
        <v>458.33333333333331</v>
      </c>
      <c r="T8" s="299">
        <f t="shared" si="1"/>
        <v>229.16666666666666</v>
      </c>
      <c r="U8" s="259">
        <f>discoverygbmedium+150</f>
        <v>1040</v>
      </c>
      <c r="V8" s="259">
        <v>0</v>
      </c>
      <c r="W8" s="259">
        <f t="shared" si="2"/>
        <v>0</v>
      </c>
      <c r="X8" s="259">
        <v>458.33333333333331</v>
      </c>
      <c r="AB8" s="259" t="s">
        <v>278</v>
      </c>
      <c r="AC8" s="259">
        <f>Predictvpcmedium</f>
        <v>2</v>
      </c>
      <c r="AD8" s="259">
        <f>mlvpcmedium+studiovpcmedium</f>
        <v>54</v>
      </c>
      <c r="AE8" s="259">
        <f>Predictdbmedium</f>
        <v>2048</v>
      </c>
      <c r="AF8" s="293">
        <v>458.33333333333331</v>
      </c>
      <c r="AG8" s="299">
        <f t="shared" si="3"/>
        <v>229.16666666666666</v>
      </c>
    </row>
    <row r="9" spans="2:33" ht="17" thickBot="1" x14ac:dyDescent="0.25">
      <c r="B9" s="254"/>
      <c r="C9" s="291" t="s">
        <v>486</v>
      </c>
      <c r="D9" s="292" t="str">
        <f>IF((IF((COUNTIF(K10:K17,"&lt;6")),TRUE,FALSE))*Isassistdeployed,"Yes","No")</f>
        <v>No</v>
      </c>
      <c r="E9" s="255"/>
      <c r="F9" s="340"/>
      <c r="G9" s="329"/>
      <c r="H9" s="344"/>
      <c r="I9" s="528"/>
      <c r="J9" s="258">
        <f t="shared" si="0"/>
        <v>0</v>
      </c>
      <c r="K9" s="255">
        <v>6</v>
      </c>
      <c r="L9" s="255"/>
      <c r="M9" s="274">
        <f ca="1">OFFSET($Q$14,$K9,0)</f>
        <v>0</v>
      </c>
      <c r="O9" s="259" t="s">
        <v>53</v>
      </c>
      <c r="P9" s="259">
        <f>assistvpclarge+W9</f>
        <v>36</v>
      </c>
      <c r="Q9" s="259">
        <f>Couchdbcpvlarge+discoveryvpclarge</f>
        <v>84</v>
      </c>
      <c r="R9" s="259">
        <f>Couchdbgblarge</f>
        <v>1000</v>
      </c>
      <c r="S9" s="293">
        <v>458.33333333333331</v>
      </c>
      <c r="T9" s="299">
        <f t="shared" si="1"/>
        <v>229.16666666666666</v>
      </c>
      <c r="U9" s="259">
        <f>discoverygblarge+150</f>
        <v>2040</v>
      </c>
      <c r="V9" s="259">
        <v>0</v>
      </c>
      <c r="W9" s="259">
        <f t="shared" si="2"/>
        <v>0</v>
      </c>
      <c r="X9" s="259">
        <v>458.33333333333331</v>
      </c>
      <c r="AB9" s="259" t="s">
        <v>53</v>
      </c>
      <c r="AC9" s="259">
        <f>Predictvpclarge</f>
        <v>8</v>
      </c>
      <c r="AD9" s="259">
        <f>mlvpclarge+studiovpclarge</f>
        <v>70</v>
      </c>
      <c r="AE9" s="259">
        <f>Predictdblarge</f>
        <v>1024</v>
      </c>
      <c r="AF9" s="293">
        <v>458.33333333333331</v>
      </c>
      <c r="AG9" s="299">
        <f t="shared" si="3"/>
        <v>229.16666666666666</v>
      </c>
    </row>
    <row r="10" spans="2:33" x14ac:dyDescent="0.2">
      <c r="B10" s="254"/>
      <c r="C10" s="279" t="s">
        <v>224</v>
      </c>
      <c r="D10" s="356" t="s">
        <v>223</v>
      </c>
      <c r="E10" s="255"/>
      <c r="F10" s="335">
        <f ca="1">IF(D5="yes",OFFSET($S$14,$K10,0),OFFSET($U$14,$K10,0))</f>
        <v>0</v>
      </c>
      <c r="G10" s="336">
        <f ca="1">OFFSET($P$5,$K10,0)</f>
        <v>0</v>
      </c>
      <c r="H10" s="337">
        <f ca="1">OFFSET($R$5,$K10,0)</f>
        <v>0</v>
      </c>
      <c r="I10" s="531"/>
      <c r="J10" s="258">
        <f t="shared" ca="1" si="0"/>
        <v>0</v>
      </c>
      <c r="K10" s="255">
        <f t="shared" si="4"/>
        <v>6</v>
      </c>
      <c r="L10" s="255">
        <f t="shared" ref="L10:L15" ca="1" si="5">OFFSET($Q$5,$K10,0)</f>
        <v>0</v>
      </c>
      <c r="M10" s="274">
        <f ca="1">OFFSET($Q$14,$K10,0)</f>
        <v>0</v>
      </c>
    </row>
    <row r="11" spans="2:33" x14ac:dyDescent="0.2">
      <c r="B11" s="254"/>
      <c r="C11" s="279" t="s">
        <v>225</v>
      </c>
      <c r="D11" s="356" t="s">
        <v>223</v>
      </c>
      <c r="E11" s="255"/>
      <c r="F11" s="335">
        <f ca="1">OFFSET($U$14,$K11,0)</f>
        <v>0</v>
      </c>
      <c r="G11" s="336">
        <f ca="1">OFFSET($P$5,$K11,0)</f>
        <v>0</v>
      </c>
      <c r="H11" s="337">
        <f ca="1">OFFSET($R$5,$K11,0)</f>
        <v>0</v>
      </c>
      <c r="I11" s="528"/>
      <c r="J11" s="258">
        <f t="shared" ca="1" si="0"/>
        <v>0</v>
      </c>
      <c r="K11" s="255">
        <f t="shared" si="4"/>
        <v>6</v>
      </c>
      <c r="L11" s="255">
        <f t="shared" ca="1" si="5"/>
        <v>0</v>
      </c>
      <c r="M11" s="274">
        <f ca="1">OFFSET($T$5,$K11,0)</f>
        <v>0</v>
      </c>
    </row>
    <row r="12" spans="2:33" x14ac:dyDescent="0.2">
      <c r="B12" s="254"/>
      <c r="C12" s="279" t="s">
        <v>226</v>
      </c>
      <c r="D12" s="356" t="s">
        <v>223</v>
      </c>
      <c r="E12" s="255"/>
      <c r="F12" s="335">
        <f ca="1">OFFSET($U$14,$K12,0)</f>
        <v>0</v>
      </c>
      <c r="G12" s="336">
        <f ca="1">OFFSET($P$5,$K12,0)</f>
        <v>0</v>
      </c>
      <c r="H12" s="337">
        <f ca="1">OFFSET($R$5,$K12,0)</f>
        <v>0</v>
      </c>
      <c r="I12" s="528"/>
      <c r="J12" s="258">
        <f t="shared" ca="1" si="0"/>
        <v>0</v>
      </c>
      <c r="K12" s="255">
        <f t="shared" si="4"/>
        <v>6</v>
      </c>
      <c r="L12" s="255">
        <f t="shared" ca="1" si="5"/>
        <v>0</v>
      </c>
      <c r="M12" s="274">
        <f ca="1">OFFSET($T$5,$K12,0)</f>
        <v>0</v>
      </c>
      <c r="Q12" s="623" t="s">
        <v>285</v>
      </c>
      <c r="R12" s="624"/>
      <c r="S12" s="625"/>
    </row>
    <row r="13" spans="2:33" x14ac:dyDescent="0.2">
      <c r="B13" s="254"/>
      <c r="C13" s="279" t="s">
        <v>227</v>
      </c>
      <c r="D13" s="356" t="s">
        <v>223</v>
      </c>
      <c r="E13" s="255"/>
      <c r="F13" s="335">
        <f ca="1">OFFSET($U$14,$K13,0)</f>
        <v>0</v>
      </c>
      <c r="G13" s="336">
        <f ca="1">OFFSET($P$5,$K13,0)</f>
        <v>0</v>
      </c>
      <c r="H13" s="337">
        <f ca="1">OFFSET($R$5,$K13,0)</f>
        <v>0</v>
      </c>
      <c r="I13" s="528"/>
      <c r="J13" s="258">
        <f t="shared" ca="1" si="0"/>
        <v>0</v>
      </c>
      <c r="K13" s="255">
        <f t="shared" si="4"/>
        <v>6</v>
      </c>
      <c r="L13" s="255">
        <f t="shared" ca="1" si="5"/>
        <v>0</v>
      </c>
      <c r="M13" s="274">
        <f ca="1">OFFSET($T$5,$K13,0)</f>
        <v>0</v>
      </c>
      <c r="P13" s="259" t="s">
        <v>289</v>
      </c>
      <c r="Q13" s="254" t="s">
        <v>281</v>
      </c>
      <c r="R13" s="255" t="s">
        <v>283</v>
      </c>
      <c r="S13" s="257" t="s">
        <v>284</v>
      </c>
      <c r="T13" s="298"/>
      <c r="U13" s="259" t="s">
        <v>286</v>
      </c>
      <c r="V13" s="259" t="s">
        <v>330</v>
      </c>
    </row>
    <row r="14" spans="2:33" x14ac:dyDescent="0.2">
      <c r="B14" s="254"/>
      <c r="C14" s="279" t="s">
        <v>228</v>
      </c>
      <c r="D14" s="356" t="s">
        <v>223</v>
      </c>
      <c r="E14" s="255"/>
      <c r="F14" s="335">
        <f ca="1">OFFSET($U$14,$K14,0)</f>
        <v>0</v>
      </c>
      <c r="G14" s="336">
        <f ca="1">OFFSET($P$5,$K14,0)</f>
        <v>0</v>
      </c>
      <c r="H14" s="337">
        <f ca="1">OFFSET($R$5,$K14,0)</f>
        <v>0</v>
      </c>
      <c r="I14" s="528"/>
      <c r="J14" s="258">
        <f t="shared" ca="1" si="0"/>
        <v>0</v>
      </c>
      <c r="K14" s="255">
        <f t="shared" si="4"/>
        <v>6</v>
      </c>
      <c r="L14" s="255">
        <f t="shared" ca="1" si="5"/>
        <v>0</v>
      </c>
      <c r="M14" s="274">
        <f ca="1">OFFSET($T$5,$K14,0)</f>
        <v>0</v>
      </c>
      <c r="O14" s="259" t="s">
        <v>247</v>
      </c>
      <c r="P14" s="299">
        <f>Q5*VPCCost</f>
        <v>984.96</v>
      </c>
      <c r="Q14" s="300">
        <v>0</v>
      </c>
      <c r="R14" s="258">
        <f>Q14+P14</f>
        <v>984.96</v>
      </c>
      <c r="S14" s="316">
        <f>((R14)/CapUCost)</f>
        <v>42.824347826086957</v>
      </c>
      <c r="U14" s="334">
        <f>(T5+P14+X5/2)/CapUCost</f>
        <v>62.751884057971026</v>
      </c>
      <c r="V14" s="334">
        <f>(S5+P14+X5)/CapUCost</f>
        <v>82.679420289855074</v>
      </c>
    </row>
    <row r="15" spans="2:33" x14ac:dyDescent="0.2">
      <c r="B15" s="254"/>
      <c r="C15" s="276" t="s">
        <v>229</v>
      </c>
      <c r="D15" s="356">
        <v>0</v>
      </c>
      <c r="E15" s="255"/>
      <c r="F15" s="335">
        <f ca="1">OFFSET($U$14,$K15,0)*D15</f>
        <v>0</v>
      </c>
      <c r="G15" s="336">
        <f ca="1">OFFSET($P$5,$K15,0)*D15</f>
        <v>0</v>
      </c>
      <c r="H15" s="337">
        <f ca="1">OFFSET($R$5,$K15,0)*D15</f>
        <v>0</v>
      </c>
      <c r="I15" s="528"/>
      <c r="J15" s="258">
        <f t="shared" ca="1" si="0"/>
        <v>0</v>
      </c>
      <c r="K15" s="343">
        <f>IF(D15=0,6,0)</f>
        <v>6</v>
      </c>
      <c r="L15" s="255">
        <f t="shared" ca="1" si="5"/>
        <v>0</v>
      </c>
      <c r="M15" s="274">
        <f ca="1">OFFSET($T$5,$K15,0)</f>
        <v>0</v>
      </c>
      <c r="O15" s="259" t="s">
        <v>277</v>
      </c>
      <c r="P15" s="299">
        <f>Q6*VPCCost</f>
        <v>984.96</v>
      </c>
      <c r="Q15" s="300">
        <f>S6</f>
        <v>458.33333333333331</v>
      </c>
      <c r="R15" s="258">
        <f t="shared" ref="R15:R18" si="6">Q15+P15</f>
        <v>1443.2933333333333</v>
      </c>
      <c r="S15" s="316">
        <f>((R15+X6)/CapUCost)</f>
        <v>82.679420289855074</v>
      </c>
      <c r="U15" s="334">
        <f>(T6+P15+X6/2)/CapUCost</f>
        <v>62.751884057971026</v>
      </c>
      <c r="V15" s="334">
        <f>(S6+P15+X6)/CapUCost</f>
        <v>82.679420289855074</v>
      </c>
    </row>
    <row r="16" spans="2:33" x14ac:dyDescent="0.2">
      <c r="B16" s="254"/>
      <c r="C16" s="277"/>
      <c r="D16" s="339"/>
      <c r="E16" s="255"/>
      <c r="F16" s="340"/>
      <c r="G16" s="329"/>
      <c r="H16" s="341"/>
      <c r="I16" s="532"/>
      <c r="J16" s="258">
        <f t="shared" si="0"/>
        <v>0</v>
      </c>
      <c r="K16" s="255">
        <f t="shared" si="4"/>
        <v>6</v>
      </c>
      <c r="O16" s="259" t="s">
        <v>22</v>
      </c>
      <c r="P16" s="299">
        <f>Q7*VPCCost</f>
        <v>1539</v>
      </c>
      <c r="Q16" s="300">
        <f t="shared" ref="Q16:Q18" si="7">S7</f>
        <v>458.33333333333331</v>
      </c>
      <c r="R16" s="258">
        <f t="shared" si="6"/>
        <v>1997.3333333333333</v>
      </c>
      <c r="S16" s="316">
        <f>((R16+X7)/CapUCost)</f>
        <v>106.76811594202898</v>
      </c>
      <c r="U16" s="334">
        <f>(T7+P16+X7/2)/CapUCost</f>
        <v>86.840579710144937</v>
      </c>
      <c r="V16" s="334">
        <f>(S7+P16+X7)/CapUCost</f>
        <v>106.76811594202898</v>
      </c>
    </row>
    <row r="17" spans="2:22" x14ac:dyDescent="0.2">
      <c r="B17" s="254"/>
      <c r="C17" s="276" t="s">
        <v>222</v>
      </c>
      <c r="D17" s="357" t="s">
        <v>223</v>
      </c>
      <c r="E17" s="255"/>
      <c r="F17" s="335">
        <f ca="1">OFFSET($V$14,$K17,0)</f>
        <v>0</v>
      </c>
      <c r="G17" s="336">
        <f ca="1">OFFSET($P$5,$K17,0)</f>
        <v>0</v>
      </c>
      <c r="H17" s="337">
        <f ca="1">OFFSET($R$5,$K17,0)</f>
        <v>0</v>
      </c>
      <c r="I17" s="528"/>
      <c r="J17" s="258">
        <f t="shared" ca="1" si="0"/>
        <v>0</v>
      </c>
      <c r="K17" s="255">
        <f t="shared" si="4"/>
        <v>6</v>
      </c>
      <c r="O17" s="259" t="s">
        <v>278</v>
      </c>
      <c r="P17" s="299">
        <f>Q8*VPCCost</f>
        <v>1600.56</v>
      </c>
      <c r="Q17" s="300">
        <f t="shared" si="7"/>
        <v>458.33333333333331</v>
      </c>
      <c r="R17" s="258">
        <f t="shared" si="6"/>
        <v>2058.8933333333334</v>
      </c>
      <c r="S17" s="316">
        <f>((R17+X8)/CapUCost)</f>
        <v>109.44463768115943</v>
      </c>
      <c r="U17" s="334">
        <f>(T8+P17+X8/2)/CapUCost</f>
        <v>89.517101449275373</v>
      </c>
      <c r="V17" s="334">
        <f>(S8+P17+X8)/CapUCost</f>
        <v>109.44463768115943</v>
      </c>
    </row>
    <row r="18" spans="2:22" ht="17" thickBot="1" x14ac:dyDescent="0.25">
      <c r="B18" s="254"/>
      <c r="C18" s="279"/>
      <c r="D18" s="330"/>
      <c r="E18" s="255"/>
      <c r="F18" s="331"/>
      <c r="G18" s="332"/>
      <c r="H18" s="333"/>
      <c r="I18" s="528"/>
      <c r="J18" s="258">
        <f t="shared" si="0"/>
        <v>0</v>
      </c>
      <c r="K18" s="255">
        <f t="shared" si="4"/>
        <v>6</v>
      </c>
      <c r="O18" s="259" t="s">
        <v>53</v>
      </c>
      <c r="P18" s="299">
        <f>Q9*VPCCost</f>
        <v>2585.52</v>
      </c>
      <c r="Q18" s="309">
        <f t="shared" si="7"/>
        <v>458.33333333333331</v>
      </c>
      <c r="R18" s="310">
        <f t="shared" si="6"/>
        <v>3043.8533333333335</v>
      </c>
      <c r="S18" s="322">
        <f>((R18+X9)/CapUCost)</f>
        <v>152.26898550724638</v>
      </c>
      <c r="U18" s="334">
        <f>(T9+P18+X9/2)/CapUCost</f>
        <v>132.34144927536229</v>
      </c>
      <c r="V18" s="334">
        <f>(S9+P18+X9)/CapUCost</f>
        <v>152.26898550724638</v>
      </c>
    </row>
    <row r="19" spans="2:22" x14ac:dyDescent="0.2">
      <c r="B19" s="254"/>
      <c r="C19" s="227"/>
      <c r="D19" s="262"/>
      <c r="E19" s="255"/>
      <c r="F19" s="328"/>
      <c r="G19" s="329"/>
      <c r="H19" s="329"/>
      <c r="I19" s="528"/>
      <c r="J19" s="258">
        <f t="shared" si="0"/>
        <v>0</v>
      </c>
      <c r="K19" s="255">
        <f>IF(ISNUMBER(SEARCH("Dev",#REF!)),0,IF(ISNUMBER(SEARCH("xSmall",#REF!)),1,IF(ISNUMBER(SEARCH("Small",#REF!)),2,IF(ISNUMBER(SEARCH("Medium",#REF!)),3,IF(ISNUMBER(SEARCH("Beyond Large",#REF!)),5,IF(ISNUMBER(SEARCH("Large",#REF!)),4,6))))))</f>
        <v>6</v>
      </c>
      <c r="L19" s="275"/>
      <c r="P19" s="299"/>
      <c r="Q19" s="261"/>
      <c r="R19" s="261"/>
      <c r="S19" s="260"/>
    </row>
    <row r="20" spans="2:22" x14ac:dyDescent="0.2">
      <c r="B20" s="254"/>
      <c r="C20" s="255"/>
      <c r="D20" s="262"/>
      <c r="E20" s="255"/>
      <c r="F20" s="328"/>
      <c r="G20" s="329"/>
      <c r="H20" s="329"/>
      <c r="I20" s="528"/>
      <c r="J20" s="258">
        <f t="shared" si="0"/>
        <v>0</v>
      </c>
      <c r="K20" s="255">
        <f>IF(ISNUMBER(SEARCH("Dev",#REF!)),0,IF(ISNUMBER(SEARCH("xSmall",#REF!)),1,IF(ISNUMBER(SEARCH("Small",#REF!)),2,IF(ISNUMBER(SEARCH("Medium",#REF!)),3,IF(ISNUMBER(SEARCH("Beyond Large",#REF!)),5,IF(ISNUMBER(SEARCH("Large",#REF!)),4,6))))))</f>
        <v>6</v>
      </c>
      <c r="P20" s="299"/>
      <c r="Q20" s="261"/>
      <c r="R20" s="299"/>
      <c r="S20" s="260"/>
    </row>
    <row r="21" spans="2:22" x14ac:dyDescent="0.2">
      <c r="B21" s="254"/>
      <c r="C21" s="255"/>
      <c r="D21" s="615" t="s">
        <v>400</v>
      </c>
      <c r="E21" s="255"/>
      <c r="F21" s="328"/>
      <c r="G21" s="329"/>
      <c r="H21" s="329"/>
      <c r="I21" s="528"/>
      <c r="J21" s="258">
        <f t="shared" si="0"/>
        <v>0</v>
      </c>
      <c r="K21" s="255">
        <f>IF(ISNUMBER(SEARCH("Dev",D19)),0,IF(ISNUMBER(SEARCH("xSmall",D19)),1,IF(ISNUMBER(SEARCH("Small",D19)),2,IF(ISNUMBER(SEARCH("Medium",D19)),3,IF(ISNUMBER(SEARCH("Beyond Large",D19)),5,IF(ISNUMBER(SEARCH("Large",D19)),4,6))))))</f>
        <v>6</v>
      </c>
      <c r="M21" s="259"/>
      <c r="P21" s="260"/>
      <c r="Q21" s="261"/>
      <c r="R21" s="260"/>
      <c r="S21" s="260"/>
    </row>
    <row r="22" spans="2:22" ht="17" thickBot="1" x14ac:dyDescent="0.25">
      <c r="B22" s="254"/>
      <c r="C22" s="255"/>
      <c r="D22" s="615"/>
      <c r="E22" s="255"/>
      <c r="F22" s="328"/>
      <c r="G22" s="329"/>
      <c r="H22" s="329"/>
      <c r="I22" s="528"/>
      <c r="J22" s="258"/>
      <c r="K22" s="255">
        <f>IF(ISNUMBER(SEARCH("Dev",#REF!)),0,IF(ISNUMBER(SEARCH("xSmall",#REF!)),1,IF(ISNUMBER(SEARCH("Small",#REF!)),2,IF(ISNUMBER(SEARCH("Medium",#REF!)),3,IF(ISNUMBER(SEARCH("Beyond Large",#REF!)),5,IF(ISNUMBER(SEARCH("Large",#REF!)),4,6))))))</f>
        <v>6</v>
      </c>
      <c r="M22" s="259"/>
      <c r="P22" s="260"/>
      <c r="R22" s="260"/>
    </row>
    <row r="23" spans="2:22" ht="17" thickBot="1" x14ac:dyDescent="0.25">
      <c r="B23" s="254"/>
      <c r="C23" s="255"/>
      <c r="D23" s="262"/>
      <c r="E23" s="255"/>
      <c r="F23" s="312" t="s">
        <v>232</v>
      </c>
      <c r="G23" s="313" t="s">
        <v>5</v>
      </c>
      <c r="H23" s="314" t="s">
        <v>6</v>
      </c>
      <c r="I23" s="529"/>
      <c r="J23" s="258"/>
      <c r="K23" s="255">
        <f>IF(ISNUMBER(SEARCH("Dev",#REF!)),0,IF(ISNUMBER(SEARCH("xSmall",#REF!)),1,IF(ISNUMBER(SEARCH("Small",#REF!)),2,IF(ISNUMBER(SEARCH("Medium",#REF!)),3,IF(ISNUMBER(SEARCH("Beyond Large",#REF!)),5,IF(ISNUMBER(SEARCH("Large",#REF!)),4,6))))))</f>
        <v>6</v>
      </c>
      <c r="L23" s="298"/>
      <c r="M23" s="298"/>
      <c r="N23" s="298"/>
      <c r="P23" s="260"/>
      <c r="Q23" s="284"/>
      <c r="R23" s="537"/>
      <c r="S23" s="284"/>
    </row>
    <row r="24" spans="2:22" ht="17" thickBot="1" x14ac:dyDescent="0.25">
      <c r="B24" s="254"/>
      <c r="C24" s="255"/>
      <c r="D24" s="265" t="s">
        <v>337</v>
      </c>
      <c r="E24" s="255"/>
      <c r="F24" s="317">
        <f ca="1">SUM(F5:F19)</f>
        <v>0</v>
      </c>
      <c r="G24" s="318">
        <f ca="1">SUM(G5:G19)</f>
        <v>0</v>
      </c>
      <c r="H24" s="319">
        <f ca="1">SUM(H5:H19)</f>
        <v>0</v>
      </c>
      <c r="I24" s="528"/>
      <c r="J24" s="258">
        <f ca="1">CapUdiscounedpriceyearly*F24+VPCdiscountedpriceyearly*G24+GBstoragediscountedpriceyearly*H24</f>
        <v>0</v>
      </c>
      <c r="K24" s="255">
        <f>IF(ISNUMBER(SEARCH("Dev",#REF!)),0,IF(ISNUMBER(SEARCH("xSmall",#REF!)),1,IF(ISNUMBER(SEARCH("Small",#REF!)),2,IF(ISNUMBER(SEARCH("Medium",#REF!)),3,IF(ISNUMBER(SEARCH("Beyond Large",#REF!)),5,IF(ISNUMBER(SEARCH("Large",#REF!)),4,6))))))</f>
        <v>6</v>
      </c>
      <c r="M24" s="259"/>
      <c r="P24" s="260"/>
      <c r="R24" s="260"/>
    </row>
    <row r="25" spans="2:22" x14ac:dyDescent="0.2">
      <c r="B25" s="254"/>
      <c r="C25" s="255"/>
      <c r="D25" s="262"/>
      <c r="E25" s="255"/>
      <c r="F25" s="321"/>
      <c r="G25" s="255"/>
      <c r="H25" s="255"/>
      <c r="I25" s="528"/>
      <c r="J25" s="258"/>
      <c r="K25" s="255">
        <f>IF(ISNUMBER(SEARCH("Dev",#REF!)),0,IF(ISNUMBER(SEARCH("xSmall",#REF!)),1,IF(ISNUMBER(SEARCH("Small",#REF!)),2,IF(ISNUMBER(SEARCH("Medium",#REF!)),3,IF(ISNUMBER(SEARCH("Beyond Large",#REF!)),5,IF(ISNUMBER(SEARCH("Large",#REF!)),4,6))))))</f>
        <v>6</v>
      </c>
      <c r="P25" s="260"/>
      <c r="Q25" s="261"/>
      <c r="R25" s="260"/>
      <c r="S25" s="260"/>
    </row>
    <row r="26" spans="2:22" x14ac:dyDescent="0.2">
      <c r="B26" s="254"/>
      <c r="C26" s="255"/>
      <c r="D26" s="267" t="s">
        <v>321</v>
      </c>
      <c r="E26" s="255"/>
      <c r="F26" s="614" t="str">
        <f>I10&amp;" | "&amp;K39</f>
        <v xml:space="preserve"> | </v>
      </c>
      <c r="G26" s="614"/>
      <c r="H26" s="614"/>
      <c r="I26" s="528"/>
      <c r="J26" s="258"/>
      <c r="K26" s="255">
        <f>IF(ISNUMBER(SEARCH("Dev",#REF!)),0,IF(ISNUMBER(SEARCH("xSmall",#REF!)),1,IF(ISNUMBER(SEARCH("Small",#REF!)),2,IF(ISNUMBER(SEARCH("Medium",#REF!)),3,IF(ISNUMBER(SEARCH("Beyond Large",#REF!)),5,IF(ISNUMBER(SEARCH("Large",#REF!)),4,6))))))</f>
        <v>6</v>
      </c>
      <c r="P26" s="299"/>
      <c r="Q26" s="261"/>
      <c r="R26" s="261"/>
      <c r="S26" s="260"/>
    </row>
    <row r="27" spans="2:22" x14ac:dyDescent="0.2">
      <c r="B27" s="254"/>
      <c r="C27" s="255"/>
      <c r="D27" s="262"/>
      <c r="E27" s="255"/>
      <c r="F27" s="614"/>
      <c r="G27" s="614"/>
      <c r="H27" s="614"/>
      <c r="I27" s="528"/>
      <c r="J27" s="258"/>
      <c r="K27" s="255">
        <f>IF(ISNUMBER(SEARCH("Dev",#REF!)),0,IF(ISNUMBER(SEARCH("xSmall",#REF!)),1,IF(ISNUMBER(SEARCH("Small",#REF!)),2,IF(ISNUMBER(SEARCH("Medium",#REF!)),3,IF(ISNUMBER(SEARCH("Beyond Large",#REF!)),5,IF(ISNUMBER(SEARCH("Large",#REF!)),4,6))))))</f>
        <v>6</v>
      </c>
      <c r="P27" s="299"/>
      <c r="Q27" s="261"/>
      <c r="R27" s="261"/>
      <c r="S27" s="260"/>
    </row>
    <row r="28" spans="2:22" x14ac:dyDescent="0.2">
      <c r="B28" s="254"/>
      <c r="C28" s="255"/>
      <c r="D28" s="262"/>
      <c r="E28" s="255"/>
      <c r="F28" s="614"/>
      <c r="G28" s="614"/>
      <c r="H28" s="614"/>
      <c r="I28" s="528"/>
      <c r="J28" s="258"/>
      <c r="P28" s="299"/>
      <c r="Q28" s="261"/>
      <c r="R28" s="261"/>
      <c r="S28" s="260"/>
    </row>
    <row r="29" spans="2:22" x14ac:dyDescent="0.2">
      <c r="B29" s="254"/>
      <c r="C29" s="255"/>
      <c r="D29" s="262"/>
      <c r="E29" s="255"/>
      <c r="F29" s="614"/>
      <c r="G29" s="614"/>
      <c r="H29" s="614"/>
      <c r="I29" s="528"/>
      <c r="J29" s="258"/>
      <c r="P29" s="299"/>
      <c r="Q29" s="261"/>
      <c r="R29" s="261"/>
      <c r="S29" s="260"/>
    </row>
    <row r="30" spans="2:22" x14ac:dyDescent="0.2">
      <c r="B30" s="254"/>
      <c r="C30" s="255"/>
      <c r="D30" s="262"/>
      <c r="E30" s="255"/>
      <c r="F30" s="614"/>
      <c r="G30" s="614"/>
      <c r="H30" s="614"/>
      <c r="I30" s="528"/>
      <c r="J30" s="258"/>
      <c r="P30" s="299"/>
      <c r="Q30" s="261"/>
      <c r="R30" s="261"/>
      <c r="S30" s="260"/>
    </row>
    <row r="31" spans="2:22" x14ac:dyDescent="0.2">
      <c r="B31" s="254"/>
      <c r="C31" s="255"/>
      <c r="D31" s="262"/>
      <c r="E31" s="255"/>
      <c r="F31" s="614"/>
      <c r="G31" s="614"/>
      <c r="H31" s="614"/>
      <c r="I31" s="528"/>
      <c r="J31" s="258"/>
      <c r="P31" s="299"/>
      <c r="Q31" s="261"/>
      <c r="R31" s="261"/>
      <c r="S31" s="260"/>
    </row>
    <row r="32" spans="2:22" x14ac:dyDescent="0.2">
      <c r="B32" s="254"/>
      <c r="C32" s="255"/>
      <c r="D32" s="262"/>
      <c r="E32" s="255"/>
      <c r="F32" s="614"/>
      <c r="G32" s="614"/>
      <c r="H32" s="614"/>
      <c r="I32" s="528"/>
    </row>
    <row r="33" spans="1:27" x14ac:dyDescent="0.2">
      <c r="B33" s="254"/>
      <c r="C33" s="255"/>
      <c r="D33" s="262"/>
      <c r="E33" s="255"/>
      <c r="F33" s="614"/>
      <c r="G33" s="614"/>
      <c r="H33" s="614"/>
      <c r="I33" s="528"/>
      <c r="J33" s="258"/>
    </row>
    <row r="34" spans="1:27" x14ac:dyDescent="0.2">
      <c r="B34" s="254"/>
      <c r="C34" s="255"/>
      <c r="D34" s="262"/>
      <c r="E34" s="255"/>
      <c r="F34" s="614"/>
      <c r="G34" s="614"/>
      <c r="H34" s="614"/>
      <c r="I34" s="528"/>
      <c r="J34" s="258"/>
    </row>
    <row r="35" spans="1:27" x14ac:dyDescent="0.2">
      <c r="B35" s="254"/>
      <c r="C35" s="255"/>
      <c r="D35" s="262"/>
      <c r="E35" s="255"/>
      <c r="F35" s="614"/>
      <c r="G35" s="614"/>
      <c r="H35" s="614"/>
      <c r="I35" s="528"/>
      <c r="J35" s="287"/>
    </row>
    <row r="36" spans="1:27" x14ac:dyDescent="0.2">
      <c r="B36" s="269"/>
      <c r="C36" s="270"/>
      <c r="D36" s="271"/>
      <c r="E36" s="270"/>
      <c r="F36" s="324"/>
      <c r="G36" s="270"/>
      <c r="H36" s="270"/>
      <c r="I36" s="540"/>
      <c r="J36" s="258">
        <f ca="1">CapUdiscounedpriceyearly*F24+VPCdiscountedpriceyearly*G24+GBstoragediscountedpriceyearly*H24</f>
        <v>0</v>
      </c>
      <c r="K36" s="255">
        <f>SUM(K5:K27)</f>
        <v>132</v>
      </c>
      <c r="L36" s="260">
        <f ca="1">SUM(L5:L16)</f>
        <v>0</v>
      </c>
      <c r="M36" s="274">
        <f ca="1">SUM(M5:M18)</f>
        <v>0</v>
      </c>
    </row>
    <row r="37" spans="1:27" x14ac:dyDescent="0.2">
      <c r="A37" s="255"/>
      <c r="B37" s="255"/>
      <c r="J37" s="258"/>
      <c r="K37" s="255" t="b">
        <f>IF((COUNTIF(K6:K19,"&lt;6")),TRUE,FALSE)</f>
        <v>0</v>
      </c>
      <c r="L37" s="275"/>
    </row>
    <row r="38" spans="1:27" x14ac:dyDescent="0.2">
      <c r="A38" s="255"/>
      <c r="B38" s="255"/>
      <c r="C38" s="273"/>
      <c r="J38" s="258" t="s">
        <v>541</v>
      </c>
      <c r="L38" s="274"/>
    </row>
    <row r="39" spans="1:27" x14ac:dyDescent="0.2">
      <c r="A39" s="255"/>
      <c r="B39" s="255"/>
      <c r="C39" s="255"/>
      <c r="J39" s="259" t="b">
        <f>IF(COUNTIF(K6:K17,5),TRUE,FALSE)</f>
        <v>0</v>
      </c>
      <c r="K39" s="258" t="str">
        <f>IF(J39,"Error: Quote contains Beyond Large size, contact Drew.A.Sens@ibm.com for custom quote","")</f>
        <v/>
      </c>
    </row>
    <row r="40" spans="1:27" x14ac:dyDescent="0.2">
      <c r="A40" s="255"/>
      <c r="B40" s="255"/>
      <c r="C40" s="255"/>
      <c r="J40" s="258"/>
    </row>
    <row r="41" spans="1:27" x14ac:dyDescent="0.2">
      <c r="A41" s="255"/>
      <c r="B41" s="255"/>
      <c r="C41" s="255"/>
      <c r="J41" s="258"/>
    </row>
    <row r="42" spans="1:27" x14ac:dyDescent="0.2">
      <c r="C42" s="255"/>
      <c r="J42" s="258"/>
    </row>
    <row r="43" spans="1:27" x14ac:dyDescent="0.2">
      <c r="J43" s="258"/>
    </row>
    <row r="44" spans="1:27" x14ac:dyDescent="0.2">
      <c r="J44" s="258"/>
    </row>
    <row r="45" spans="1:27" x14ac:dyDescent="0.2">
      <c r="J45" s="258"/>
    </row>
    <row r="46" spans="1:27" x14ac:dyDescent="0.2">
      <c r="J46" s="258"/>
    </row>
    <row r="47" spans="1:27" s="255" customFormat="1" x14ac:dyDescent="0.2">
      <c r="B47" s="259"/>
      <c r="C47" s="259"/>
      <c r="D47" s="386"/>
      <c r="E47" s="259"/>
      <c r="F47" s="326"/>
      <c r="G47" s="259"/>
      <c r="H47" s="259"/>
      <c r="I47" s="526"/>
      <c r="J47" s="258"/>
      <c r="L47" s="259"/>
      <c r="M47" s="274"/>
      <c r="N47" s="259"/>
      <c r="O47" s="259"/>
      <c r="P47" s="259"/>
      <c r="Q47" s="259"/>
      <c r="R47" s="259"/>
      <c r="S47" s="259"/>
      <c r="T47" s="259"/>
      <c r="U47" s="259"/>
      <c r="V47" s="259"/>
      <c r="W47" s="259"/>
      <c r="X47" s="259"/>
      <c r="Y47" s="259"/>
      <c r="Z47" s="259"/>
      <c r="AA47" s="259"/>
    </row>
    <row r="48" spans="1:27" s="255" customFormat="1" x14ac:dyDescent="0.2">
      <c r="B48" s="259"/>
      <c r="C48" s="259"/>
      <c r="D48" s="386"/>
      <c r="E48" s="259"/>
      <c r="F48" s="326"/>
      <c r="G48" s="259"/>
      <c r="H48" s="259"/>
      <c r="I48" s="526"/>
      <c r="J48" s="258"/>
      <c r="L48" s="259"/>
      <c r="M48" s="274"/>
      <c r="N48" s="259"/>
      <c r="O48" s="259"/>
      <c r="P48" s="259"/>
      <c r="Q48" s="259"/>
      <c r="R48" s="259"/>
      <c r="S48" s="259"/>
      <c r="T48" s="259"/>
      <c r="U48" s="259"/>
      <c r="V48" s="259"/>
      <c r="W48" s="259"/>
      <c r="X48" s="259"/>
      <c r="Y48" s="259"/>
      <c r="Z48" s="259"/>
      <c r="AA48" s="259"/>
    </row>
    <row r="56" spans="3:3" ht="17" x14ac:dyDescent="0.2">
      <c r="C56" s="596"/>
    </row>
    <row r="57" spans="3:3" ht="17" x14ac:dyDescent="0.2">
      <c r="C57" s="596"/>
    </row>
    <row r="58" spans="3:3" ht="17" x14ac:dyDescent="0.2">
      <c r="C58" s="596"/>
    </row>
    <row r="59" spans="3:3" ht="17" x14ac:dyDescent="0.2">
      <c r="C59" s="596"/>
    </row>
    <row r="60" spans="3:3" ht="17" x14ac:dyDescent="0.2">
      <c r="C60" s="596"/>
    </row>
    <row r="61" spans="3:3" ht="17" x14ac:dyDescent="0.2">
      <c r="C61" s="596"/>
    </row>
    <row r="62" spans="3:3" ht="17" x14ac:dyDescent="0.2">
      <c r="C62" s="596"/>
    </row>
    <row r="63" spans="3:3" ht="17" x14ac:dyDescent="0.2">
      <c r="C63" s="596"/>
    </row>
    <row r="64" spans="3:3" ht="17" x14ac:dyDescent="0.2">
      <c r="C64" s="596"/>
    </row>
    <row r="65" spans="3:3" ht="17" x14ac:dyDescent="0.2">
      <c r="C65" s="596"/>
    </row>
    <row r="66" spans="3:3" ht="17" x14ac:dyDescent="0.2">
      <c r="C66" s="596"/>
    </row>
    <row r="67" spans="3:3" ht="17" x14ac:dyDescent="0.2">
      <c r="C67" s="596"/>
    </row>
    <row r="68" spans="3:3" ht="17" x14ac:dyDescent="0.2">
      <c r="C68" s="596"/>
    </row>
    <row r="69" spans="3:3" ht="17" x14ac:dyDescent="0.2">
      <c r="C69" s="596"/>
    </row>
    <row r="70" spans="3:3" ht="17" x14ac:dyDescent="0.2">
      <c r="C70" s="596"/>
    </row>
    <row r="71" spans="3:3" ht="17" x14ac:dyDescent="0.2">
      <c r="C71" s="597"/>
    </row>
    <row r="72" spans="3:3" ht="17" x14ac:dyDescent="0.2">
      <c r="C72" s="596"/>
    </row>
    <row r="73" spans="3:3" ht="17" x14ac:dyDescent="0.2">
      <c r="C73" s="596"/>
    </row>
    <row r="74" spans="3:3" ht="17" x14ac:dyDescent="0.2">
      <c r="C74" s="596"/>
    </row>
    <row r="75" spans="3:3" ht="17" x14ac:dyDescent="0.2">
      <c r="C75" s="597"/>
    </row>
    <row r="76" spans="3:3" ht="17" x14ac:dyDescent="0.2">
      <c r="C76" s="596"/>
    </row>
  </sheetData>
  <sheetProtection algorithmName="SHA-512" hashValue="KeN8sjTOoX7DClRm6/LeKF1LTxzENl9lfvSu8FrWrQBBO9/avVRiVnvpdVqQECAchxEgJXdJ5tMiOa4UFdhRqg==" saltValue="dXCJA1qiTDWMFPkW/6PRNw==" spinCount="100000" sheet="1" objects="1" scenarios="1"/>
  <dataConsolidate/>
  <mergeCells count="5">
    <mergeCell ref="I5:I6"/>
    <mergeCell ref="Q12:S12"/>
    <mergeCell ref="D21:D22"/>
    <mergeCell ref="F26:H35"/>
    <mergeCell ref="AC3:AD3"/>
  </mergeCells>
  <dataValidations count="4">
    <dataValidation type="list" allowBlank="1" showInputMessage="1" showErrorMessage="1" sqref="D18" xr:uid="{86A16860-42B6-2642-939E-BC308403D078}">
      <formula1>tshirtsizes</formula1>
    </dataValidation>
    <dataValidation type="list" allowBlank="1" showInputMessage="1" showErrorMessage="1" sqref="D6" xr:uid="{30D77BB5-F7F6-4E43-8682-668B1478EF05}">
      <formula1>assistprodsizes</formula1>
    </dataValidation>
    <dataValidation type="list" allowBlank="1" showInputMessage="1" showErrorMessage="1" sqref="D10:D14" xr:uid="{4021AC65-CF45-9545-9314-BAD4E6DA6247}">
      <formula1 xml:space="preserve"> Assistsizesyesno</formula1>
    </dataValidation>
    <dataValidation type="list" allowBlank="1" showInputMessage="1" showErrorMessage="1" sqref="D15" xr:uid="{B96145E6-BAE3-5542-8EC5-2B45C3E96757}">
      <formula1>zerothroughten</formula1>
    </dataValidation>
  </dataValidations>
  <hyperlinks>
    <hyperlink ref="D21" location="'Output Dashboard'!A1" display="Go to Output Dashboard" xr:uid="{2DA5F423-DD87-0249-9517-D1E0172DF2C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PoC" prompt="Allowable duration of PoC Environment is 3-6 months" xr:uid="{AB21520E-2AEF-6845-A80F-5840D75BDC15}">
          <x14:formula1>
            <xm:f>txts!$H$48:$H$49</xm:f>
          </x14:formula1>
          <xm:sqref>D17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B9DBE-A551-374D-815A-3128CA2C94A0}">
  <sheetPr codeName="Sheet9">
    <tabColor theme="9" tint="0.79998168889431442"/>
  </sheetPr>
  <dimension ref="A1:AH48"/>
  <sheetViews>
    <sheetView zoomScale="119" zoomScaleNormal="125" workbookViewId="0">
      <selection activeCell="D20" sqref="D20"/>
    </sheetView>
  </sheetViews>
  <sheetFormatPr baseColWidth="10" defaultRowHeight="16" outlineLevelCol="1" x14ac:dyDescent="0.2"/>
  <cols>
    <col min="1" max="1" width="1.83203125" style="259" customWidth="1"/>
    <col min="2" max="2" width="6" style="259" customWidth="1"/>
    <col min="3" max="3" width="73.83203125" style="259" customWidth="1"/>
    <col min="4" max="4" width="39.83203125" style="386" customWidth="1"/>
    <col min="5" max="5" width="2.6640625" style="259" customWidth="1"/>
    <col min="6" max="6" width="19.5" style="326" bestFit="1" customWidth="1"/>
    <col min="7" max="7" width="17.6640625" style="259" customWidth="1"/>
    <col min="8" max="8" width="17.83203125" style="259" customWidth="1"/>
    <col min="9" max="9" width="46.83203125" style="327" customWidth="1"/>
    <col min="10" max="10" width="25.6640625" style="261" hidden="1" customWidth="1" outlineLevel="1"/>
    <col min="11" max="11" width="15.33203125" style="255" hidden="1" customWidth="1" outlineLevel="1"/>
    <col min="12" max="12" width="20.83203125" style="259" hidden="1" customWidth="1" outlineLevel="1"/>
    <col min="13" max="13" width="13" style="274" hidden="1" customWidth="1" outlineLevel="1"/>
    <col min="14" max="15" width="10.83203125" style="259" hidden="1" customWidth="1" outlineLevel="1"/>
    <col min="16" max="16" width="13.5" style="259" hidden="1" customWidth="1" outlineLevel="1"/>
    <col min="17" max="17" width="14.33203125" style="259" hidden="1" customWidth="1" outlineLevel="1"/>
    <col min="18" max="18" width="15" style="259" hidden="1" customWidth="1" outlineLevel="1"/>
    <col min="19" max="19" width="20" style="259" hidden="1" customWidth="1" outlineLevel="1"/>
    <col min="20" max="20" width="13.83203125" style="259" hidden="1" customWidth="1" outlineLevel="1"/>
    <col min="21" max="21" width="14.1640625" style="259" hidden="1" customWidth="1" outlineLevel="1"/>
    <col min="22" max="22" width="10.83203125" style="259" hidden="1" customWidth="1" outlineLevel="1"/>
    <col min="23" max="23" width="25.1640625" style="259" hidden="1" customWidth="1" outlineLevel="1"/>
    <col min="24" max="24" width="15.1640625" style="259" hidden="1" customWidth="1" outlineLevel="1"/>
    <col min="25" max="33" width="10.83203125" style="259" hidden="1" customWidth="1" outlineLevel="1"/>
    <col min="34" max="34" width="10.83203125" style="259" collapsed="1"/>
    <col min="35" max="16384" width="10.83203125" style="259"/>
  </cols>
  <sheetData>
    <row r="1" spans="2:33" ht="9" customHeight="1" x14ac:dyDescent="0.2"/>
    <row r="2" spans="2:33" ht="13" customHeight="1" x14ac:dyDescent="0.2">
      <c r="B2" s="280" t="str">
        <f>'Output Dashboard'!B2</f>
        <v>MAS Managed Service Calculator 5.4</v>
      </c>
      <c r="C2" s="281"/>
      <c r="D2" s="346"/>
      <c r="E2" s="281"/>
      <c r="F2" s="347"/>
      <c r="G2" s="281"/>
      <c r="H2" s="281"/>
      <c r="I2" s="348"/>
      <c r="J2" s="258"/>
      <c r="V2" s="259" t="s">
        <v>480</v>
      </c>
      <c r="W2" s="259" t="s">
        <v>479</v>
      </c>
    </row>
    <row r="3" spans="2:33" ht="17" thickBot="1" x14ac:dyDescent="0.25">
      <c r="B3" s="283" t="s">
        <v>522</v>
      </c>
      <c r="C3" s="255"/>
      <c r="D3" s="262"/>
      <c r="E3" s="255"/>
      <c r="F3" s="321"/>
      <c r="G3" s="255"/>
      <c r="H3" s="255"/>
      <c r="I3" s="320"/>
      <c r="J3" s="258"/>
      <c r="L3" s="259" t="s">
        <v>379</v>
      </c>
      <c r="P3" s="284" t="s">
        <v>514</v>
      </c>
      <c r="Q3" s="284" t="s">
        <v>515</v>
      </c>
      <c r="V3" s="259" t="b">
        <v>0</v>
      </c>
      <c r="W3" s="259" t="b">
        <v>0</v>
      </c>
      <c r="AC3" s="610" t="s">
        <v>4</v>
      </c>
      <c r="AD3" s="610"/>
    </row>
    <row r="4" spans="2:33" ht="16" customHeight="1" thickBot="1" x14ac:dyDescent="0.25">
      <c r="B4" s="254"/>
      <c r="C4" s="255"/>
      <c r="D4" s="262"/>
      <c r="E4" s="255"/>
      <c r="F4" s="349" t="s">
        <v>232</v>
      </c>
      <c r="G4" s="285" t="s">
        <v>5</v>
      </c>
      <c r="H4" s="286" t="s">
        <v>6</v>
      </c>
      <c r="I4" s="315" t="s">
        <v>388</v>
      </c>
      <c r="J4" s="350" t="s">
        <v>403</v>
      </c>
      <c r="K4" s="288" t="s">
        <v>7</v>
      </c>
      <c r="L4" s="289" t="s">
        <v>295</v>
      </c>
      <c r="M4" s="351" t="s">
        <v>302</v>
      </c>
      <c r="N4" s="259" t="s">
        <v>145</v>
      </c>
      <c r="P4" s="259" t="s">
        <v>258</v>
      </c>
      <c r="Q4" s="259" t="s">
        <v>513</v>
      </c>
      <c r="R4" s="259" t="s">
        <v>535</v>
      </c>
      <c r="S4" s="259" t="s">
        <v>575</v>
      </c>
      <c r="T4" s="259" t="s">
        <v>282</v>
      </c>
      <c r="U4" s="259" t="s">
        <v>536</v>
      </c>
      <c r="V4" s="259" t="s">
        <v>477</v>
      </c>
      <c r="W4" s="259" t="s">
        <v>478</v>
      </c>
      <c r="X4" s="259" t="s">
        <v>481</v>
      </c>
      <c r="AC4" s="259" t="s">
        <v>25</v>
      </c>
      <c r="AD4" s="259" t="s">
        <v>445</v>
      </c>
      <c r="AE4" s="259" t="s">
        <v>443</v>
      </c>
      <c r="AF4" s="259" t="s">
        <v>378</v>
      </c>
      <c r="AG4" s="259" t="s">
        <v>282</v>
      </c>
    </row>
    <row r="5" spans="2:33" ht="17" thickBot="1" x14ac:dyDescent="0.25">
      <c r="B5" s="254"/>
      <c r="C5" s="291" t="s">
        <v>523</v>
      </c>
      <c r="D5" s="292" t="str">
        <f>IF(D6="None","No","Yes")</f>
        <v>No</v>
      </c>
      <c r="E5" s="255"/>
      <c r="F5" s="352"/>
      <c r="G5" s="353"/>
      <c r="H5" s="354"/>
      <c r="I5" s="355"/>
      <c r="J5" s="258"/>
      <c r="O5" s="259" t="s">
        <v>247</v>
      </c>
      <c r="P5" s="259">
        <f>mvivpcdev</f>
        <v>4</v>
      </c>
      <c r="Q5" s="259">
        <v>0</v>
      </c>
      <c r="R5" s="259">
        <f>mvigbdev</f>
        <v>100</v>
      </c>
      <c r="S5" s="293">
        <v>458.33333333333331</v>
      </c>
      <c r="T5" s="299">
        <f>T6</f>
        <v>229.16666666666666</v>
      </c>
      <c r="U5" s="259">
        <v>0</v>
      </c>
      <c r="V5" s="259">
        <v>0</v>
      </c>
      <c r="W5" s="259">
        <f>IF($V$3,V5,0)</f>
        <v>0</v>
      </c>
      <c r="X5" s="259">
        <v>0</v>
      </c>
      <c r="AB5" s="259" t="s">
        <v>247</v>
      </c>
      <c r="AC5" s="259">
        <f>Predictvpcdev</f>
        <v>2</v>
      </c>
      <c r="AD5" s="259">
        <f>mlvpcdev+studiovpcdev</f>
        <v>28</v>
      </c>
      <c r="AE5" s="259">
        <f>Predictdbdev</f>
        <v>512</v>
      </c>
      <c r="AF5" s="293">
        <v>458.33333333333331</v>
      </c>
      <c r="AG5" s="299">
        <f>AG6</f>
        <v>229.16666666666666</v>
      </c>
    </row>
    <row r="6" spans="2:33" x14ac:dyDescent="0.2">
      <c r="B6" s="254"/>
      <c r="C6" s="279" t="s">
        <v>534</v>
      </c>
      <c r="D6" s="356" t="s">
        <v>223</v>
      </c>
      <c r="E6" s="255"/>
      <c r="F6" s="335">
        <f ca="1">OFFSET($R$22,$K6,0)+OFFSET($S$14,$K6,0)</f>
        <v>0</v>
      </c>
      <c r="G6" s="336">
        <f ca="1">OFFSET($P$5,$K6,0)</f>
        <v>0</v>
      </c>
      <c r="H6" s="337">
        <f ca="1">OFFSET($R$5,$K6,0)</f>
        <v>0</v>
      </c>
      <c r="I6" s="338" t="str">
        <f ca="1">OFFSET($S$22,$K6,0)</f>
        <v xml:space="preserve"> </v>
      </c>
      <c r="J6" s="258">
        <f t="shared" ref="J6:J21" ca="1" si="0">CapUdiscounedpriceyearly*F6+VPCdiscountedpriceyearly*G6+GBstoragediscountedpriceyearly*H6</f>
        <v>0</v>
      </c>
      <c r="K6" s="255">
        <f>IF(ISNUMBER(SEARCH("Dev",D6)),0,IF(ISNUMBER(SEARCH("xSmall",D6)),1,IF(ISNUMBER(SEARCH("Small",D6)),2,IF(ISNUMBER(SEARCH("Medium",D6)),3,IF(ISNUMBER(SEARCH("Beyond Large",D6)),5,IF(ISNUMBER(SEARCH("Large",D6)),4,6))))))</f>
        <v>6</v>
      </c>
      <c r="L6" s="255">
        <f ca="1">OFFSET($Q$5,$K6,0)</f>
        <v>0</v>
      </c>
      <c r="M6" s="274">
        <f ca="1">OFFSET($Q$14,$K6,0)</f>
        <v>0</v>
      </c>
      <c r="N6" s="255">
        <f ca="1">OFFSET($Q$22,$K6,0)</f>
        <v>0</v>
      </c>
      <c r="O6" s="259" t="s">
        <v>277</v>
      </c>
      <c r="P6" s="259">
        <f>mvivpcxsmall</f>
        <v>4</v>
      </c>
      <c r="Q6" s="259">
        <v>0</v>
      </c>
      <c r="R6" s="259">
        <f>mvigbxsmall</f>
        <v>100</v>
      </c>
      <c r="S6" s="293">
        <v>458.33333333333331</v>
      </c>
      <c r="T6" s="299">
        <f t="shared" ref="T6:T9" si="1">S6/2</f>
        <v>229.16666666666666</v>
      </c>
      <c r="U6" s="259">
        <v>0</v>
      </c>
      <c r="V6" s="259">
        <v>0</v>
      </c>
      <c r="W6" s="259">
        <f t="shared" ref="W6:W9" si="2">IF($V$3,V6,0)</f>
        <v>0</v>
      </c>
      <c r="X6" s="259">
        <v>0</v>
      </c>
      <c r="AB6" s="259" t="s">
        <v>277</v>
      </c>
      <c r="AC6" s="259">
        <f>Predictvpcxsmall</f>
        <v>2</v>
      </c>
      <c r="AD6" s="259">
        <f>mlvpcxsmall+studiovpcxsmall</f>
        <v>44</v>
      </c>
      <c r="AE6" s="259">
        <f>Predictdbxsmall</f>
        <v>512</v>
      </c>
      <c r="AF6" s="293">
        <v>458.33333333333331</v>
      </c>
      <c r="AG6" s="299">
        <f t="shared" ref="AG6:AG9" si="3">AF6/2</f>
        <v>229.16666666666666</v>
      </c>
    </row>
    <row r="7" spans="2:33" x14ac:dyDescent="0.2">
      <c r="B7" s="254"/>
      <c r="C7" s="255"/>
      <c r="D7" s="262"/>
      <c r="E7" s="255"/>
      <c r="F7" s="562"/>
      <c r="G7" s="329"/>
      <c r="H7" s="344"/>
      <c r="I7" s="345" t="str">
        <f>IF(K6=5,"Quote contains Beyond Large size, contact Drew.A.Sens@ibm.com for custom quote","")</f>
        <v/>
      </c>
      <c r="J7" s="258">
        <f t="shared" si="0"/>
        <v>0</v>
      </c>
      <c r="K7" s="255">
        <f t="shared" ref="K7:K18" si="4">IF(ISNUMBER(SEARCH("Dev",D7)),0,IF(ISNUMBER(SEARCH("xSmall",D7)),1,IF(ISNUMBER(SEARCH("Small",D7)),2,IF(ISNUMBER(SEARCH("Medium",D7)),3,IF(ISNUMBER(SEARCH("Beyond Large",D7)),5,IF(ISNUMBER(SEARCH("Large",D7)),4,6))))))</f>
        <v>6</v>
      </c>
      <c r="L7" s="255"/>
      <c r="M7" s="274">
        <f ca="1">OFFSET($Q$14,$K7,0)</f>
        <v>0</v>
      </c>
      <c r="N7" s="255">
        <f t="shared" ref="N7:N17" ca="1" si="5">OFFSET($Q$22,$K7,0)</f>
        <v>0</v>
      </c>
      <c r="O7" s="259" t="s">
        <v>22</v>
      </c>
      <c r="P7" s="259">
        <f>mvivpcsmall</f>
        <v>8</v>
      </c>
      <c r="Q7" s="259">
        <v>0</v>
      </c>
      <c r="R7" s="259">
        <f>mvigbmedium</f>
        <v>480</v>
      </c>
      <c r="S7" s="293">
        <v>458.33333333333331</v>
      </c>
      <c r="T7" s="299">
        <f t="shared" si="1"/>
        <v>229.16666666666666</v>
      </c>
      <c r="U7" s="259">
        <v>0</v>
      </c>
      <c r="V7" s="259">
        <v>0</v>
      </c>
      <c r="W7" s="259">
        <f t="shared" si="2"/>
        <v>0</v>
      </c>
      <c r="X7" s="259">
        <v>0</v>
      </c>
      <c r="AB7" s="259" t="s">
        <v>22</v>
      </c>
      <c r="AC7" s="259">
        <f>Predictvpcsmall</f>
        <v>2</v>
      </c>
      <c r="AD7" s="259">
        <f>mlvpcsmall+studiovpcsmall</f>
        <v>44</v>
      </c>
      <c r="AE7" s="259">
        <f>Predictdbsmall</f>
        <v>1024</v>
      </c>
      <c r="AF7" s="293">
        <v>458.33333333333331</v>
      </c>
      <c r="AG7" s="299">
        <f t="shared" si="3"/>
        <v>229.16666666666666</v>
      </c>
    </row>
    <row r="8" spans="2:33" ht="17" thickBot="1" x14ac:dyDescent="0.25">
      <c r="B8" s="254"/>
      <c r="C8" s="227"/>
      <c r="D8" s="305"/>
      <c r="E8" s="255"/>
      <c r="F8" s="340"/>
      <c r="G8" s="329"/>
      <c r="H8" s="344"/>
      <c r="I8" s="320"/>
      <c r="J8" s="258">
        <f t="shared" si="0"/>
        <v>0</v>
      </c>
      <c r="K8" s="255">
        <f t="shared" si="4"/>
        <v>6</v>
      </c>
      <c r="L8" s="255"/>
      <c r="M8" s="274">
        <f ca="1">OFFSET($Q$14,$K8,0)</f>
        <v>0</v>
      </c>
      <c r="N8" s="255">
        <f t="shared" ca="1" si="5"/>
        <v>0</v>
      </c>
      <c r="O8" s="259" t="s">
        <v>278</v>
      </c>
      <c r="P8" s="259">
        <f>mvivpcmedium</f>
        <v>16</v>
      </c>
      <c r="Q8" s="259">
        <v>0</v>
      </c>
      <c r="R8" s="259">
        <f>mvigbmedium</f>
        <v>480</v>
      </c>
      <c r="S8" s="293">
        <v>458.33333333333331</v>
      </c>
      <c r="T8" s="299">
        <f t="shared" si="1"/>
        <v>229.16666666666666</v>
      </c>
      <c r="U8" s="259">
        <v>0</v>
      </c>
      <c r="V8" s="259">
        <v>0</v>
      </c>
      <c r="W8" s="259">
        <f t="shared" si="2"/>
        <v>0</v>
      </c>
      <c r="X8" s="259">
        <v>0</v>
      </c>
      <c r="AB8" s="259" t="s">
        <v>278</v>
      </c>
      <c r="AC8" s="259">
        <f>Predictvpcmedium</f>
        <v>2</v>
      </c>
      <c r="AD8" s="259">
        <f>mlvpcmedium+studiovpcmedium</f>
        <v>54</v>
      </c>
      <c r="AE8" s="259">
        <f>Predictdbmedium</f>
        <v>2048</v>
      </c>
      <c r="AF8" s="293">
        <v>458.33333333333331</v>
      </c>
      <c r="AG8" s="299">
        <f t="shared" si="3"/>
        <v>229.16666666666666</v>
      </c>
    </row>
    <row r="9" spans="2:33" ht="17" thickBot="1" x14ac:dyDescent="0.25">
      <c r="B9" s="254"/>
      <c r="C9" s="291" t="s">
        <v>524</v>
      </c>
      <c r="D9" s="292" t="str">
        <f>IF((IF((COUNTIF(K10:K17,"&lt;6")),TRUE,FALSE))*Isassistdeployed,"Yes","No")</f>
        <v>No</v>
      </c>
      <c r="E9" s="255"/>
      <c r="F9" s="563"/>
      <c r="G9" s="329"/>
      <c r="H9" s="344"/>
      <c r="I9" s="320"/>
      <c r="J9" s="258">
        <f t="shared" si="0"/>
        <v>0</v>
      </c>
      <c r="K9" s="255">
        <v>6</v>
      </c>
      <c r="L9" s="255"/>
      <c r="M9" s="274">
        <f ca="1">OFFSET($Q$14,$K9,0)</f>
        <v>0</v>
      </c>
      <c r="N9" s="255">
        <f t="shared" ca="1" si="5"/>
        <v>0</v>
      </c>
      <c r="O9" s="259" t="s">
        <v>53</v>
      </c>
      <c r="P9" s="259">
        <f>mvivpclarge</f>
        <v>24</v>
      </c>
      <c r="Q9" s="259">
        <v>0</v>
      </c>
      <c r="R9" s="259">
        <f>mvigblarge</f>
        <v>960</v>
      </c>
      <c r="S9" s="293">
        <v>458.33333333333331</v>
      </c>
      <c r="T9" s="299">
        <f t="shared" si="1"/>
        <v>229.16666666666666</v>
      </c>
      <c r="U9" s="259">
        <v>0</v>
      </c>
      <c r="V9" s="259">
        <v>0</v>
      </c>
      <c r="W9" s="259">
        <f t="shared" si="2"/>
        <v>0</v>
      </c>
      <c r="X9" s="259">
        <v>0</v>
      </c>
      <c r="AB9" s="259" t="s">
        <v>53</v>
      </c>
      <c r="AC9" s="259">
        <f>Predictvpclarge</f>
        <v>8</v>
      </c>
      <c r="AD9" s="259">
        <f>mlvpclarge+studiovpclarge</f>
        <v>70</v>
      </c>
      <c r="AE9" s="259">
        <f>Predictdblarge</f>
        <v>1024</v>
      </c>
      <c r="AF9" s="293">
        <v>458.33333333333331</v>
      </c>
      <c r="AG9" s="299">
        <f t="shared" si="3"/>
        <v>229.16666666666666</v>
      </c>
    </row>
    <row r="10" spans="2:33" x14ac:dyDescent="0.2">
      <c r="B10" s="254"/>
      <c r="C10" s="279" t="s">
        <v>224</v>
      </c>
      <c r="D10" s="356" t="s">
        <v>223</v>
      </c>
      <c r="E10" s="255"/>
      <c r="F10" s="335">
        <f ca="1">IF(D5="no",OFFSET($R$22,$K10,0)+OFFSET($U$14,$K10,0),OFFSET($R$22,$K10,0)+OFFSET($S$14,$K10,0))</f>
        <v>0</v>
      </c>
      <c r="G10" s="336">
        <f ca="1">OFFSET($P$5,$K10,0)</f>
        <v>0</v>
      </c>
      <c r="H10" s="337">
        <f ca="1">OFFSET($R$5,$K10,0)</f>
        <v>0</v>
      </c>
      <c r="I10" s="338" t="str">
        <f t="shared" ref="I10:I15" ca="1" si="6">OFFSET($S$22,$K10,0)</f>
        <v xml:space="preserve"> </v>
      </c>
      <c r="J10" s="258">
        <f t="shared" ca="1" si="0"/>
        <v>0</v>
      </c>
      <c r="K10" s="255">
        <f t="shared" si="4"/>
        <v>6</v>
      </c>
      <c r="L10" s="255">
        <f t="shared" ref="L10:L15" ca="1" si="7">OFFSET($Q$5,$K10,0)</f>
        <v>0</v>
      </c>
      <c r="M10" s="274">
        <f ca="1">OFFSET($Q$14,$K10,0)</f>
        <v>0</v>
      </c>
      <c r="N10" s="255">
        <f t="shared" ca="1" si="5"/>
        <v>0</v>
      </c>
    </row>
    <row r="11" spans="2:33" x14ac:dyDescent="0.2">
      <c r="B11" s="254"/>
      <c r="C11" s="279" t="s">
        <v>225</v>
      </c>
      <c r="D11" s="356" t="s">
        <v>223</v>
      </c>
      <c r="E11" s="255"/>
      <c r="F11" s="335">
        <f ca="1">OFFSET($R$22,$K11,0)+OFFSET($U$14,$K11,0)</f>
        <v>0</v>
      </c>
      <c r="G11" s="336">
        <f ca="1">OFFSET($P$5,$K11,0)</f>
        <v>0</v>
      </c>
      <c r="H11" s="337">
        <f ca="1">OFFSET($R$5,$K11,0)</f>
        <v>0</v>
      </c>
      <c r="I11" s="338" t="str">
        <f t="shared" ca="1" si="6"/>
        <v xml:space="preserve"> </v>
      </c>
      <c r="J11" s="258">
        <f t="shared" ca="1" si="0"/>
        <v>0</v>
      </c>
      <c r="K11" s="255">
        <f t="shared" si="4"/>
        <v>6</v>
      </c>
      <c r="L11" s="255">
        <f t="shared" ca="1" si="7"/>
        <v>0</v>
      </c>
      <c r="M11" s="274">
        <f ca="1">OFFSET($T$5,$K11,0)</f>
        <v>0</v>
      </c>
      <c r="N11" s="255">
        <f t="shared" ca="1" si="5"/>
        <v>0</v>
      </c>
    </row>
    <row r="12" spans="2:33" x14ac:dyDescent="0.2">
      <c r="B12" s="254"/>
      <c r="C12" s="279" t="s">
        <v>226</v>
      </c>
      <c r="D12" s="356" t="s">
        <v>223</v>
      </c>
      <c r="E12" s="255"/>
      <c r="F12" s="335">
        <f t="shared" ref="F12:F15" ca="1" si="8">OFFSET($R$22,$K12,0)+OFFSET($U$14,$K12,0)</f>
        <v>0</v>
      </c>
      <c r="G12" s="336">
        <f ca="1">OFFSET($P$5,$K12,0)</f>
        <v>0</v>
      </c>
      <c r="H12" s="337">
        <f ca="1">OFFSET($R$5,$K12,0)</f>
        <v>0</v>
      </c>
      <c r="I12" s="338" t="str">
        <f t="shared" ca="1" si="6"/>
        <v xml:space="preserve"> </v>
      </c>
      <c r="J12" s="258">
        <f t="shared" ca="1" si="0"/>
        <v>0</v>
      </c>
      <c r="K12" s="255">
        <f t="shared" si="4"/>
        <v>6</v>
      </c>
      <c r="L12" s="255">
        <f t="shared" ca="1" si="7"/>
        <v>0</v>
      </c>
      <c r="M12" s="274">
        <f ca="1">OFFSET($T$5,$K12,0)</f>
        <v>0</v>
      </c>
      <c r="N12" s="255">
        <f t="shared" ca="1" si="5"/>
        <v>0</v>
      </c>
      <c r="Q12" s="623" t="s">
        <v>285</v>
      </c>
      <c r="R12" s="624"/>
      <c r="S12" s="625"/>
    </row>
    <row r="13" spans="2:33" x14ac:dyDescent="0.2">
      <c r="B13" s="254"/>
      <c r="C13" s="279" t="s">
        <v>227</v>
      </c>
      <c r="D13" s="356" t="s">
        <v>223</v>
      </c>
      <c r="E13" s="255"/>
      <c r="F13" s="335">
        <f t="shared" ca="1" si="8"/>
        <v>0</v>
      </c>
      <c r="G13" s="336">
        <f ca="1">OFFSET($P$5,$K13,0)</f>
        <v>0</v>
      </c>
      <c r="H13" s="337">
        <f ca="1">OFFSET($R$5,$K13,0)</f>
        <v>0</v>
      </c>
      <c r="I13" s="338" t="str">
        <f t="shared" ca="1" si="6"/>
        <v xml:space="preserve"> </v>
      </c>
      <c r="J13" s="258">
        <f t="shared" ca="1" si="0"/>
        <v>0</v>
      </c>
      <c r="K13" s="255">
        <f t="shared" si="4"/>
        <v>6</v>
      </c>
      <c r="L13" s="255">
        <f t="shared" ca="1" si="7"/>
        <v>0</v>
      </c>
      <c r="M13" s="274">
        <f ca="1">OFFSET($T$5,$K13,0)</f>
        <v>0</v>
      </c>
      <c r="N13" s="255">
        <f t="shared" ca="1" si="5"/>
        <v>0</v>
      </c>
      <c r="P13" s="259" t="s">
        <v>289</v>
      </c>
      <c r="Q13" s="254" t="s">
        <v>281</v>
      </c>
      <c r="R13" s="255" t="s">
        <v>283</v>
      </c>
      <c r="S13" s="257" t="s">
        <v>284</v>
      </c>
      <c r="T13" s="298"/>
      <c r="U13" s="259" t="s">
        <v>286</v>
      </c>
      <c r="V13" s="259" t="s">
        <v>330</v>
      </c>
    </row>
    <row r="14" spans="2:33" x14ac:dyDescent="0.2">
      <c r="B14" s="254"/>
      <c r="C14" s="279" t="s">
        <v>228</v>
      </c>
      <c r="D14" s="356" t="s">
        <v>223</v>
      </c>
      <c r="E14" s="255"/>
      <c r="F14" s="335">
        <f t="shared" ca="1" si="8"/>
        <v>0</v>
      </c>
      <c r="G14" s="336">
        <f ca="1">OFFSET($P$5,$K14,0)</f>
        <v>0</v>
      </c>
      <c r="H14" s="337">
        <f ca="1">OFFSET($R$5,$K14,0)</f>
        <v>0</v>
      </c>
      <c r="I14" s="338" t="str">
        <f t="shared" ca="1" si="6"/>
        <v xml:space="preserve"> </v>
      </c>
      <c r="J14" s="258">
        <f t="shared" ca="1" si="0"/>
        <v>0</v>
      </c>
      <c r="K14" s="255">
        <f t="shared" si="4"/>
        <v>6</v>
      </c>
      <c r="L14" s="255">
        <f t="shared" ca="1" si="7"/>
        <v>0</v>
      </c>
      <c r="M14" s="274">
        <f ca="1">OFFSET($T$5,$K14,0)</f>
        <v>0</v>
      </c>
      <c r="N14" s="255">
        <f t="shared" ca="1" si="5"/>
        <v>0</v>
      </c>
      <c r="O14" s="259" t="s">
        <v>247</v>
      </c>
      <c r="P14" s="299">
        <f>Q5*VPCCost</f>
        <v>0</v>
      </c>
      <c r="Q14" s="300">
        <v>0</v>
      </c>
      <c r="R14" s="258">
        <f>Q14+P14</f>
        <v>0</v>
      </c>
      <c r="S14" s="316">
        <f>((R14)/CapUCost)</f>
        <v>0</v>
      </c>
      <c r="U14" s="334">
        <f>(T5+P14+X5/2)/CapUCost</f>
        <v>9.9637681159420293</v>
      </c>
      <c r="V14" s="334">
        <f>(S5+P14+X5)/CapUCost</f>
        <v>19.927536231884059</v>
      </c>
    </row>
    <row r="15" spans="2:33" x14ac:dyDescent="0.2">
      <c r="B15" s="254"/>
      <c r="C15" s="276" t="s">
        <v>229</v>
      </c>
      <c r="D15" s="356">
        <v>0</v>
      </c>
      <c r="E15" s="255"/>
      <c r="F15" s="335">
        <f t="shared" ca="1" si="8"/>
        <v>0</v>
      </c>
      <c r="G15" s="336">
        <f ca="1">OFFSET($P$5,$K15,0)*D15</f>
        <v>0</v>
      </c>
      <c r="H15" s="337">
        <f ca="1">OFFSET($R$5,$K15,0)*D15</f>
        <v>0</v>
      </c>
      <c r="I15" s="338" t="str">
        <f t="shared" ca="1" si="6"/>
        <v xml:space="preserve"> </v>
      </c>
      <c r="J15" s="258">
        <f t="shared" ca="1" si="0"/>
        <v>0</v>
      </c>
      <c r="K15" s="343">
        <f>IF(D15=0,6,0)</f>
        <v>6</v>
      </c>
      <c r="L15" s="255">
        <f t="shared" ca="1" si="7"/>
        <v>0</v>
      </c>
      <c r="M15" s="274">
        <f ca="1">OFFSET($T$5,$K15,0)</f>
        <v>0</v>
      </c>
      <c r="N15" s="255">
        <f t="shared" ca="1" si="5"/>
        <v>0</v>
      </c>
      <c r="O15" s="259" t="s">
        <v>277</v>
      </c>
      <c r="P15" s="299">
        <f>Q6*VPCCost</f>
        <v>0</v>
      </c>
      <c r="Q15" s="300">
        <f>S6</f>
        <v>458.33333333333331</v>
      </c>
      <c r="R15" s="258">
        <f t="shared" ref="R15:R18" si="9">Q15+P15</f>
        <v>458.33333333333331</v>
      </c>
      <c r="S15" s="316">
        <f>((R15+X6)/CapUCost)</f>
        <v>19.927536231884059</v>
      </c>
      <c r="U15" s="334">
        <f>(T6+P15+X6/2)/CapUCost</f>
        <v>9.9637681159420293</v>
      </c>
      <c r="V15" s="334">
        <f>(S6+P15+X6)/CapUCost</f>
        <v>19.927536231884059</v>
      </c>
    </row>
    <row r="16" spans="2:33" x14ac:dyDescent="0.2">
      <c r="B16" s="254"/>
      <c r="C16" s="277"/>
      <c r="D16" s="339"/>
      <c r="E16" s="255"/>
      <c r="F16" s="335"/>
      <c r="G16" s="329"/>
      <c r="H16" s="341"/>
      <c r="I16" s="342"/>
      <c r="J16" s="258">
        <f t="shared" si="0"/>
        <v>0</v>
      </c>
      <c r="K16" s="255">
        <f t="shared" si="4"/>
        <v>6</v>
      </c>
      <c r="N16" s="255">
        <f t="shared" ca="1" si="5"/>
        <v>0</v>
      </c>
      <c r="O16" s="259" t="s">
        <v>22</v>
      </c>
      <c r="P16" s="299">
        <f>Q7*VPCCost</f>
        <v>0</v>
      </c>
      <c r="Q16" s="300">
        <f t="shared" ref="Q16:Q18" si="10">S7</f>
        <v>458.33333333333331</v>
      </c>
      <c r="R16" s="258">
        <f t="shared" si="9"/>
        <v>458.33333333333331</v>
      </c>
      <c r="S16" s="316">
        <f>((R16+X7)/CapUCost)</f>
        <v>19.927536231884059</v>
      </c>
      <c r="U16" s="334">
        <f>(T7+P16+X7/2)/CapUCost</f>
        <v>9.9637681159420293</v>
      </c>
      <c r="V16" s="334">
        <f>(S7+P16+X7)/CapUCost</f>
        <v>19.927536231884059</v>
      </c>
    </row>
    <row r="17" spans="2:22" x14ac:dyDescent="0.2">
      <c r="B17" s="254"/>
      <c r="C17" s="276" t="s">
        <v>222</v>
      </c>
      <c r="D17" s="357" t="s">
        <v>223</v>
      </c>
      <c r="E17" s="255"/>
      <c r="F17" s="335">
        <f ca="1">OFFSET($R$22,$K17,0)+OFFSET($V$14,$K17,0)</f>
        <v>0</v>
      </c>
      <c r="G17" s="336">
        <f ca="1">OFFSET($P$5,$K17,0)</f>
        <v>0</v>
      </c>
      <c r="H17" s="337">
        <f ca="1">OFFSET($R$5,$K17,0)</f>
        <v>0</v>
      </c>
      <c r="I17" s="338" t="str">
        <f ca="1">OFFSET($S$22,$K17,0)</f>
        <v xml:space="preserve"> </v>
      </c>
      <c r="J17" s="258">
        <f t="shared" ca="1" si="0"/>
        <v>0</v>
      </c>
      <c r="K17" s="255">
        <f t="shared" si="4"/>
        <v>6</v>
      </c>
      <c r="N17" s="255">
        <f t="shared" ca="1" si="5"/>
        <v>0</v>
      </c>
      <c r="O17" s="259" t="s">
        <v>278</v>
      </c>
      <c r="P17" s="299">
        <f>Q8*VPCCost</f>
        <v>0</v>
      </c>
      <c r="Q17" s="300">
        <f t="shared" si="10"/>
        <v>458.33333333333331</v>
      </c>
      <c r="R17" s="258">
        <f t="shared" si="9"/>
        <v>458.33333333333331</v>
      </c>
      <c r="S17" s="316">
        <f>((R17+X8)/CapUCost)</f>
        <v>19.927536231884059</v>
      </c>
      <c r="U17" s="334">
        <f>(T8+P17+X8/2)/CapUCost</f>
        <v>9.9637681159420293</v>
      </c>
      <c r="V17" s="334">
        <f>(S8+P17+X8)/CapUCost</f>
        <v>19.927536231884059</v>
      </c>
    </row>
    <row r="18" spans="2:22" ht="17" thickBot="1" x14ac:dyDescent="0.25">
      <c r="B18" s="254"/>
      <c r="C18" s="279"/>
      <c r="D18" s="330"/>
      <c r="E18" s="255"/>
      <c r="F18" s="331"/>
      <c r="G18" s="332"/>
      <c r="H18" s="333"/>
      <c r="I18" s="320"/>
      <c r="J18" s="258">
        <f t="shared" si="0"/>
        <v>0</v>
      </c>
      <c r="K18" s="255">
        <f t="shared" si="4"/>
        <v>6</v>
      </c>
      <c r="O18" s="259" t="s">
        <v>53</v>
      </c>
      <c r="P18" s="299">
        <f>Q9*VPCCost</f>
        <v>0</v>
      </c>
      <c r="Q18" s="309">
        <f t="shared" si="10"/>
        <v>458.33333333333331</v>
      </c>
      <c r="R18" s="310">
        <f t="shared" si="9"/>
        <v>458.33333333333331</v>
      </c>
      <c r="S18" s="322">
        <f>((R18+X9)/CapUCost)</f>
        <v>19.927536231884059</v>
      </c>
      <c r="U18" s="334">
        <f>(T9+P18+X9/2)/CapUCost</f>
        <v>9.9637681159420293</v>
      </c>
      <c r="V18" s="334">
        <f>(S9+P18+X9)/CapUCost</f>
        <v>19.927536231884059</v>
      </c>
    </row>
    <row r="19" spans="2:22" x14ac:dyDescent="0.2">
      <c r="B19" s="254"/>
      <c r="C19" s="227"/>
      <c r="D19" s="262"/>
      <c r="E19" s="255"/>
      <c r="F19" s="328"/>
      <c r="G19" s="329"/>
      <c r="H19" s="329"/>
      <c r="I19" s="320"/>
      <c r="J19" s="258">
        <f t="shared" si="0"/>
        <v>0</v>
      </c>
      <c r="K19" s="255">
        <f>IF(ISNUMBER(SEARCH("Dev",#REF!)),0,IF(ISNUMBER(SEARCH("xSmall",#REF!)),1,IF(ISNUMBER(SEARCH("Small",#REF!)),2,IF(ISNUMBER(SEARCH("Medium",#REF!)),3,IF(ISNUMBER(SEARCH("Beyond Large",#REF!)),5,IF(ISNUMBER(SEARCH("Large",#REF!)),4,6))))))</f>
        <v>6</v>
      </c>
      <c r="L19" s="275"/>
      <c r="P19" s="299"/>
      <c r="Q19" s="261"/>
      <c r="R19" s="261"/>
      <c r="S19" s="260"/>
    </row>
    <row r="20" spans="2:22" x14ac:dyDescent="0.2">
      <c r="B20" s="254"/>
      <c r="C20" s="255"/>
      <c r="D20" s="262"/>
      <c r="E20" s="255"/>
      <c r="F20" s="328"/>
      <c r="G20" s="329"/>
      <c r="H20" s="329"/>
      <c r="I20" s="320"/>
      <c r="J20" s="258">
        <f t="shared" si="0"/>
        <v>0</v>
      </c>
      <c r="K20" s="255">
        <f>IF(ISNUMBER(SEARCH("Dev",#REF!)),0,IF(ISNUMBER(SEARCH("xSmall",#REF!)),1,IF(ISNUMBER(SEARCH("Small",#REF!)),2,IF(ISNUMBER(SEARCH("Medium",#REF!)),3,IF(ISNUMBER(SEARCH("Beyond Large",#REF!)),5,IF(ISNUMBER(SEARCH("Large",#REF!)),4,6))))))</f>
        <v>6</v>
      </c>
      <c r="P20" s="626" t="s">
        <v>576</v>
      </c>
      <c r="Q20" s="626"/>
      <c r="R20" s="626"/>
      <c r="S20" s="260"/>
    </row>
    <row r="21" spans="2:22" x14ac:dyDescent="0.2">
      <c r="B21" s="254"/>
      <c r="C21" s="255"/>
      <c r="D21" s="615" t="s">
        <v>400</v>
      </c>
      <c r="E21" s="255"/>
      <c r="F21" s="328"/>
      <c r="G21" s="329"/>
      <c r="H21" s="329"/>
      <c r="I21" s="320"/>
      <c r="J21" s="258">
        <f t="shared" si="0"/>
        <v>0</v>
      </c>
      <c r="K21" s="255">
        <f>IF(ISNUMBER(SEARCH("Dev",D19)),0,IF(ISNUMBER(SEARCH("xSmall",D19)),1,IF(ISNUMBER(SEARCH("Small",D19)),2,IF(ISNUMBER(SEARCH("Medium",D19)),3,IF(ISNUMBER(SEARCH("Beyond Large",D19)),5,IF(ISNUMBER(SEARCH("Large",D19)),4,6))))))</f>
        <v>6</v>
      </c>
      <c r="M21" s="259"/>
      <c r="P21" s="259" t="s">
        <v>537</v>
      </c>
      <c r="Q21" s="261" t="s">
        <v>538</v>
      </c>
      <c r="R21" s="257" t="s">
        <v>284</v>
      </c>
      <c r="S21" s="260"/>
    </row>
    <row r="22" spans="2:22" ht="17" thickBot="1" x14ac:dyDescent="0.25">
      <c r="B22" s="254"/>
      <c r="C22" s="255"/>
      <c r="D22" s="615"/>
      <c r="E22" s="255"/>
      <c r="F22" s="328"/>
      <c r="G22" s="329"/>
      <c r="H22" s="329"/>
      <c r="I22" s="320"/>
      <c r="J22" s="258"/>
      <c r="K22" s="255">
        <f>IF(ISNUMBER(SEARCH("Dev",#REF!)),0,IF(ISNUMBER(SEARCH("xSmall",#REF!)),1,IF(ISNUMBER(SEARCH("Small",#REF!)),2,IF(ISNUMBER(SEARCH("Medium",#REF!)),3,IF(ISNUMBER(SEARCH("Beyond Large",#REF!)),5,IF(ISNUMBER(SEARCH("Large",#REF!)),4,6))))))</f>
        <v>6</v>
      </c>
      <c r="M22" s="259"/>
      <c r="O22" s="259" t="s">
        <v>247</v>
      </c>
      <c r="P22" s="260">
        <v>2</v>
      </c>
      <c r="Q22" s="264">
        <f>P22*GPUCost</f>
        <v>1563</v>
      </c>
      <c r="R22" s="316">
        <f>((Q22)/CapUCost)</f>
        <v>67.956521739130437</v>
      </c>
      <c r="S22" s="259" t="s">
        <v>543</v>
      </c>
    </row>
    <row r="23" spans="2:22" ht="17" thickBot="1" x14ac:dyDescent="0.25">
      <c r="B23" s="254"/>
      <c r="C23" s="255"/>
      <c r="D23" s="262"/>
      <c r="E23" s="255"/>
      <c r="F23" s="312" t="s">
        <v>232</v>
      </c>
      <c r="G23" s="313" t="s">
        <v>5</v>
      </c>
      <c r="H23" s="314" t="s">
        <v>6</v>
      </c>
      <c r="I23" s="315"/>
      <c r="J23" s="258"/>
      <c r="K23" s="255">
        <f>IF(ISNUMBER(SEARCH("Dev",#REF!)),0,IF(ISNUMBER(SEARCH("xSmall",#REF!)),1,IF(ISNUMBER(SEARCH("Small",#REF!)),2,IF(ISNUMBER(SEARCH("Medium",#REF!)),3,IF(ISNUMBER(SEARCH("Beyond Large",#REF!)),5,IF(ISNUMBER(SEARCH("Large",#REF!)),4,6))))))</f>
        <v>6</v>
      </c>
      <c r="L23" s="298"/>
      <c r="M23" s="298"/>
      <c r="N23" s="298"/>
      <c r="O23" s="259" t="s">
        <v>277</v>
      </c>
      <c r="P23" s="260">
        <v>2</v>
      </c>
      <c r="Q23" s="264">
        <f>P23*GPUCost</f>
        <v>1563</v>
      </c>
      <c r="R23" s="316">
        <f>((Q23+W14)/CapUCost)</f>
        <v>67.956521739130437</v>
      </c>
      <c r="S23" s="259" t="s">
        <v>543</v>
      </c>
    </row>
    <row r="24" spans="2:22" ht="17" thickBot="1" x14ac:dyDescent="0.25">
      <c r="B24" s="254"/>
      <c r="C24" s="255"/>
      <c r="D24" s="265" t="s">
        <v>337</v>
      </c>
      <c r="E24" s="255"/>
      <c r="F24" s="317">
        <f ca="1">SUM(F5:F19)</f>
        <v>0</v>
      </c>
      <c r="G24" s="318">
        <f ca="1">SUM(G5:G19)</f>
        <v>0</v>
      </c>
      <c r="H24" s="319">
        <f ca="1">SUM(H5:H19)</f>
        <v>0</v>
      </c>
      <c r="I24" s="320"/>
      <c r="J24" s="258">
        <f ca="1">CapUdiscounedpriceyearly*F24+VPCdiscountedpriceyearly*G24+GBstoragediscountedpriceyearly*H24</f>
        <v>0</v>
      </c>
      <c r="K24" s="255">
        <f>IF(ISNUMBER(SEARCH("Dev",#REF!)),0,IF(ISNUMBER(SEARCH("xSmall",#REF!)),1,IF(ISNUMBER(SEARCH("Small",#REF!)),2,IF(ISNUMBER(SEARCH("Medium",#REF!)),3,IF(ISNUMBER(SEARCH("Beyond Large",#REF!)),5,IF(ISNUMBER(SEARCH("Large",#REF!)),4,6))))))</f>
        <v>6</v>
      </c>
      <c r="M24" s="259"/>
      <c r="O24" s="259" t="s">
        <v>22</v>
      </c>
      <c r="P24" s="260">
        <v>2</v>
      </c>
      <c r="Q24" s="264">
        <f>P24*GPUCost</f>
        <v>1563</v>
      </c>
      <c r="R24" s="316">
        <f>((Q24+W15)/CapUCost)</f>
        <v>67.956521739130437</v>
      </c>
      <c r="S24" s="259" t="s">
        <v>543</v>
      </c>
    </row>
    <row r="25" spans="2:22" x14ac:dyDescent="0.2">
      <c r="B25" s="254"/>
      <c r="C25" s="255"/>
      <c r="D25" s="262"/>
      <c r="E25" s="255"/>
      <c r="F25" s="321"/>
      <c r="G25" s="255"/>
      <c r="H25" s="255"/>
      <c r="I25" s="320"/>
      <c r="J25" s="258"/>
      <c r="K25" s="255">
        <f>IF(ISNUMBER(SEARCH("Dev",#REF!)),0,IF(ISNUMBER(SEARCH("xSmall",#REF!)),1,IF(ISNUMBER(SEARCH("Small",#REF!)),2,IF(ISNUMBER(SEARCH("Medium",#REF!)),3,IF(ISNUMBER(SEARCH("Beyond Large",#REF!)),5,IF(ISNUMBER(SEARCH("Large",#REF!)),4,6))))))</f>
        <v>6</v>
      </c>
      <c r="O25" s="259" t="s">
        <v>278</v>
      </c>
      <c r="P25" s="260">
        <v>4</v>
      </c>
      <c r="Q25" s="264">
        <f>P25*GPUCost</f>
        <v>3126</v>
      </c>
      <c r="R25" s="316">
        <f>((Q25+W16)/CapUCost)</f>
        <v>135.91304347826087</v>
      </c>
      <c r="S25" s="259" t="s">
        <v>544</v>
      </c>
    </row>
    <row r="26" spans="2:22" x14ac:dyDescent="0.2">
      <c r="B26" s="254"/>
      <c r="C26" s="255"/>
      <c r="D26" s="267" t="s">
        <v>321</v>
      </c>
      <c r="E26" s="255"/>
      <c r="F26" s="614" t="str">
        <f>K39</f>
        <v/>
      </c>
      <c r="G26" s="614"/>
      <c r="H26" s="614"/>
      <c r="I26" s="320"/>
      <c r="J26" s="258"/>
      <c r="K26" s="255">
        <f>IF(ISNUMBER(SEARCH("Dev",#REF!)),0,IF(ISNUMBER(SEARCH("xSmall",#REF!)),1,IF(ISNUMBER(SEARCH("Small",#REF!)),2,IF(ISNUMBER(SEARCH("Medium",#REF!)),3,IF(ISNUMBER(SEARCH("Beyond Large",#REF!)),5,IF(ISNUMBER(SEARCH("Large",#REF!)),4,6))))))</f>
        <v>6</v>
      </c>
      <c r="O26" s="259" t="s">
        <v>53</v>
      </c>
      <c r="P26" s="260">
        <v>8</v>
      </c>
      <c r="Q26" s="264">
        <f>P26*GPUCost</f>
        <v>6252</v>
      </c>
      <c r="R26" s="322">
        <f>((Q26+W17)/CapUCost)</f>
        <v>271.82608695652175</v>
      </c>
      <c r="S26" s="259" t="s">
        <v>545</v>
      </c>
    </row>
    <row r="27" spans="2:22" x14ac:dyDescent="0.2">
      <c r="B27" s="254"/>
      <c r="C27" s="255"/>
      <c r="D27" s="262"/>
      <c r="E27" s="255"/>
      <c r="F27" s="614"/>
      <c r="G27" s="614"/>
      <c r="H27" s="614"/>
      <c r="I27" s="320"/>
      <c r="J27" s="258"/>
      <c r="K27" s="255">
        <f>IF(ISNUMBER(SEARCH("Dev",#REF!)),0,IF(ISNUMBER(SEARCH("xSmall",#REF!)),1,IF(ISNUMBER(SEARCH("Small",#REF!)),2,IF(ISNUMBER(SEARCH("Medium",#REF!)),3,IF(ISNUMBER(SEARCH("Beyond Large",#REF!)),5,IF(ISNUMBER(SEARCH("Large",#REF!)),4,6))))))</f>
        <v>6</v>
      </c>
      <c r="P27" s="299"/>
      <c r="Q27" s="261"/>
      <c r="R27" s="261"/>
      <c r="S27" s="260" t="s">
        <v>546</v>
      </c>
    </row>
    <row r="28" spans="2:22" x14ac:dyDescent="0.2">
      <c r="B28" s="254"/>
      <c r="C28" s="255"/>
      <c r="D28" s="262"/>
      <c r="E28" s="255"/>
      <c r="F28" s="614"/>
      <c r="G28" s="614"/>
      <c r="H28" s="614"/>
      <c r="I28" s="320"/>
      <c r="J28" s="258"/>
      <c r="P28" s="299"/>
      <c r="Q28" s="261"/>
      <c r="R28" s="261"/>
      <c r="S28" s="323" t="s">
        <v>546</v>
      </c>
    </row>
    <row r="29" spans="2:22" x14ac:dyDescent="0.2">
      <c r="B29" s="254"/>
      <c r="C29" s="255"/>
      <c r="D29" s="262"/>
      <c r="E29" s="255"/>
      <c r="F29" s="614"/>
      <c r="G29" s="614"/>
      <c r="H29" s="614"/>
      <c r="I29" s="320"/>
      <c r="J29" s="258"/>
      <c r="P29" s="299"/>
      <c r="Q29" s="261"/>
      <c r="R29" s="261"/>
      <c r="S29" s="260"/>
    </row>
    <row r="30" spans="2:22" x14ac:dyDescent="0.2">
      <c r="B30" s="254"/>
      <c r="C30" s="255"/>
      <c r="D30" s="262"/>
      <c r="E30" s="255"/>
      <c r="F30" s="614"/>
      <c r="G30" s="614"/>
      <c r="H30" s="614"/>
      <c r="I30" s="320"/>
      <c r="J30" s="258"/>
      <c r="P30" s="299"/>
      <c r="Q30" s="261"/>
      <c r="R30" s="261"/>
      <c r="S30" s="260"/>
    </row>
    <row r="31" spans="2:22" x14ac:dyDescent="0.2">
      <c r="B31" s="254"/>
      <c r="C31" s="255"/>
      <c r="D31" s="262"/>
      <c r="E31" s="255"/>
      <c r="F31" s="614"/>
      <c r="G31" s="614"/>
      <c r="H31" s="614"/>
      <c r="I31" s="320"/>
      <c r="J31" s="258"/>
      <c r="P31" s="299"/>
      <c r="Q31" s="261"/>
      <c r="R31" s="261"/>
      <c r="S31" s="260"/>
    </row>
    <row r="32" spans="2:22" x14ac:dyDescent="0.2">
      <c r="B32" s="254"/>
      <c r="C32" s="255"/>
      <c r="D32" s="262"/>
      <c r="E32" s="255"/>
      <c r="F32" s="614"/>
      <c r="G32" s="614"/>
      <c r="H32" s="614"/>
      <c r="I32" s="320"/>
    </row>
    <row r="33" spans="1:27" x14ac:dyDescent="0.2">
      <c r="B33" s="254"/>
      <c r="C33" s="255"/>
      <c r="D33" s="262"/>
      <c r="E33" s="255"/>
      <c r="F33" s="614"/>
      <c r="G33" s="614"/>
      <c r="H33" s="614"/>
      <c r="I33" s="320"/>
      <c r="J33" s="258"/>
    </row>
    <row r="34" spans="1:27" x14ac:dyDescent="0.2">
      <c r="B34" s="254"/>
      <c r="C34" s="255"/>
      <c r="D34" s="262"/>
      <c r="E34" s="255"/>
      <c r="F34" s="614"/>
      <c r="G34" s="614"/>
      <c r="H34" s="614"/>
      <c r="I34" s="320"/>
      <c r="J34" s="258"/>
    </row>
    <row r="35" spans="1:27" x14ac:dyDescent="0.2">
      <c r="B35" s="254"/>
      <c r="C35" s="255"/>
      <c r="D35" s="262"/>
      <c r="E35" s="255"/>
      <c r="F35" s="614"/>
      <c r="G35" s="614"/>
      <c r="H35" s="614"/>
      <c r="I35" s="320"/>
      <c r="J35" s="287"/>
    </row>
    <row r="36" spans="1:27" x14ac:dyDescent="0.2">
      <c r="B36" s="269"/>
      <c r="C36" s="270"/>
      <c r="D36" s="271"/>
      <c r="E36" s="270"/>
      <c r="F36" s="324"/>
      <c r="G36" s="270"/>
      <c r="H36" s="270"/>
      <c r="I36" s="325"/>
      <c r="J36" s="258">
        <f ca="1">CapUdiscounedpriceyearly*F24+VPCdiscountedpriceyearly*G24+GBstoragediscountedpriceyearly*H24</f>
        <v>0</v>
      </c>
      <c r="K36" s="255">
        <f>SUM(K5:K27)</f>
        <v>132</v>
      </c>
      <c r="L36" s="260">
        <f ca="1">SUM(L5:L16)</f>
        <v>0</v>
      </c>
      <c r="M36" s="274">
        <f ca="1">SUM(M5:M18)</f>
        <v>0</v>
      </c>
      <c r="N36" s="259">
        <f ca="1">SUM(N6:N17)</f>
        <v>0</v>
      </c>
    </row>
    <row r="37" spans="1:27" x14ac:dyDescent="0.2">
      <c r="A37" s="255"/>
      <c r="B37" s="255"/>
      <c r="J37" s="258"/>
      <c r="K37" s="255" t="b">
        <f>IF((COUNTIF(K6:K19,"&lt;6")),TRUE,FALSE)</f>
        <v>0</v>
      </c>
      <c r="L37" s="275"/>
    </row>
    <row r="38" spans="1:27" x14ac:dyDescent="0.2">
      <c r="A38" s="255"/>
      <c r="B38" s="255"/>
      <c r="C38" s="273"/>
      <c r="J38" s="258" t="s">
        <v>541</v>
      </c>
      <c r="L38" s="274"/>
    </row>
    <row r="39" spans="1:27" x14ac:dyDescent="0.2">
      <c r="A39" s="255"/>
      <c r="B39" s="255"/>
      <c r="C39" s="255"/>
      <c r="J39" s="259" t="b">
        <f>IF(COUNTIF(K6:K17,5),TRUE,FALSE)</f>
        <v>0</v>
      </c>
      <c r="K39" s="258" t="str">
        <f>IF(J39,"Error: Quote contains Beyond Large size, contact Drew.A.Sens@ibm.com for custom quote","")</f>
        <v/>
      </c>
    </row>
    <row r="40" spans="1:27" x14ac:dyDescent="0.2">
      <c r="A40" s="255"/>
      <c r="B40" s="255"/>
      <c r="C40" s="255"/>
      <c r="J40" s="258"/>
    </row>
    <row r="41" spans="1:27" x14ac:dyDescent="0.2">
      <c r="A41" s="255"/>
      <c r="B41" s="255"/>
      <c r="C41" s="255"/>
      <c r="J41" s="258"/>
    </row>
    <row r="42" spans="1:27" x14ac:dyDescent="0.2">
      <c r="C42" s="255"/>
      <c r="J42" s="258"/>
    </row>
    <row r="43" spans="1:27" x14ac:dyDescent="0.2">
      <c r="J43" s="258"/>
    </row>
    <row r="44" spans="1:27" x14ac:dyDescent="0.2">
      <c r="J44" s="258"/>
    </row>
    <row r="45" spans="1:27" x14ac:dyDescent="0.2">
      <c r="J45" s="258"/>
    </row>
    <row r="46" spans="1:27" x14ac:dyDescent="0.2">
      <c r="J46" s="258"/>
    </row>
    <row r="47" spans="1:27" s="255" customFormat="1" x14ac:dyDescent="0.2">
      <c r="B47" s="259"/>
      <c r="C47" s="259"/>
      <c r="D47" s="386"/>
      <c r="E47" s="259"/>
      <c r="F47" s="326"/>
      <c r="G47" s="259"/>
      <c r="H47" s="259"/>
      <c r="I47" s="327"/>
      <c r="J47" s="258"/>
      <c r="L47" s="259"/>
      <c r="M47" s="274"/>
      <c r="N47" s="259"/>
      <c r="O47" s="259"/>
      <c r="P47" s="259"/>
      <c r="Q47" s="259"/>
      <c r="R47" s="259"/>
      <c r="S47" s="259"/>
      <c r="T47" s="259"/>
      <c r="U47" s="259"/>
      <c r="V47" s="259"/>
      <c r="W47" s="259"/>
      <c r="X47" s="259"/>
      <c r="Y47" s="259"/>
      <c r="Z47" s="259"/>
      <c r="AA47" s="259"/>
    </row>
    <row r="48" spans="1:27" s="255" customFormat="1" x14ac:dyDescent="0.2">
      <c r="B48" s="259"/>
      <c r="C48" s="259"/>
      <c r="D48" s="386"/>
      <c r="E48" s="259"/>
      <c r="F48" s="326"/>
      <c r="G48" s="259"/>
      <c r="H48" s="259"/>
      <c r="I48" s="327"/>
      <c r="J48" s="258"/>
      <c r="L48" s="259"/>
      <c r="M48" s="274"/>
      <c r="N48" s="259"/>
      <c r="O48" s="259"/>
      <c r="P48" s="259"/>
      <c r="Q48" s="259"/>
      <c r="R48" s="259"/>
      <c r="S48" s="259"/>
      <c r="T48" s="259"/>
      <c r="U48" s="259"/>
      <c r="V48" s="259"/>
      <c r="W48" s="259"/>
      <c r="X48" s="259"/>
      <c r="Y48" s="259"/>
      <c r="Z48" s="259"/>
      <c r="AA48" s="259"/>
    </row>
  </sheetData>
  <sheetProtection algorithmName="SHA-512" hashValue="sAFVKsUs1qNqIwZP1guVGonDqncvjVtwIxOgclujUw+R7aOsOhWeKr9QrWeB/SxEReNdU0/xxa1PCYL8IM9umQ==" saltValue="pnqV/Z8vB79tyTb8M2P08A==" spinCount="100000" sheet="1" objects="1" scenarios="1"/>
  <dataConsolidate/>
  <mergeCells count="5">
    <mergeCell ref="AC3:AD3"/>
    <mergeCell ref="Q12:S12"/>
    <mergeCell ref="D21:D22"/>
    <mergeCell ref="F26:H35"/>
    <mergeCell ref="P20:R20"/>
  </mergeCells>
  <dataValidations count="4">
    <dataValidation type="list" allowBlank="1" showInputMessage="1" showErrorMessage="1" sqref="D15" xr:uid="{25FA1A62-B764-F94C-99EC-AC6B7EB09E04}">
      <formula1>zerothroughten</formula1>
    </dataValidation>
    <dataValidation type="list" allowBlank="1" showInputMessage="1" showErrorMessage="1" promptTitle="Duration" prompt="Min 1 Year" sqref="D10:D14" xr:uid="{A8A33C5E-0005-EB40-A7C1-2B99EEE884F8}">
      <formula1>mvisizesyesno</formula1>
    </dataValidation>
    <dataValidation type="list" allowBlank="1" showInputMessage="1" showErrorMessage="1" sqref="D6" xr:uid="{BB5863E6-68BD-CA41-B662-7F1FB212C6C4}">
      <formula1>mviproductionsizes</formula1>
    </dataValidation>
    <dataValidation type="list" allowBlank="1" showInputMessage="1" showErrorMessage="1" sqref="D18" xr:uid="{8B36CBDC-C374-994F-9A9D-C52A885798C3}">
      <formula1>tshirtsizes</formula1>
    </dataValidation>
  </dataValidations>
  <hyperlinks>
    <hyperlink ref="D21" location="'Output Dashboard'!A1" display="Go to Output Dashboard" xr:uid="{06245E7F-B8AC-154E-8069-EDD2972FFB1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PoC" prompt="Allowable duration of PoC Environment is 3-6 months" xr:uid="{9C837133-A395-884A-B08B-C2CA35A46F9E}">
          <x14:formula1>
            <xm:f>txts!$H$59:$H$60</xm:f>
          </x14:formula1>
          <xm:sqref>D17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19FD-17B9-D840-B3C4-E30F3B38F585}">
  <sheetPr codeName="Sheet4">
    <tabColor theme="0"/>
  </sheetPr>
  <dimension ref="B1:AE43"/>
  <sheetViews>
    <sheetView topLeftCell="B1" zoomScale="108" workbookViewId="0">
      <selection activeCell="D20" sqref="D20"/>
    </sheetView>
  </sheetViews>
  <sheetFormatPr baseColWidth="10" defaultRowHeight="16" outlineLevelCol="1" x14ac:dyDescent="0.2"/>
  <cols>
    <col min="1" max="1" width="1.83203125" style="259" customWidth="1"/>
    <col min="2" max="2" width="10.83203125" style="259"/>
    <col min="3" max="3" width="72.6640625" style="259" customWidth="1"/>
    <col min="4" max="4" width="30.83203125" style="259" bestFit="1" customWidth="1"/>
    <col min="5" max="5" width="5.83203125" style="259" customWidth="1"/>
    <col min="6" max="6" width="19.83203125" style="358" bestFit="1" customWidth="1"/>
    <col min="7" max="7" width="15.5" style="359" customWidth="1"/>
    <col min="8" max="8" width="20.33203125" style="359" customWidth="1"/>
    <col min="9" max="9" width="53.1640625" style="259" bestFit="1" customWidth="1"/>
    <col min="10" max="10" width="24.6640625" style="259" hidden="1" customWidth="1" outlineLevel="1"/>
    <col min="11" max="11" width="26" style="255" hidden="1" customWidth="1" outlineLevel="1"/>
    <col min="12" max="12" width="21.1640625" style="259" hidden="1" customWidth="1" outlineLevel="1"/>
    <col min="13" max="13" width="21.83203125" style="259" hidden="1" customWidth="1" outlineLevel="1"/>
    <col min="14" max="14" width="11.1640625" style="261" hidden="1" customWidth="1" outlineLevel="1"/>
    <col min="15" max="18" width="10.83203125" style="259" hidden="1" customWidth="1" outlineLevel="1"/>
    <col min="19" max="19" width="12" style="259" hidden="1" customWidth="1" outlineLevel="1"/>
    <col min="20" max="20" width="16.6640625" style="259" hidden="1" customWidth="1" outlineLevel="1"/>
    <col min="21" max="23" width="10.83203125" style="259" hidden="1" customWidth="1" outlineLevel="1"/>
    <col min="24" max="24" width="25.33203125" style="259" hidden="1" customWidth="1" outlineLevel="1"/>
    <col min="25" max="26" width="13" style="259" hidden="1" customWidth="1" outlineLevel="1"/>
    <col min="27" max="30" width="10.83203125" style="259" hidden="1" customWidth="1" outlineLevel="1"/>
    <col min="31" max="31" width="10.83203125" style="259" customWidth="1" collapsed="1"/>
    <col min="32" max="16384" width="10.83203125" style="259"/>
  </cols>
  <sheetData>
    <row r="1" spans="2:30" ht="11" customHeight="1" x14ac:dyDescent="0.2"/>
    <row r="2" spans="2:30" ht="13" customHeight="1" x14ac:dyDescent="0.2">
      <c r="B2" s="280" t="str">
        <f>'Output Dashboard'!B2</f>
        <v>MAS Managed Service Calculator 5.4</v>
      </c>
      <c r="C2" s="281"/>
      <c r="D2" s="281"/>
      <c r="E2" s="281"/>
      <c r="F2" s="360"/>
      <c r="G2" s="361"/>
      <c r="H2" s="361"/>
      <c r="I2" s="282"/>
      <c r="X2" s="259" t="s">
        <v>516</v>
      </c>
      <c r="Y2" s="259" t="s">
        <v>446</v>
      </c>
    </row>
    <row r="3" spans="2:30" ht="17" thickBot="1" x14ac:dyDescent="0.25">
      <c r="B3" s="283" t="s">
        <v>11</v>
      </c>
      <c r="C3" s="255"/>
      <c r="D3" s="262"/>
      <c r="E3" s="255"/>
      <c r="F3" s="362"/>
      <c r="G3" s="328"/>
      <c r="H3" s="328"/>
      <c r="I3" s="257"/>
      <c r="L3" s="259" t="s">
        <v>548</v>
      </c>
      <c r="P3" s="284"/>
      <c r="Q3" s="284"/>
      <c r="R3" s="620" t="s">
        <v>290</v>
      </c>
      <c r="S3" s="620"/>
      <c r="T3" s="620"/>
      <c r="U3" s="620"/>
      <c r="V3" s="620"/>
      <c r="W3" s="387"/>
      <c r="X3" s="259" t="b">
        <f>IF(OR(Isassistdeployed,Predictisdeployed),TRUE,FALSE)</f>
        <v>0</v>
      </c>
      <c r="Y3" s="259" t="b">
        <f>IF(OR(Ismagaedeployed,Issafetydeployed,Ismonitoreddeployed,Ishealthdeployed),TRUE,FALSE)</f>
        <v>0</v>
      </c>
      <c r="AA3" s="259" t="s">
        <v>297</v>
      </c>
    </row>
    <row r="4" spans="2:30" ht="16" customHeight="1" thickBot="1" x14ac:dyDescent="0.25">
      <c r="B4" s="254"/>
      <c r="C4" s="255"/>
      <c r="D4" s="262"/>
      <c r="E4" s="255"/>
      <c r="F4" s="363" t="s">
        <v>232</v>
      </c>
      <c r="G4" s="364" t="s">
        <v>5</v>
      </c>
      <c r="H4" s="365" t="s">
        <v>6</v>
      </c>
      <c r="I4" s="263" t="s">
        <v>388</v>
      </c>
      <c r="J4" s="287" t="s">
        <v>403</v>
      </c>
      <c r="K4" s="288" t="s">
        <v>7</v>
      </c>
      <c r="L4" s="289" t="s">
        <v>295</v>
      </c>
      <c r="M4" s="289" t="s">
        <v>303</v>
      </c>
      <c r="N4" s="290" t="s">
        <v>287</v>
      </c>
      <c r="P4" s="275" t="s">
        <v>11</v>
      </c>
      <c r="Q4" s="275" t="s">
        <v>288</v>
      </c>
      <c r="R4" s="275" t="s">
        <v>281</v>
      </c>
      <c r="S4" s="275" t="s">
        <v>287</v>
      </c>
      <c r="T4" s="275" t="s">
        <v>444</v>
      </c>
      <c r="U4" s="275" t="s">
        <v>88</v>
      </c>
      <c r="V4" s="275" t="s">
        <v>291</v>
      </c>
      <c r="W4" s="275"/>
      <c r="X4" s="275" t="s">
        <v>292</v>
      </c>
      <c r="Y4" s="275" t="s">
        <v>292</v>
      </c>
      <c r="Z4" s="275" t="s">
        <v>549</v>
      </c>
      <c r="AA4" s="275" t="s">
        <v>293</v>
      </c>
      <c r="AB4" s="275" t="s">
        <v>294</v>
      </c>
      <c r="AC4" s="275" t="s">
        <v>296</v>
      </c>
      <c r="AD4" s="275" t="s">
        <v>291</v>
      </c>
    </row>
    <row r="5" spans="2:30" ht="17" thickBot="1" x14ac:dyDescent="0.25">
      <c r="B5" s="254"/>
      <c r="C5" s="291" t="s">
        <v>249</v>
      </c>
      <c r="D5" s="292" t="str">
        <f ca="1">IF(D6="No","No","Yes")</f>
        <v>No</v>
      </c>
      <c r="E5" s="255"/>
      <c r="F5" s="366"/>
      <c r="G5" s="367"/>
      <c r="H5" s="368"/>
      <c r="I5" s="257"/>
      <c r="J5" s="258"/>
      <c r="O5" s="259" t="s">
        <v>247</v>
      </c>
      <c r="P5" s="259">
        <v>2</v>
      </c>
      <c r="Q5" s="259">
        <v>0</v>
      </c>
      <c r="R5" s="259">
        <v>0</v>
      </c>
      <c r="S5" s="293">
        <v>516.21</v>
      </c>
      <c r="T5" s="260">
        <v>160</v>
      </c>
      <c r="U5" s="294">
        <v>577.26600000000008</v>
      </c>
      <c r="V5" s="274">
        <f>U5/CapUCost</f>
        <v>25.098521739130437</v>
      </c>
      <c r="W5" s="274"/>
      <c r="X5" s="259">
        <f>IF($X$3,6,0)</f>
        <v>0</v>
      </c>
      <c r="Y5" s="259">
        <v>0</v>
      </c>
      <c r="Z5" s="259">
        <f>Y5+X5</f>
        <v>0</v>
      </c>
      <c r="AA5" s="259">
        <v>655</v>
      </c>
      <c r="AB5" s="259">
        <v>249.94800000000001</v>
      </c>
      <c r="AC5" s="261">
        <f>IF(OR($X$3,$Y$3),AB5,0)</f>
        <v>0</v>
      </c>
      <c r="AD5" s="274">
        <f>(AC5/CapUCost)</f>
        <v>0</v>
      </c>
    </row>
    <row r="6" spans="2:30" x14ac:dyDescent="0.2">
      <c r="B6" s="254"/>
      <c r="C6" s="279" t="s">
        <v>550</v>
      </c>
      <c r="D6" s="295" t="str">
        <f ca="1">'Output Dashboard'!F13</f>
        <v>No</v>
      </c>
      <c r="E6" s="255"/>
      <c r="F6" s="369">
        <f ca="1">OFFSET($V$5,$K6,0)+OFFSET($AD$5,$K6,0)</f>
        <v>0</v>
      </c>
      <c r="G6" s="370">
        <f ca="1">OFFSET($P$5,$K6,0)</f>
        <v>0</v>
      </c>
      <c r="H6" s="371">
        <f ca="1">OFFSET($Q$5,$K6,0)</f>
        <v>0</v>
      </c>
      <c r="I6" s="257"/>
      <c r="J6" s="258">
        <f t="shared" ref="J6:J18" ca="1" si="0">CapUdiscounedpriceyearly*F6+VPCdiscountedpriceyearly*G6+GBstoragediscountedpriceyearly*H6</f>
        <v>0</v>
      </c>
      <c r="K6" s="255">
        <f ca="1">IF(ISNUMBER(SEARCH("Dev",D6)),0,IF(ISNUMBER(SEARCH("xSmall",D6)),1,IF(ISNUMBER(SEARCH("Small",D6)),2,IF(ISNUMBER(SEARCH("Medium",D6)),3,IF(ISNUMBER(SEARCH("Large",D6)),4,IF(ISNUMBER(SEARCH("Large",D6)),5,6))))))</f>
        <v>6</v>
      </c>
      <c r="L6" s="255">
        <f ca="1">OFFSET($Z$5,$K6,0)</f>
        <v>0</v>
      </c>
      <c r="M6" s="260">
        <f ca="1">OFFSET($T$5,$K6,0)+IF(OR($Y$3,$X$3),OFFSET($AA$5,$K6,0),0)</f>
        <v>0</v>
      </c>
      <c r="N6" s="261">
        <f ca="1">OFFSET($S$5,$K6,0)</f>
        <v>0</v>
      </c>
      <c r="O6" s="259" t="s">
        <v>277</v>
      </c>
      <c r="P6" s="259">
        <v>2</v>
      </c>
      <c r="Q6" s="259">
        <v>0</v>
      </c>
      <c r="R6" s="259">
        <v>0</v>
      </c>
      <c r="S6" s="296">
        <v>516.21171111111107</v>
      </c>
      <c r="T6" s="260">
        <v>160</v>
      </c>
      <c r="U6" s="294">
        <v>577.26771111111111</v>
      </c>
      <c r="V6" s="274">
        <f>U6/CapUCost</f>
        <v>25.098596135265701</v>
      </c>
      <c r="W6" s="274"/>
      <c r="X6" s="259">
        <f t="shared" ref="X6:X9" si="1">IF($X$3,6,0)</f>
        <v>0</v>
      </c>
      <c r="Y6" s="259">
        <v>0</v>
      </c>
      <c r="Z6" s="259">
        <f t="shared" ref="Z6:Z9" si="2">Y6+X6</f>
        <v>0</v>
      </c>
      <c r="AA6" s="259">
        <v>655</v>
      </c>
      <c r="AB6" s="259">
        <v>249.94800000000001</v>
      </c>
      <c r="AC6" s="261">
        <f t="shared" ref="AC6:AC9" si="3">IF(OR($X$3,$Y$3),AB6,0)</f>
        <v>0</v>
      </c>
      <c r="AD6" s="260">
        <f>(AC6/CapUCost)</f>
        <v>0</v>
      </c>
    </row>
    <row r="7" spans="2:30" ht="17" thickBot="1" x14ac:dyDescent="0.25">
      <c r="B7" s="254"/>
      <c r="C7" s="255"/>
      <c r="D7" s="262"/>
      <c r="E7" s="255"/>
      <c r="F7" s="372"/>
      <c r="G7" s="328"/>
      <c r="H7" s="373"/>
      <c r="I7" s="257"/>
      <c r="J7" s="258">
        <f t="shared" si="0"/>
        <v>0</v>
      </c>
      <c r="L7" s="255"/>
      <c r="M7" s="260"/>
      <c r="O7" s="259" t="s">
        <v>22</v>
      </c>
      <c r="P7" s="259">
        <v>2</v>
      </c>
      <c r="Q7" s="259">
        <v>0</v>
      </c>
      <c r="R7" s="259">
        <v>0</v>
      </c>
      <c r="S7" s="296">
        <v>774.31756666666638</v>
      </c>
      <c r="T7" s="260">
        <v>160</v>
      </c>
      <c r="U7" s="294">
        <v>835.37356666666642</v>
      </c>
      <c r="V7" s="274">
        <f>U7/CapUCost</f>
        <v>36.320589855072456</v>
      </c>
      <c r="W7" s="274"/>
      <c r="X7" s="259">
        <f t="shared" si="1"/>
        <v>0</v>
      </c>
      <c r="Y7" s="259">
        <v>0</v>
      </c>
      <c r="Z7" s="259">
        <f t="shared" si="2"/>
        <v>0</v>
      </c>
      <c r="AA7" s="259">
        <v>655</v>
      </c>
      <c r="AB7" s="259">
        <v>249.94800000000001</v>
      </c>
      <c r="AC7" s="261">
        <f t="shared" si="3"/>
        <v>0</v>
      </c>
      <c r="AD7" s="260">
        <f>(AC7/CapUCost)</f>
        <v>0</v>
      </c>
    </row>
    <row r="8" spans="2:30" ht="17" thickBot="1" x14ac:dyDescent="0.25">
      <c r="B8" s="254"/>
      <c r="C8" s="291" t="s">
        <v>572</v>
      </c>
      <c r="D8" s="292" t="str">
        <f ca="1">OFFSET(MASCoreSizes,SMALL(K9:K13,1),0)</f>
        <v>No</v>
      </c>
      <c r="E8" s="255"/>
      <c r="F8" s="372"/>
      <c r="G8" s="328"/>
      <c r="H8" s="373"/>
      <c r="I8" s="257"/>
      <c r="J8" s="258">
        <f t="shared" si="0"/>
        <v>0</v>
      </c>
      <c r="L8" s="255"/>
      <c r="M8" s="260"/>
      <c r="P8" s="259">
        <v>2</v>
      </c>
      <c r="Q8" s="259">
        <v>0</v>
      </c>
      <c r="R8" s="259">
        <v>0</v>
      </c>
      <c r="S8" s="296">
        <v>1032.4234222222221</v>
      </c>
      <c r="T8" s="260">
        <v>160</v>
      </c>
      <c r="U8" s="294">
        <v>1093.4794222222222</v>
      </c>
      <c r="V8" s="274">
        <f>U8/CapUCost</f>
        <v>47.542583574879224</v>
      </c>
      <c r="W8" s="274"/>
      <c r="X8" s="259">
        <f t="shared" si="1"/>
        <v>0</v>
      </c>
      <c r="Y8" s="259">
        <v>0</v>
      </c>
      <c r="Z8" s="259">
        <f t="shared" si="2"/>
        <v>0</v>
      </c>
      <c r="AA8" s="259">
        <v>655</v>
      </c>
      <c r="AB8" s="259">
        <v>249.94800000000001</v>
      </c>
      <c r="AC8" s="261">
        <f t="shared" si="3"/>
        <v>0</v>
      </c>
      <c r="AD8" s="260">
        <f>(AC8/CapUCost)</f>
        <v>0</v>
      </c>
    </row>
    <row r="9" spans="2:30" ht="17" thickBot="1" x14ac:dyDescent="0.25">
      <c r="B9" s="254"/>
      <c r="C9" s="279" t="s">
        <v>251</v>
      </c>
      <c r="D9" s="295" t="str">
        <f ca="1">OFFSET(MASCoreSizes,'Output Dashboard'!L17,0)</f>
        <v>No</v>
      </c>
      <c r="E9" s="255"/>
      <c r="F9" s="369">
        <f ca="1">IF(D9="No",0,IF(D5="Yes",OFFSET($V$5,$K6,0)+OFFSET($AD$5,$K9,0),OFFSET($V$5,$K9,0)+OFFSET($AD$5,$K9,0) ))</f>
        <v>0</v>
      </c>
      <c r="G9" s="370">
        <f ca="1">OFFSET($P$5,$K9,0)</f>
        <v>0</v>
      </c>
      <c r="H9" s="371">
        <f ca="1">OFFSET($Q$5,$K9,0)</f>
        <v>0</v>
      </c>
      <c r="I9" s="388"/>
      <c r="J9" s="258">
        <f t="shared" ca="1" si="0"/>
        <v>0</v>
      </c>
      <c r="K9" s="255">
        <f ca="1">IF(ISNUMBER(SEARCH("Dev",D9)),0,IF(ISNUMBER(SEARCH("xSmall",D9)),1,IF(ISNUMBER(SEARCH("Small",D9)),2,IF(ISNUMBER(SEARCH("Medium",D9)),3,IF(ISNUMBER(SEARCH("Large",D9)),4,IF(ISNUMBER(SEARCH("Large",D9)),5,6))))))</f>
        <v>6</v>
      </c>
      <c r="L9" s="255">
        <f t="shared" ref="L9:L14" ca="1" si="4">OFFSET($Z$5,$K9,0)</f>
        <v>0</v>
      </c>
      <c r="M9" s="260">
        <f t="shared" ref="M9:M16" ca="1" si="5">OFFSET($T$5,$K9,0)+IF(OR($Y$3,$X$3),OFFSET($AA$5,$K9,0),0)</f>
        <v>0</v>
      </c>
      <c r="N9" s="261">
        <f ca="1">OFFSET($S$5,$K9,0)</f>
        <v>0</v>
      </c>
      <c r="O9" s="259" t="s">
        <v>53</v>
      </c>
      <c r="P9" s="259">
        <v>2</v>
      </c>
      <c r="Q9" s="259">
        <v>0</v>
      </c>
      <c r="R9" s="259">
        <v>0</v>
      </c>
      <c r="S9" s="297">
        <v>1548.6351333333334</v>
      </c>
      <c r="T9" s="260">
        <v>160</v>
      </c>
      <c r="U9" s="294">
        <v>1609.6911333333335</v>
      </c>
      <c r="V9" s="274">
        <f>U9/CapUCost</f>
        <v>69.986571014492753</v>
      </c>
      <c r="W9" s="274"/>
      <c r="X9" s="259">
        <f t="shared" si="1"/>
        <v>0</v>
      </c>
      <c r="Y9" s="259">
        <v>0</v>
      </c>
      <c r="Z9" s="259">
        <f t="shared" si="2"/>
        <v>0</v>
      </c>
      <c r="AA9" s="259">
        <v>655</v>
      </c>
      <c r="AB9" s="259">
        <v>249.94800000000001</v>
      </c>
      <c r="AC9" s="261">
        <f t="shared" si="3"/>
        <v>0</v>
      </c>
      <c r="AD9" s="260">
        <f>(AC9/CapUCost)</f>
        <v>0</v>
      </c>
    </row>
    <row r="10" spans="2:30" x14ac:dyDescent="0.2">
      <c r="B10" s="254"/>
      <c r="C10" s="279" t="s">
        <v>252</v>
      </c>
      <c r="D10" s="295" t="str">
        <f ca="1">OFFSET(MASCoreSizes,'Output Dashboard'!L18,0)</f>
        <v>No</v>
      </c>
      <c r="E10" s="255"/>
      <c r="F10" s="369">
        <f ca="1">OFFSET($V$5,$K10,0)+OFFSET($AD$5,$K10,0)</f>
        <v>0</v>
      </c>
      <c r="G10" s="370">
        <f ca="1">OFFSET($P$5,$K10,0)</f>
        <v>0</v>
      </c>
      <c r="H10" s="371">
        <f ca="1">OFFSET($Q$5,$K10,0)</f>
        <v>0</v>
      </c>
      <c r="I10" s="257"/>
      <c r="J10" s="258">
        <f t="shared" ca="1" si="0"/>
        <v>0</v>
      </c>
      <c r="K10" s="255">
        <f ca="1">IF(ISNUMBER(SEARCH("Dev",D10)),0,IF(ISNUMBER(SEARCH("xSmall",D10)),1,IF(ISNUMBER(SEARCH("Small",D10)),2,IF(ISNUMBER(SEARCH("Medium",D10)),3,IF(ISNUMBER(SEARCH("Large",D10)),4,IF(ISNUMBER(SEARCH("Large",D10)),5,6))))))</f>
        <v>6</v>
      </c>
      <c r="L10" s="255">
        <f t="shared" ca="1" si="4"/>
        <v>0</v>
      </c>
      <c r="M10" s="260">
        <f t="shared" ca="1" si="5"/>
        <v>0</v>
      </c>
      <c r="N10" s="261">
        <f ca="1">OFFSET($S$5,$K10,0)</f>
        <v>0</v>
      </c>
      <c r="Q10" s="254"/>
      <c r="R10" s="255"/>
      <c r="S10" s="257"/>
      <c r="T10" s="255"/>
      <c r="U10" s="298"/>
    </row>
    <row r="11" spans="2:30" x14ac:dyDescent="0.2">
      <c r="B11" s="254"/>
      <c r="C11" s="279" t="s">
        <v>253</v>
      </c>
      <c r="D11" s="295" t="str">
        <f ca="1">OFFSET(MASCoreSizes,'Output Dashboard'!L19,0)</f>
        <v>No</v>
      </c>
      <c r="E11" s="255"/>
      <c r="F11" s="369">
        <f ca="1">OFFSET($V$5,$K11,0)+OFFSET($AD$5,$K11,0)</f>
        <v>0</v>
      </c>
      <c r="G11" s="370">
        <f ca="1">OFFSET($P$5,$K11,0)</f>
        <v>0</v>
      </c>
      <c r="H11" s="371">
        <f ca="1">OFFSET($Q$5,$K11,0)</f>
        <v>0</v>
      </c>
      <c r="I11" s="257"/>
      <c r="J11" s="258">
        <f t="shared" ca="1" si="0"/>
        <v>0</v>
      </c>
      <c r="K11" s="255">
        <f ca="1">IF(ISNUMBER(SEARCH("Dev",D11)),0,IF(ISNUMBER(SEARCH("xSmall",D11)),1,IF(ISNUMBER(SEARCH("Small",D11)),2,IF(ISNUMBER(SEARCH("Medium",D11)),3,IF(ISNUMBER(SEARCH("Large",D11)),4,IF(ISNUMBER(SEARCH("Large",D11)),5,6))))))</f>
        <v>6</v>
      </c>
      <c r="L11" s="255">
        <f t="shared" ca="1" si="4"/>
        <v>0</v>
      </c>
      <c r="M11" s="260">
        <f t="shared" ca="1" si="5"/>
        <v>0</v>
      </c>
      <c r="N11" s="261">
        <f ca="1">OFFSET($S$5,$K11,0)</f>
        <v>0</v>
      </c>
      <c r="P11" s="299"/>
      <c r="Q11" s="300"/>
      <c r="R11" s="258"/>
      <c r="S11" s="301"/>
      <c r="T11" s="256"/>
    </row>
    <row r="12" spans="2:30" x14ac:dyDescent="0.2">
      <c r="B12" s="254"/>
      <c r="C12" s="279" t="s">
        <v>254</v>
      </c>
      <c r="D12" s="295" t="str">
        <f ca="1">OFFSET(MASCoreSizes,'Output Dashboard'!L20,0)</f>
        <v>No</v>
      </c>
      <c r="E12" s="255"/>
      <c r="F12" s="369">
        <f ca="1">OFFSET($V$5,$K12,0)+OFFSET($AD$5,$K12,0)</f>
        <v>0</v>
      </c>
      <c r="G12" s="370">
        <f ca="1">OFFSET($P$5,$K12,0)</f>
        <v>0</v>
      </c>
      <c r="H12" s="371">
        <f ca="1">OFFSET($Q$5,$K12,0)</f>
        <v>0</v>
      </c>
      <c r="I12" s="257"/>
      <c r="J12" s="258">
        <f t="shared" ca="1" si="0"/>
        <v>0</v>
      </c>
      <c r="K12" s="255">
        <f ca="1">IF(ISNUMBER(SEARCH("Dev",D12)),0,IF(ISNUMBER(SEARCH("xSmall",D12)),1,IF(ISNUMBER(SEARCH("Small",D12)),2,IF(ISNUMBER(SEARCH("Medium",D12)),3,IF(ISNUMBER(SEARCH("Large",D12)),4,IF(ISNUMBER(SEARCH("Large",D12)),5,6))))))</f>
        <v>6</v>
      </c>
      <c r="L12" s="255">
        <f t="shared" ca="1" si="4"/>
        <v>0</v>
      </c>
      <c r="M12" s="260">
        <f t="shared" ca="1" si="5"/>
        <v>0</v>
      </c>
      <c r="N12" s="261">
        <f ca="1">OFFSET($S$5,$K12,0)</f>
        <v>0</v>
      </c>
      <c r="P12" s="299"/>
      <c r="Q12" s="300"/>
      <c r="R12" s="258"/>
      <c r="S12" s="301"/>
      <c r="T12" s="256"/>
      <c r="Y12" s="620"/>
      <c r="Z12" s="620"/>
      <c r="AA12" s="620"/>
      <c r="AB12" s="620"/>
      <c r="AC12" s="620"/>
      <c r="AD12" s="620"/>
    </row>
    <row r="13" spans="2:30" x14ac:dyDescent="0.2">
      <c r="B13" s="254"/>
      <c r="C13" s="279" t="s">
        <v>255</v>
      </c>
      <c r="D13" s="295" t="str">
        <f ca="1">OFFSET(MASCoreSizes,'Output Dashboard'!L21,0)</f>
        <v>No</v>
      </c>
      <c r="E13" s="255"/>
      <c r="F13" s="369">
        <f ca="1">OFFSET($V$5,$K13,0)+OFFSET($AD$5,$K13,0)</f>
        <v>0</v>
      </c>
      <c r="G13" s="370">
        <f ca="1">OFFSET($P$5,$K13,0)</f>
        <v>0</v>
      </c>
      <c r="H13" s="371">
        <f ca="1">OFFSET($Q$5,$K13,0)</f>
        <v>0</v>
      </c>
      <c r="I13" s="257"/>
      <c r="J13" s="258">
        <f t="shared" ca="1" si="0"/>
        <v>0</v>
      </c>
      <c r="K13" s="255">
        <f ca="1">IF(ISNUMBER(SEARCH("Dev",D13)),0,IF(ISNUMBER(SEARCH("xSmall",D13)),1,IF(ISNUMBER(SEARCH("Small",D13)),2,IF(ISNUMBER(SEARCH("Medium",D13)),3,IF(ISNUMBER(SEARCH("Large",D13)),4,IF(ISNUMBER(SEARCH("Large",D13)),5,6))))))</f>
        <v>6</v>
      </c>
      <c r="L13" s="255">
        <f t="shared" ca="1" si="4"/>
        <v>0</v>
      </c>
      <c r="M13" s="260">
        <f t="shared" ca="1" si="5"/>
        <v>0</v>
      </c>
      <c r="N13" s="261">
        <f ca="1">OFFSET($S$5,$K13,0)</f>
        <v>0</v>
      </c>
      <c r="P13" s="299"/>
      <c r="Q13" s="300"/>
      <c r="R13" s="258"/>
      <c r="S13" s="301"/>
      <c r="T13" s="256"/>
    </row>
    <row r="14" spans="2:30" x14ac:dyDescent="0.2">
      <c r="B14" s="254"/>
      <c r="C14" s="302" t="s">
        <v>229</v>
      </c>
      <c r="D14" s="303">
        <f>Manage!D15+Monitor!D15+Predict!D15+Safety!D15+Assist!D15</f>
        <v>0</v>
      </c>
      <c r="E14" s="255"/>
      <c r="F14" s="369">
        <f ca="1">OFFSET($V$5,$K14,0)*D14</f>
        <v>0</v>
      </c>
      <c r="G14" s="370">
        <f ca="1">OFFSET($P$5,$K14,0)*D14</f>
        <v>0</v>
      </c>
      <c r="H14" s="374">
        <f ca="1">OFFSET($Q$5,$K14,0)*D14</f>
        <v>0</v>
      </c>
      <c r="I14" s="257"/>
      <c r="J14" s="258">
        <f t="shared" ca="1" si="0"/>
        <v>0</v>
      </c>
      <c r="K14" s="255">
        <f>IF(D14=0,6,0)</f>
        <v>6</v>
      </c>
      <c r="L14" s="255">
        <f t="shared" ca="1" si="4"/>
        <v>0</v>
      </c>
      <c r="M14" s="260">
        <f t="shared" ca="1" si="5"/>
        <v>0</v>
      </c>
      <c r="P14" s="299"/>
      <c r="Q14" s="300"/>
      <c r="R14" s="258"/>
      <c r="S14" s="301"/>
      <c r="T14" s="256"/>
      <c r="Y14" s="275"/>
      <c r="Z14" s="275"/>
      <c r="AA14" s="275"/>
      <c r="AB14" s="275"/>
      <c r="AC14" s="275"/>
      <c r="AD14" s="275"/>
    </row>
    <row r="15" spans="2:30" x14ac:dyDescent="0.2">
      <c r="B15" s="254"/>
      <c r="C15" s="304"/>
      <c r="D15" s="305"/>
      <c r="E15" s="255"/>
      <c r="F15" s="372"/>
      <c r="G15" s="328"/>
      <c r="H15" s="373"/>
      <c r="I15" s="257"/>
      <c r="J15" s="258">
        <f t="shared" si="0"/>
        <v>0</v>
      </c>
      <c r="L15" s="255"/>
      <c r="M15" s="260"/>
      <c r="P15" s="299"/>
      <c r="Q15" s="300"/>
      <c r="R15" s="258"/>
      <c r="S15" s="301"/>
      <c r="T15" s="256"/>
      <c r="AC15" s="261"/>
      <c r="AD15" s="274"/>
    </row>
    <row r="16" spans="2:30" x14ac:dyDescent="0.2">
      <c r="B16" s="254"/>
      <c r="C16" s="276" t="s">
        <v>222</v>
      </c>
      <c r="D16" s="303" t="str">
        <f ca="1">OFFSET(MASCoreSizes,'Output Dashboard'!L23,0)</f>
        <v>No</v>
      </c>
      <c r="E16" s="255"/>
      <c r="F16" s="369">
        <f ca="1">OFFSET($V$5,$K16,0)</f>
        <v>0</v>
      </c>
      <c r="G16" s="370">
        <f ca="1">OFFSET($P$5,$K16,0)</f>
        <v>0</v>
      </c>
      <c r="H16" s="371">
        <f ca="1">OFFSET($R$5,$K16,0)</f>
        <v>0</v>
      </c>
      <c r="I16" s="257"/>
      <c r="J16" s="258">
        <f t="shared" ca="1" si="0"/>
        <v>0</v>
      </c>
      <c r="K16" s="255">
        <f ca="1">IF(D16="no",6,0)</f>
        <v>6</v>
      </c>
      <c r="L16" s="255">
        <f ca="1">OFFSET($Z$5,$K16,0)</f>
        <v>0</v>
      </c>
      <c r="M16" s="260">
        <f t="shared" ca="1" si="5"/>
        <v>0</v>
      </c>
      <c r="P16" s="299"/>
      <c r="Q16" s="300"/>
      <c r="R16" s="258"/>
      <c r="S16" s="301"/>
      <c r="T16" s="256"/>
      <c r="AC16" s="261"/>
      <c r="AD16" s="260"/>
    </row>
    <row r="17" spans="2:30" ht="17" thickBot="1" x14ac:dyDescent="0.25">
      <c r="B17" s="254"/>
      <c r="C17" s="255"/>
      <c r="D17" s="255"/>
      <c r="E17" s="255"/>
      <c r="F17" s="372"/>
      <c r="G17" s="328"/>
      <c r="H17" s="375"/>
      <c r="I17" s="306"/>
      <c r="J17" s="258">
        <f t="shared" si="0"/>
        <v>0</v>
      </c>
      <c r="L17" s="255"/>
      <c r="M17" s="260"/>
      <c r="P17" s="299"/>
      <c r="Q17" s="300"/>
      <c r="R17" s="258"/>
      <c r="S17" s="301"/>
      <c r="T17" s="256"/>
      <c r="AC17" s="261"/>
      <c r="AD17" s="260"/>
    </row>
    <row r="18" spans="2:30" ht="17" thickBot="1" x14ac:dyDescent="0.25">
      <c r="B18" s="254"/>
      <c r="C18" s="307" t="s">
        <v>331</v>
      </c>
      <c r="D18" s="308"/>
      <c r="E18" s="255"/>
      <c r="F18" s="372"/>
      <c r="G18" s="328"/>
      <c r="H18" s="373"/>
      <c r="I18" s="257"/>
      <c r="J18" s="258">
        <f t="shared" si="0"/>
        <v>0</v>
      </c>
      <c r="L18" s="259" t="s">
        <v>318</v>
      </c>
      <c r="M18" s="260"/>
      <c r="P18" s="299"/>
      <c r="Q18" s="309"/>
      <c r="R18" s="310"/>
      <c r="S18" s="311"/>
      <c r="T18" s="256"/>
      <c r="AC18" s="261"/>
      <c r="AD18" s="260"/>
    </row>
    <row r="19" spans="2:30" x14ac:dyDescent="0.2">
      <c r="B19" s="254"/>
      <c r="C19" s="279" t="s">
        <v>332</v>
      </c>
      <c r="D19" s="356" t="s">
        <v>238</v>
      </c>
      <c r="E19" s="255"/>
      <c r="F19" s="385" t="str">
        <f>IF(D19="Shared","","Custom Quote: Please contact Drew.A.Sens@ibm.com")</f>
        <v/>
      </c>
      <c r="G19" s="370"/>
      <c r="H19" s="371"/>
      <c r="I19" s="257"/>
      <c r="J19" s="258"/>
      <c r="L19" s="278">
        <f>M19*VPCCost+N19</f>
        <v>0</v>
      </c>
      <c r="M19" s="260"/>
      <c r="AC19" s="261"/>
      <c r="AD19" s="260"/>
    </row>
    <row r="20" spans="2:30" ht="17" thickBot="1" x14ac:dyDescent="0.25">
      <c r="B20" s="254"/>
      <c r="C20" s="276" t="s">
        <v>333</v>
      </c>
      <c r="D20" s="357" t="s">
        <v>3</v>
      </c>
      <c r="E20" s="255"/>
      <c r="F20" s="376">
        <v>0</v>
      </c>
      <c r="G20" s="377">
        <v>0</v>
      </c>
      <c r="H20" s="378">
        <v>0</v>
      </c>
      <c r="I20" s="257" t="str">
        <f>IF(D20="No","","IBM Seller inlcude App Connect (D1YD3LL) in customer quote. ")</f>
        <v/>
      </c>
      <c r="J20" s="258">
        <f>CapUdiscounedpriceyearly*F20+VPCdiscountedpriceyearly*G20+GBstoragediscountedpriceyearly*H20</f>
        <v>0</v>
      </c>
      <c r="M20" s="260"/>
    </row>
    <row r="21" spans="2:30" x14ac:dyDescent="0.2">
      <c r="B21" s="254"/>
      <c r="C21" s="255"/>
      <c r="D21" s="255"/>
      <c r="E21" s="255"/>
      <c r="F21" s="362"/>
      <c r="G21" s="328"/>
      <c r="H21" s="328"/>
      <c r="I21" s="257"/>
    </row>
    <row r="22" spans="2:30" x14ac:dyDescent="0.2">
      <c r="B22" s="254"/>
      <c r="C22" s="255"/>
      <c r="D22" s="255"/>
      <c r="E22" s="255"/>
      <c r="F22" s="362"/>
      <c r="G22" s="328"/>
      <c r="H22" s="328"/>
      <c r="I22" s="257"/>
      <c r="J22" s="258"/>
      <c r="M22" s="260"/>
    </row>
    <row r="23" spans="2:30" x14ac:dyDescent="0.2">
      <c r="B23" s="254"/>
      <c r="C23" s="255"/>
      <c r="D23" s="255"/>
      <c r="E23" s="255"/>
      <c r="F23" s="362"/>
      <c r="G23" s="328"/>
      <c r="H23" s="328"/>
      <c r="I23" s="257"/>
      <c r="J23" s="258"/>
      <c r="M23" s="260"/>
      <c r="Y23" s="275"/>
      <c r="Z23" s="275"/>
      <c r="AA23" s="275"/>
      <c r="AB23" s="275"/>
      <c r="AC23" s="275"/>
      <c r="AD23" s="275"/>
    </row>
    <row r="24" spans="2:30" x14ac:dyDescent="0.2">
      <c r="B24" s="254"/>
      <c r="C24" s="255"/>
      <c r="D24" s="615" t="s">
        <v>400</v>
      </c>
      <c r="E24" s="255"/>
      <c r="F24" s="362"/>
      <c r="G24" s="328"/>
      <c r="H24" s="328"/>
      <c r="I24" s="257"/>
      <c r="J24" s="258"/>
      <c r="M24" s="260"/>
      <c r="AC24" s="261"/>
      <c r="AD24" s="274"/>
    </row>
    <row r="25" spans="2:30" x14ac:dyDescent="0.2">
      <c r="B25" s="254"/>
      <c r="C25" s="255"/>
      <c r="D25" s="615"/>
      <c r="E25" s="255"/>
      <c r="F25" s="362"/>
      <c r="G25" s="328"/>
      <c r="H25" s="328"/>
      <c r="I25" s="257"/>
      <c r="J25" s="258"/>
      <c r="M25" s="260"/>
      <c r="AC25" s="261"/>
      <c r="AD25" s="260"/>
    </row>
    <row r="26" spans="2:30" ht="17" thickBot="1" x14ac:dyDescent="0.25">
      <c r="B26" s="254"/>
      <c r="C26" s="255"/>
      <c r="D26" s="255"/>
      <c r="E26" s="255"/>
      <c r="F26" s="362"/>
      <c r="G26" s="328"/>
      <c r="H26" s="328"/>
      <c r="I26" s="257"/>
      <c r="J26" s="258"/>
      <c r="M26" s="260"/>
      <c r="AC26" s="261"/>
      <c r="AD26" s="260"/>
    </row>
    <row r="27" spans="2:30" ht="17" thickBot="1" x14ac:dyDescent="0.25">
      <c r="B27" s="254"/>
      <c r="C27" s="255"/>
      <c r="D27" s="262"/>
      <c r="E27" s="255"/>
      <c r="F27" s="379" t="s">
        <v>232</v>
      </c>
      <c r="G27" s="380" t="s">
        <v>5</v>
      </c>
      <c r="H27" s="381" t="s">
        <v>6</v>
      </c>
      <c r="I27" s="263"/>
      <c r="J27" s="258"/>
      <c r="K27" s="255">
        <f ca="1">MAX(K5:K26)</f>
        <v>6</v>
      </c>
      <c r="L27" s="264">
        <f ca="1">SUM(L6:L26)</f>
        <v>0</v>
      </c>
      <c r="M27" s="264">
        <f ca="1">SUM(M6:M26)</f>
        <v>0</v>
      </c>
      <c r="N27" s="261">
        <f ca="1">SUM(N6:N26)</f>
        <v>0</v>
      </c>
      <c r="AC27" s="261"/>
      <c r="AD27" s="260"/>
    </row>
    <row r="28" spans="2:30" ht="17" thickBot="1" x14ac:dyDescent="0.25">
      <c r="B28" s="254"/>
      <c r="C28" s="255"/>
      <c r="D28" s="265" t="s">
        <v>571</v>
      </c>
      <c r="E28" s="255"/>
      <c r="F28" s="382">
        <f ca="1">SUM(F6:F20)</f>
        <v>0</v>
      </c>
      <c r="G28" s="382">
        <f t="shared" ref="G28:H28" ca="1" si="6">SUM(G6:G20)</f>
        <v>0</v>
      </c>
      <c r="H28" s="382">
        <f t="shared" ca="1" si="6"/>
        <v>0</v>
      </c>
      <c r="I28" s="266"/>
      <c r="J28" s="258">
        <f ca="1">CapUdiscounedpriceyearly*F28+VPCdiscountedpriceyearly*G28+GBstoragediscountedpriceyearly*H28</f>
        <v>0</v>
      </c>
      <c r="M28" s="261">
        <v>311.00400000000002</v>
      </c>
      <c r="T28" s="264">
        <f>SUM(T5:T27)</f>
        <v>800</v>
      </c>
      <c r="AC28" s="261"/>
      <c r="AD28" s="260"/>
    </row>
    <row r="29" spans="2:30" x14ac:dyDescent="0.2">
      <c r="B29" s="254"/>
      <c r="C29" s="255"/>
      <c r="D29" s="255"/>
      <c r="E29" s="255"/>
      <c r="F29" s="362"/>
      <c r="G29" s="328"/>
      <c r="H29" s="328"/>
      <c r="I29" s="257"/>
      <c r="J29" s="258"/>
    </row>
    <row r="30" spans="2:30" x14ac:dyDescent="0.2">
      <c r="B30" s="254"/>
      <c r="C30" s="255"/>
      <c r="D30" s="267" t="s">
        <v>321</v>
      </c>
      <c r="E30" s="255"/>
      <c r="F30" s="627" t="str">
        <f>F19</f>
        <v/>
      </c>
      <c r="G30" s="627"/>
      <c r="H30" s="627"/>
      <c r="I30" s="268"/>
      <c r="J30" s="258"/>
    </row>
    <row r="31" spans="2:30" x14ac:dyDescent="0.2">
      <c r="B31" s="254"/>
      <c r="C31" s="255"/>
      <c r="D31" s="262"/>
      <c r="E31" s="255"/>
      <c r="F31" s="627"/>
      <c r="G31" s="627"/>
      <c r="H31" s="627"/>
      <c r="I31" s="268"/>
      <c r="J31" s="258"/>
    </row>
    <row r="32" spans="2:30" x14ac:dyDescent="0.2">
      <c r="B32" s="254"/>
      <c r="C32" s="255"/>
      <c r="D32" s="262"/>
      <c r="E32" s="255"/>
      <c r="F32" s="627"/>
      <c r="G32" s="627"/>
      <c r="H32" s="627"/>
      <c r="I32" s="268"/>
      <c r="J32" s="258"/>
    </row>
    <row r="33" spans="2:12" x14ac:dyDescent="0.2">
      <c r="B33" s="254"/>
      <c r="C33" s="255"/>
      <c r="D33" s="262"/>
      <c r="E33" s="255"/>
      <c r="F33" s="627"/>
      <c r="G33" s="627"/>
      <c r="H33" s="627"/>
      <c r="I33" s="268"/>
    </row>
    <row r="34" spans="2:12" x14ac:dyDescent="0.2">
      <c r="B34" s="254"/>
      <c r="C34" s="255"/>
      <c r="D34" s="262"/>
      <c r="E34" s="255"/>
      <c r="F34" s="627"/>
      <c r="G34" s="627"/>
      <c r="H34" s="627"/>
      <c r="I34" s="268"/>
    </row>
    <row r="35" spans="2:12" x14ac:dyDescent="0.2">
      <c r="B35" s="254"/>
      <c r="C35" s="255"/>
      <c r="D35" s="262"/>
      <c r="E35" s="255"/>
      <c r="F35" s="627"/>
      <c r="G35" s="627"/>
      <c r="H35" s="627"/>
      <c r="I35" s="268"/>
    </row>
    <row r="36" spans="2:12" x14ac:dyDescent="0.2">
      <c r="B36" s="254"/>
      <c r="C36" s="255"/>
      <c r="D36" s="262"/>
      <c r="E36" s="255"/>
      <c r="F36" s="627"/>
      <c r="G36" s="627"/>
      <c r="H36" s="627"/>
      <c r="I36" s="268"/>
    </row>
    <row r="37" spans="2:12" x14ac:dyDescent="0.2">
      <c r="B37" s="254"/>
      <c r="C37" s="255"/>
      <c r="D37" s="262"/>
      <c r="E37" s="255"/>
      <c r="F37" s="627"/>
      <c r="G37" s="627"/>
      <c r="H37" s="627"/>
      <c r="I37" s="268"/>
      <c r="L37" s="260"/>
    </row>
    <row r="38" spans="2:12" x14ac:dyDescent="0.2">
      <c r="B38" s="254"/>
      <c r="C38" s="255"/>
      <c r="D38" s="262"/>
      <c r="E38" s="255"/>
      <c r="F38" s="627"/>
      <c r="G38" s="627"/>
      <c r="H38" s="627"/>
      <c r="I38" s="268"/>
    </row>
    <row r="39" spans="2:12" x14ac:dyDescent="0.2">
      <c r="B39" s="269"/>
      <c r="C39" s="270"/>
      <c r="D39" s="271"/>
      <c r="E39" s="270"/>
      <c r="F39" s="628"/>
      <c r="G39" s="628"/>
      <c r="H39" s="628"/>
      <c r="I39" s="272"/>
    </row>
    <row r="42" spans="2:12" x14ac:dyDescent="0.2">
      <c r="C42" s="273"/>
    </row>
    <row r="43" spans="2:12" x14ac:dyDescent="0.2">
      <c r="C43" s="255"/>
    </row>
  </sheetData>
  <sheetProtection algorithmName="SHA-512" hashValue="iI1J0o3SOMl0/bHsjHzqUnjn7ctQ4BhEinQj61IhPhan2mgbgefCzWZwBeayeUwInqEZjs8DS51A7Hb/Nm5Ijw==" saltValue="JPwvgNOI4TQNgy/NZgEijw==" spinCount="100000" sheet="1" objects="1" scenarios="1"/>
  <mergeCells count="4">
    <mergeCell ref="R3:V3"/>
    <mergeCell ref="F30:H39"/>
    <mergeCell ref="D24:D25"/>
    <mergeCell ref="Y12:AD12"/>
  </mergeCells>
  <dataValidations count="2">
    <dataValidation type="list" allowBlank="1" showInputMessage="1" showErrorMessage="1" sqref="D19" xr:uid="{0723341D-5285-7840-A1B5-4014880ABA6C}">
      <formula1>shareddedicated</formula1>
    </dataValidation>
    <dataValidation type="list" allowBlank="1" showInputMessage="1" showErrorMessage="1" sqref="D20" xr:uid="{B268925B-1A0C-7942-B3AC-978C79B8B5EC}">
      <formula1>yesno</formula1>
    </dataValidation>
  </dataValidations>
  <hyperlinks>
    <hyperlink ref="D24" location="'Output Dashboard'!A1" display="Go to Output Dashboard" xr:uid="{EF69DD72-1037-164A-BE49-3484C109A1E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8FAC-6EF9-F742-B51E-4AEF894EFB41}">
  <sheetPr codeName="Sheet10"/>
  <dimension ref="A1"/>
  <sheetViews>
    <sheetView workbookViewId="0">
      <selection activeCell="D14" sqref="D14"/>
    </sheetView>
  </sheetViews>
  <sheetFormatPr baseColWidth="10" defaultRowHeight="16" x14ac:dyDescent="0.2"/>
  <sheetData/>
  <sheetProtection algorithmName="SHA-512" hashValue="Y/51eejUUDjo6bjPL+zgeykllb65hIEYwEzC+vlXRLKYatKdGg8HSH4713B0Ax6a9bU91QsvIhwYhyjRYe0gNQ==" saltValue="yY4CCijeuv1Ayyd0K21pMQ=="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546BE-F157-BF4D-945B-1C4D4501DC6B}">
  <sheetPr codeName="Sheet13">
    <tabColor theme="4" tint="0.39997558519241921"/>
  </sheetPr>
  <dimension ref="B1:X124"/>
  <sheetViews>
    <sheetView tabSelected="1" workbookViewId="0">
      <selection activeCell="Y66" sqref="Y66"/>
    </sheetView>
  </sheetViews>
  <sheetFormatPr baseColWidth="10" defaultRowHeight="15" outlineLevelRow="1" outlineLevelCol="1" x14ac:dyDescent="0.2"/>
  <cols>
    <col min="1" max="1" width="2.1640625" style="407" customWidth="1"/>
    <col min="2" max="2" width="9" style="407" customWidth="1"/>
    <col min="3" max="3" width="15.33203125" style="407" customWidth="1"/>
    <col min="4" max="4" width="19.5" style="407" customWidth="1"/>
    <col min="5" max="5" width="23" style="407" customWidth="1"/>
    <col min="6" max="6" width="23.1640625" style="407" customWidth="1"/>
    <col min="7" max="7" width="28.1640625" style="407" customWidth="1"/>
    <col min="8" max="8" width="27.6640625" style="407" customWidth="1"/>
    <col min="9" max="9" width="24.83203125" style="407" customWidth="1"/>
    <col min="10" max="10" width="17.33203125" style="407" customWidth="1"/>
    <col min="11" max="11" width="6.83203125" style="407" customWidth="1"/>
    <col min="12" max="12" width="28.33203125" style="407" hidden="1" customWidth="1" outlineLevel="1"/>
    <col min="13" max="13" width="12.6640625" style="407" hidden="1" customWidth="1" outlineLevel="1"/>
    <col min="14" max="14" width="15.33203125" style="407" hidden="1" customWidth="1" outlineLevel="1"/>
    <col min="15" max="15" width="17.5" style="407" hidden="1" customWidth="1" outlineLevel="1"/>
    <col min="16" max="16" width="14.83203125" style="407" hidden="1" customWidth="1" outlineLevel="1"/>
    <col min="17" max="23" width="10.83203125" style="407" hidden="1" customWidth="1" outlineLevel="1"/>
    <col min="24" max="24" width="10.83203125" style="407" collapsed="1"/>
    <col min="25" max="16384" width="10.83203125" style="407"/>
  </cols>
  <sheetData>
    <row r="1" spans="2:20" ht="12" customHeight="1" x14ac:dyDescent="0.2"/>
    <row r="2" spans="2:20" x14ac:dyDescent="0.2">
      <c r="B2" s="408" t="s">
        <v>620</v>
      </c>
      <c r="C2" s="409"/>
      <c r="D2" s="409"/>
      <c r="E2" s="409"/>
      <c r="F2" s="409"/>
      <c r="G2" s="409"/>
      <c r="H2" s="409"/>
      <c r="I2" s="409"/>
      <c r="J2" s="409"/>
      <c r="K2" s="410"/>
    </row>
    <row r="3" spans="2:20" ht="16" thickBot="1" x14ac:dyDescent="0.25">
      <c r="B3" s="411"/>
      <c r="C3" s="412"/>
      <c r="D3" s="412"/>
      <c r="E3" s="412"/>
      <c r="F3" s="412"/>
      <c r="G3" s="412"/>
      <c r="H3" s="412"/>
      <c r="I3" s="412"/>
      <c r="J3" s="412"/>
      <c r="K3" s="413"/>
    </row>
    <row r="4" spans="2:20" ht="16" thickBot="1" x14ac:dyDescent="0.25">
      <c r="B4" s="411"/>
      <c r="E4" s="412"/>
      <c r="F4" s="629" t="s">
        <v>569</v>
      </c>
      <c r="G4" s="412"/>
      <c r="H4" s="412"/>
      <c r="I4" s="412"/>
      <c r="J4" s="412"/>
      <c r="K4" s="413"/>
    </row>
    <row r="5" spans="2:20" ht="33" customHeight="1" thickBot="1" x14ac:dyDescent="0.25">
      <c r="B5" s="411"/>
      <c r="C5" s="412"/>
      <c r="D5" s="561" t="s">
        <v>256</v>
      </c>
      <c r="E5" s="396" t="s">
        <v>257</v>
      </c>
      <c r="F5" s="630"/>
      <c r="G5" s="397" t="s">
        <v>232</v>
      </c>
      <c r="H5" s="397" t="s">
        <v>335</v>
      </c>
      <c r="I5" s="397" t="s">
        <v>336</v>
      </c>
      <c r="J5" s="412"/>
      <c r="K5" s="413"/>
      <c r="L5" s="407" t="s">
        <v>259</v>
      </c>
    </row>
    <row r="6" spans="2:20" ht="16" customHeight="1" x14ac:dyDescent="0.2">
      <c r="B6" s="411"/>
      <c r="C6" s="412"/>
      <c r="D6" s="389" t="s">
        <v>30</v>
      </c>
      <c r="E6" s="398" t="str">
        <f>Manage!D$5</f>
        <v>No</v>
      </c>
      <c r="F6" s="582" t="str">
        <f ca="1">OFFSET(txts!J$12,Manage!K$6,0)</f>
        <v>No</v>
      </c>
      <c r="G6" s="580">
        <f ca="1">Manage!F37</f>
        <v>0</v>
      </c>
      <c r="H6" s="399">
        <f ca="1">Manage!G37</f>
        <v>0</v>
      </c>
      <c r="I6" s="400">
        <f ca="1">Manage!H37</f>
        <v>0</v>
      </c>
      <c r="J6" s="412"/>
      <c r="K6" s="413"/>
      <c r="L6" s="407">
        <f>Manage!K$6</f>
        <v>6</v>
      </c>
    </row>
    <row r="7" spans="2:20" ht="16" x14ac:dyDescent="0.2">
      <c r="B7" s="411"/>
      <c r="C7" s="412"/>
      <c r="D7" s="390" t="s">
        <v>23</v>
      </c>
      <c r="E7" s="401" t="str">
        <f>Monitor!D5</f>
        <v>No</v>
      </c>
      <c r="F7" s="402" t="str">
        <f ca="1">OFFSET(txts!J$12,Monitor!K$6,0)</f>
        <v>No</v>
      </c>
      <c r="G7" s="403">
        <f ca="1">Monitor!F26</f>
        <v>0</v>
      </c>
      <c r="H7" s="403">
        <f ca="1">Monitor!G26</f>
        <v>0</v>
      </c>
      <c r="I7" s="403">
        <f ca="1">Monitor!H26</f>
        <v>0</v>
      </c>
      <c r="J7" s="412"/>
      <c r="K7" s="413"/>
      <c r="L7" s="407">
        <f>Monitor!K$6</f>
        <v>6</v>
      </c>
    </row>
    <row r="8" spans="2:20" ht="16" x14ac:dyDescent="0.2">
      <c r="B8" s="411"/>
      <c r="C8" s="412"/>
      <c r="D8" s="577" t="s">
        <v>24</v>
      </c>
      <c r="E8" s="401" t="str">
        <f>Health!D6</f>
        <v>No</v>
      </c>
      <c r="F8" s="402" t="str">
        <f ca="1">OFFSET(txts!J$12,Health!K$7,0)</f>
        <v>No</v>
      </c>
      <c r="G8" s="578">
        <f ca="1">Health!F32</f>
        <v>0</v>
      </c>
      <c r="H8" s="578">
        <f ca="1">Health!G32</f>
        <v>0</v>
      </c>
      <c r="I8" s="578">
        <f ca="1">Health!H32</f>
        <v>0</v>
      </c>
      <c r="J8" s="412" t="str">
        <f>IF(Health!D21="Yes","w/ HP-Utilities","")</f>
        <v/>
      </c>
      <c r="K8" s="413"/>
      <c r="L8" s="407">
        <f>Health!K$7</f>
        <v>6</v>
      </c>
    </row>
    <row r="9" spans="2:20" ht="16" x14ac:dyDescent="0.2">
      <c r="B9" s="411"/>
      <c r="C9" s="412"/>
      <c r="D9" s="390" t="s">
        <v>25</v>
      </c>
      <c r="E9" s="401" t="str">
        <f>Predict!D5</f>
        <v>No</v>
      </c>
      <c r="F9" s="402" t="str">
        <f ca="1">OFFSET(txts!J$12,Predict!K$6,0)</f>
        <v>No</v>
      </c>
      <c r="G9" s="579">
        <f ca="1">Predict!F24</f>
        <v>0</v>
      </c>
      <c r="H9" s="404">
        <f ca="1">Predict!G24</f>
        <v>0</v>
      </c>
      <c r="I9" s="404">
        <f ca="1">Predict!H24</f>
        <v>0</v>
      </c>
      <c r="J9" s="412"/>
      <c r="K9" s="413"/>
      <c r="L9" s="407">
        <f>Predict!K$6</f>
        <v>6</v>
      </c>
    </row>
    <row r="10" spans="2:20" ht="16" x14ac:dyDescent="0.2">
      <c r="B10" s="411"/>
      <c r="C10" s="412"/>
      <c r="D10" s="390" t="s">
        <v>258</v>
      </c>
      <c r="E10" s="398" t="str">
        <f>MVI!D$5</f>
        <v>No</v>
      </c>
      <c r="F10" s="402" t="str">
        <f ca="1">OFFSET(txts!J$12,MVI!K$6,0)</f>
        <v>No</v>
      </c>
      <c r="G10" s="579">
        <f ca="1">MVI!F24</f>
        <v>0</v>
      </c>
      <c r="H10" s="404">
        <f ca="1">MVI!G24</f>
        <v>0</v>
      </c>
      <c r="I10" s="404">
        <f ca="1">MVI!H24</f>
        <v>0</v>
      </c>
      <c r="J10" s="412"/>
      <c r="K10" s="413"/>
      <c r="L10" s="407">
        <f>MVI!K$6</f>
        <v>6</v>
      </c>
      <c r="N10" s="414"/>
    </row>
    <row r="11" spans="2:20" ht="16" x14ac:dyDescent="0.2">
      <c r="B11" s="411"/>
      <c r="C11" s="412"/>
      <c r="D11" s="390" t="s">
        <v>29</v>
      </c>
      <c r="E11" s="398" t="str">
        <f>Safety!D$5</f>
        <v>No</v>
      </c>
      <c r="F11" s="402" t="str">
        <f ca="1">OFFSET(txts!J$12,Safety!K$6,0)</f>
        <v>No</v>
      </c>
      <c r="G11" s="579">
        <f ca="1">Safety!F24</f>
        <v>0</v>
      </c>
      <c r="H11" s="404">
        <f ca="1">Safety!G24</f>
        <v>0</v>
      </c>
      <c r="I11" s="404">
        <f ca="1">Safety!H24</f>
        <v>0</v>
      </c>
      <c r="J11" s="412"/>
      <c r="K11" s="413"/>
      <c r="L11" s="407">
        <f>Safety!K$6</f>
        <v>6</v>
      </c>
    </row>
    <row r="12" spans="2:20" ht="17" thickBot="1" x14ac:dyDescent="0.25">
      <c r="B12" s="411"/>
      <c r="C12" s="412"/>
      <c r="D12" s="391" t="s">
        <v>28</v>
      </c>
      <c r="E12" s="398" t="str">
        <f>Assist!D$5</f>
        <v>No</v>
      </c>
      <c r="F12" s="402" t="str">
        <f ca="1">OFFSET(txts!J$12,Assist!K$6,0)</f>
        <v>No</v>
      </c>
      <c r="G12" s="579">
        <f ca="1">Assist!F24</f>
        <v>0</v>
      </c>
      <c r="H12" s="404">
        <f ca="1">Assist!G24</f>
        <v>0</v>
      </c>
      <c r="I12" s="404">
        <f ca="1">Assist!H24</f>
        <v>0</v>
      </c>
      <c r="J12" s="412"/>
      <c r="K12" s="413"/>
      <c r="L12" s="407">
        <f>Assist!K6</f>
        <v>6</v>
      </c>
    </row>
    <row r="13" spans="2:20" ht="16" thickBot="1" x14ac:dyDescent="0.25">
      <c r="B13" s="411"/>
      <c r="C13" s="412"/>
      <c r="D13" s="392" t="s">
        <v>401</v>
      </c>
      <c r="E13" s="405" t="str">
        <f ca="1">'MAS Core'!D5</f>
        <v>No</v>
      </c>
      <c r="F13" s="583" t="str">
        <f ca="1">OFFSET(txts!J12,L13,0)</f>
        <v>No</v>
      </c>
      <c r="G13" s="581">
        <f ca="1">'MAS Core'!F28</f>
        <v>0</v>
      </c>
      <c r="H13" s="406">
        <f ca="1">'MAS Core'!G28</f>
        <v>0</v>
      </c>
      <c r="I13" s="406">
        <f ca="1">'MAS Core'!H28</f>
        <v>0</v>
      </c>
      <c r="J13" s="412"/>
      <c r="K13" s="413"/>
      <c r="L13" s="412">
        <f>IF(MIN(L6:L12)=6,6,_xlfn.MAXIFS(L6:L12,L6:L12,"&lt;6"))</f>
        <v>6</v>
      </c>
    </row>
    <row r="14" spans="2:20" ht="16" thickBot="1" x14ac:dyDescent="0.25">
      <c r="B14" s="411"/>
      <c r="C14" s="415"/>
      <c r="D14" s="416"/>
      <c r="E14" s="416"/>
      <c r="F14" s="416"/>
      <c r="G14" s="416"/>
      <c r="H14" s="416"/>
      <c r="I14" s="412"/>
      <c r="J14" s="412"/>
      <c r="K14" s="413"/>
    </row>
    <row r="15" spans="2:20" ht="16" thickBot="1" x14ac:dyDescent="0.25">
      <c r="B15" s="417" t="s">
        <v>448</v>
      </c>
      <c r="C15" s="418"/>
      <c r="D15" s="412"/>
      <c r="F15" s="416"/>
      <c r="G15" s="416"/>
      <c r="H15" s="416"/>
      <c r="I15" s="416"/>
      <c r="J15" s="412"/>
      <c r="K15" s="413"/>
    </row>
    <row r="16" spans="2:20" ht="17" thickBot="1" x14ac:dyDescent="0.25">
      <c r="B16" s="412"/>
      <c r="C16" s="393" t="s">
        <v>30</v>
      </c>
      <c r="D16" s="394" t="s">
        <v>23</v>
      </c>
      <c r="E16" s="584" t="s">
        <v>24</v>
      </c>
      <c r="F16" s="394" t="s">
        <v>25</v>
      </c>
      <c r="G16" s="394" t="s">
        <v>258</v>
      </c>
      <c r="H16" s="394" t="s">
        <v>29</v>
      </c>
      <c r="I16" s="394" t="s">
        <v>28</v>
      </c>
      <c r="J16" s="395" t="s">
        <v>11</v>
      </c>
      <c r="K16" s="413"/>
      <c r="L16" s="419" t="s">
        <v>311</v>
      </c>
      <c r="M16" s="420" t="s">
        <v>30</v>
      </c>
      <c r="N16" s="421" t="s">
        <v>23</v>
      </c>
      <c r="O16" s="421" t="s">
        <v>24</v>
      </c>
      <c r="P16" s="421" t="s">
        <v>25</v>
      </c>
      <c r="Q16" s="421" t="s">
        <v>258</v>
      </c>
      <c r="R16" s="421" t="s">
        <v>29</v>
      </c>
      <c r="S16" s="422" t="s">
        <v>28</v>
      </c>
      <c r="T16" s="423" t="s">
        <v>428</v>
      </c>
    </row>
    <row r="17" spans="2:22" x14ac:dyDescent="0.2">
      <c r="B17" s="424" t="s">
        <v>422</v>
      </c>
      <c r="C17" s="425" t="str">
        <f ca="1">OFFSET(txts!$J$12,Manage!$K$10,0)</f>
        <v>No</v>
      </c>
      <c r="D17" s="426" t="str">
        <f ca="1">OFFSET(txts!$J$12,Monitor!$K10,0)</f>
        <v>No</v>
      </c>
      <c r="E17" s="426" t="str">
        <f ca="1">OFFSET(txts!$J$12,O17,0)</f>
        <v>No</v>
      </c>
      <c r="F17" s="426" t="str">
        <f ca="1">OFFSET(txts!$J$12,P17,0)</f>
        <v>No</v>
      </c>
      <c r="G17" s="426" t="str">
        <f ca="1">OFFSET(txts!$J$12,Q17,0)</f>
        <v>No</v>
      </c>
      <c r="H17" s="426" t="str">
        <f ca="1">OFFSET(txts!$J$12,R17,0)</f>
        <v>No</v>
      </c>
      <c r="I17" s="426" t="str">
        <f ca="1">OFFSET(txts!$J$12,S17,0)</f>
        <v>No</v>
      </c>
      <c r="J17" s="427" t="str">
        <f ca="1">OFFSET(txts!$J$12,T17,0)</f>
        <v>No</v>
      </c>
      <c r="K17" s="413"/>
      <c r="L17" s="407">
        <f>IF(MIN(M17:S17)=6,6,_xlfn.MAXIFS(M17:S17,M17:S17,"&lt;6"))</f>
        <v>6</v>
      </c>
      <c r="M17" s="412">
        <f>Manage!K10</f>
        <v>6</v>
      </c>
      <c r="N17" s="412">
        <f>Monitor!$K10</f>
        <v>6</v>
      </c>
      <c r="O17" s="412">
        <f>Health!$K11</f>
        <v>6</v>
      </c>
      <c r="P17" s="412">
        <f>Predict!$K10</f>
        <v>6</v>
      </c>
      <c r="Q17" s="412">
        <f>MVI!$K10</f>
        <v>6</v>
      </c>
      <c r="R17" s="412">
        <f>Safety!$K10</f>
        <v>6</v>
      </c>
      <c r="S17" s="412">
        <f>Assist!$K10</f>
        <v>6</v>
      </c>
      <c r="T17" s="407">
        <f ca="1">'MAS Core'!K9</f>
        <v>6</v>
      </c>
    </row>
    <row r="18" spans="2:22" x14ac:dyDescent="0.2">
      <c r="B18" s="428" t="s">
        <v>423</v>
      </c>
      <c r="C18" s="429" t="str">
        <f ca="1">OFFSET(txts!J$12,Manage!K11,0)</f>
        <v>No</v>
      </c>
      <c r="D18" s="430" t="str">
        <f ca="1">OFFSET(txts!$J$12,Monitor!$K11,0)</f>
        <v>No</v>
      </c>
      <c r="E18" s="430" t="str">
        <f ca="1">OFFSET(txts!$J$12,O18,0)</f>
        <v>No</v>
      </c>
      <c r="F18" s="430" t="str">
        <f ca="1">OFFSET(txts!$J$12,P18,0)</f>
        <v>No</v>
      </c>
      <c r="G18" s="430" t="str">
        <f ca="1">OFFSET(txts!$J$12,Q18,0)</f>
        <v>No</v>
      </c>
      <c r="H18" s="430" t="str">
        <f ca="1">OFFSET(txts!$J$12,R18,0)</f>
        <v>No</v>
      </c>
      <c r="I18" s="430" t="str">
        <f ca="1">OFFSET(txts!$J$12,S18,0)</f>
        <v>No</v>
      </c>
      <c r="J18" s="431" t="str">
        <f ca="1">OFFSET(txts!$J$12,T18,0)</f>
        <v>No</v>
      </c>
      <c r="K18" s="413"/>
      <c r="L18" s="407">
        <f t="shared" ref="L18:L21" si="0">IF(MIN(M18:S18)=6,6,_xlfn.MAXIFS(M18:S18,M18:S18,"&lt;6"))</f>
        <v>6</v>
      </c>
      <c r="M18" s="412">
        <f>Manage!K11</f>
        <v>6</v>
      </c>
      <c r="N18" s="412">
        <f>Monitor!$K11</f>
        <v>6</v>
      </c>
      <c r="O18" s="412">
        <f>Health!$K12</f>
        <v>6</v>
      </c>
      <c r="P18" s="412">
        <f>Predict!$K11</f>
        <v>6</v>
      </c>
      <c r="Q18" s="412">
        <f>MVI!$K11</f>
        <v>6</v>
      </c>
      <c r="R18" s="412">
        <f>Safety!$K11</f>
        <v>6</v>
      </c>
      <c r="S18" s="412">
        <f>Assist!$K11</f>
        <v>6</v>
      </c>
      <c r="T18" s="407">
        <f ca="1">'MAS Core'!K10</f>
        <v>6</v>
      </c>
    </row>
    <row r="19" spans="2:22" x14ac:dyDescent="0.2">
      <c r="B19" s="428" t="s">
        <v>424</v>
      </c>
      <c r="C19" s="429" t="str">
        <f ca="1">OFFSET(txts!J$12,Manage!K12,0)</f>
        <v>No</v>
      </c>
      <c r="D19" s="430" t="str">
        <f ca="1">OFFSET(txts!$J$12,Monitor!$K12,0)</f>
        <v>No</v>
      </c>
      <c r="E19" s="430" t="str">
        <f ca="1">OFFSET(txts!$J$12,O19,0)</f>
        <v>No</v>
      </c>
      <c r="F19" s="430" t="str">
        <f ca="1">OFFSET(txts!$J$12,P19,0)</f>
        <v>No</v>
      </c>
      <c r="G19" s="430" t="str">
        <f ca="1">OFFSET(txts!$J$12,Q19,0)</f>
        <v>No</v>
      </c>
      <c r="H19" s="430" t="str">
        <f ca="1">OFFSET(txts!$J$12,R19,0)</f>
        <v>No</v>
      </c>
      <c r="I19" s="430" t="str">
        <f ca="1">OFFSET(txts!$J$12,S19,0)</f>
        <v>No</v>
      </c>
      <c r="J19" s="431" t="str">
        <f ca="1">OFFSET(txts!$J$12,T19,0)</f>
        <v>No</v>
      </c>
      <c r="K19" s="413"/>
      <c r="L19" s="407">
        <f t="shared" si="0"/>
        <v>6</v>
      </c>
      <c r="M19" s="412">
        <f>Manage!K12</f>
        <v>6</v>
      </c>
      <c r="N19" s="412">
        <f>Monitor!$K12</f>
        <v>6</v>
      </c>
      <c r="O19" s="412">
        <f>Health!$K13</f>
        <v>6</v>
      </c>
      <c r="P19" s="412">
        <f>Predict!$K12</f>
        <v>6</v>
      </c>
      <c r="Q19" s="412">
        <f>MVI!$K12</f>
        <v>6</v>
      </c>
      <c r="R19" s="412">
        <f>Safety!$K12</f>
        <v>6</v>
      </c>
      <c r="S19" s="412">
        <f>Assist!$K12</f>
        <v>6</v>
      </c>
      <c r="T19" s="407">
        <f ca="1">'MAS Core'!K11</f>
        <v>6</v>
      </c>
    </row>
    <row r="20" spans="2:22" x14ac:dyDescent="0.2">
      <c r="B20" s="428" t="s">
        <v>425</v>
      </c>
      <c r="C20" s="429" t="str">
        <f ca="1">OFFSET(txts!J$12,Manage!K13,0)</f>
        <v>No</v>
      </c>
      <c r="D20" s="430" t="str">
        <f ca="1">OFFSET(txts!$J$12,Monitor!$K13,0)</f>
        <v>No</v>
      </c>
      <c r="E20" s="430" t="str">
        <f ca="1">OFFSET(txts!$J$12,O20,0)</f>
        <v>No</v>
      </c>
      <c r="F20" s="430" t="str">
        <f ca="1">OFFSET(txts!$J$12,P20,0)</f>
        <v>No</v>
      </c>
      <c r="G20" s="430" t="str">
        <f ca="1">OFFSET(txts!$J$12,Q20,0)</f>
        <v>No</v>
      </c>
      <c r="H20" s="430" t="str">
        <f ca="1">OFFSET(txts!$J$12,R20,0)</f>
        <v>No</v>
      </c>
      <c r="I20" s="430" t="str">
        <f ca="1">OFFSET(txts!$J$12,S20,0)</f>
        <v>No</v>
      </c>
      <c r="J20" s="431" t="str">
        <f ca="1">OFFSET(txts!$J$12,T20,0)</f>
        <v>No</v>
      </c>
      <c r="K20" s="413"/>
      <c r="L20" s="407">
        <f t="shared" si="0"/>
        <v>6</v>
      </c>
      <c r="M20" s="412">
        <f>Manage!K13</f>
        <v>6</v>
      </c>
      <c r="N20" s="412">
        <f>Monitor!$K13</f>
        <v>6</v>
      </c>
      <c r="O20" s="412">
        <f>Health!$K14</f>
        <v>6</v>
      </c>
      <c r="P20" s="412">
        <f>Predict!$K13</f>
        <v>6</v>
      </c>
      <c r="Q20" s="412">
        <f>MVI!$K13</f>
        <v>6</v>
      </c>
      <c r="R20" s="412">
        <f>Safety!$K13</f>
        <v>6</v>
      </c>
      <c r="S20" s="412">
        <f>Assist!$K13</f>
        <v>6</v>
      </c>
      <c r="T20" s="407">
        <f ca="1">'MAS Core'!K12</f>
        <v>6</v>
      </c>
    </row>
    <row r="21" spans="2:22" ht="16" thickBot="1" x14ac:dyDescent="0.25">
      <c r="B21" s="432" t="s">
        <v>427</v>
      </c>
      <c r="C21" s="433" t="str">
        <f ca="1">OFFSET(txts!J$12,Manage!K14,0)</f>
        <v>No</v>
      </c>
      <c r="D21" s="434" t="str">
        <f ca="1">OFFSET(txts!$J$12,Monitor!$K14,0)</f>
        <v>No</v>
      </c>
      <c r="E21" s="434" t="str">
        <f ca="1">OFFSET(txts!$J$12,O21,0)</f>
        <v>No</v>
      </c>
      <c r="F21" s="434" t="str">
        <f ca="1">OFFSET(txts!$J$12,P21,0)</f>
        <v>No</v>
      </c>
      <c r="G21" s="434" t="str">
        <f ca="1">OFFSET(txts!$J$12,Q21,0)</f>
        <v>No</v>
      </c>
      <c r="H21" s="434" t="str">
        <f ca="1">OFFSET(txts!$J$12,R21,0)</f>
        <v>No</v>
      </c>
      <c r="I21" s="434" t="str">
        <f ca="1">OFFSET(txts!$J$12,S21,0)</f>
        <v>No</v>
      </c>
      <c r="J21" s="435" t="str">
        <f ca="1">OFFSET(txts!$J$12,T21,0)</f>
        <v>No</v>
      </c>
      <c r="K21" s="413"/>
      <c r="L21" s="407">
        <f t="shared" si="0"/>
        <v>6</v>
      </c>
      <c r="M21" s="436">
        <f>Manage!K14</f>
        <v>6</v>
      </c>
      <c r="N21" s="412">
        <f>Monitor!$K14</f>
        <v>6</v>
      </c>
      <c r="O21" s="412">
        <f>Health!$K15</f>
        <v>6</v>
      </c>
      <c r="P21" s="412">
        <f>Predict!$K14</f>
        <v>6</v>
      </c>
      <c r="Q21" s="412">
        <f>MVI!$K14</f>
        <v>6</v>
      </c>
      <c r="R21" s="412">
        <f>Safety!$K14</f>
        <v>6</v>
      </c>
      <c r="S21" s="412">
        <f>Assist!$K14</f>
        <v>6</v>
      </c>
      <c r="T21" s="407">
        <f ca="1">'MAS Core'!K13</f>
        <v>6</v>
      </c>
    </row>
    <row r="22" spans="2:22" ht="7" customHeight="1" thickBot="1" x14ac:dyDescent="0.25">
      <c r="B22" s="437"/>
      <c r="C22" s="412"/>
      <c r="D22" s="412"/>
      <c r="E22" s="412"/>
      <c r="F22" s="412"/>
      <c r="G22" s="412"/>
      <c r="H22" s="412"/>
      <c r="I22" s="413"/>
      <c r="J22" s="413"/>
      <c r="K22" s="413"/>
      <c r="M22" s="412"/>
      <c r="N22" s="412"/>
      <c r="O22" s="412"/>
      <c r="P22" s="412"/>
      <c r="Q22" s="412"/>
      <c r="R22" s="412"/>
      <c r="S22" s="412"/>
    </row>
    <row r="23" spans="2:22" ht="16" thickBot="1" x14ac:dyDescent="0.25">
      <c r="B23" s="438" t="s">
        <v>426</v>
      </c>
      <c r="C23" s="439" t="str">
        <f ca="1">OFFSET(txts!J$12,Manage!K17,0)</f>
        <v>No</v>
      </c>
      <c r="D23" s="440" t="str">
        <f ca="1">OFFSET(txts!$J$12,Monitor!$K17,0)</f>
        <v>No</v>
      </c>
      <c r="E23" s="440" t="str">
        <f ca="1">OFFSET(txts!$J$12,O23,0)</f>
        <v>No</v>
      </c>
      <c r="F23" s="440" t="str">
        <f ca="1">OFFSET(txts!$J$12,P23,0)</f>
        <v>No</v>
      </c>
      <c r="G23" s="440" t="str">
        <f ca="1">OFFSET(txts!$J$12,Q23,0)</f>
        <v>No</v>
      </c>
      <c r="H23" s="440" t="str">
        <f ca="1">OFFSET(txts!$J$12,R23,0)</f>
        <v>No</v>
      </c>
      <c r="I23" s="440" t="str">
        <f ca="1">OFFSET(txts!$J$12,S23,0)</f>
        <v>No</v>
      </c>
      <c r="J23" s="441" t="str">
        <f ca="1">OFFSET(txts!$J$12,T23,0)</f>
        <v>No</v>
      </c>
      <c r="K23" s="413"/>
      <c r="L23" s="407">
        <f t="shared" ref="L23" si="1">IF(MIN(M23:S23)=6,6,_xlfn.MAXIFS(M23:S23,M23:S23,"&lt;6"))</f>
        <v>6</v>
      </c>
      <c r="M23" s="436">
        <f>Manage!K17</f>
        <v>6</v>
      </c>
      <c r="N23" s="412">
        <f>Monitor!$K17</f>
        <v>6</v>
      </c>
      <c r="O23" s="412">
        <f>Health!$K18</f>
        <v>6</v>
      </c>
      <c r="P23" s="412">
        <f>Predict!$K17</f>
        <v>6</v>
      </c>
      <c r="Q23" s="412">
        <f>MVI!$K17</f>
        <v>6</v>
      </c>
      <c r="R23" s="412">
        <f>Safety!$K17</f>
        <v>6</v>
      </c>
      <c r="S23" s="412">
        <f>Assist!$K17</f>
        <v>6</v>
      </c>
      <c r="T23" s="407">
        <f ca="1">'MAS Core'!K16</f>
        <v>6</v>
      </c>
    </row>
    <row r="24" spans="2:22" ht="16" hidden="1" outlineLevel="1" thickBot="1" x14ac:dyDescent="0.25">
      <c r="B24" s="411"/>
      <c r="C24" s="412"/>
      <c r="D24" s="412"/>
      <c r="E24" s="412"/>
      <c r="F24" s="412"/>
      <c r="G24" s="412"/>
      <c r="H24" s="412"/>
      <c r="I24" s="412"/>
      <c r="J24" s="412"/>
      <c r="K24" s="413"/>
      <c r="M24" s="412"/>
      <c r="N24" s="412"/>
      <c r="O24" s="412"/>
      <c r="P24" s="412"/>
      <c r="Q24" s="412"/>
      <c r="R24" s="412"/>
      <c r="S24" s="412"/>
    </row>
    <row r="25" spans="2:22" ht="16" hidden="1" outlineLevel="1" thickBot="1" x14ac:dyDescent="0.25">
      <c r="B25" s="411"/>
      <c r="C25" s="412"/>
      <c r="D25" s="412"/>
      <c r="E25" s="412"/>
      <c r="F25" s="412"/>
      <c r="G25" s="661" t="s">
        <v>581</v>
      </c>
      <c r="H25" s="662"/>
      <c r="I25" s="412"/>
      <c r="J25" s="412"/>
      <c r="K25" s="413"/>
      <c r="M25" s="412"/>
      <c r="N25" s="412"/>
      <c r="O25" s="412"/>
      <c r="P25" s="412"/>
      <c r="Q25" s="412"/>
      <c r="R25" s="412"/>
      <c r="S25" s="412"/>
    </row>
    <row r="26" spans="2:22" hidden="1" outlineLevel="1" x14ac:dyDescent="0.2">
      <c r="B26" s="411"/>
      <c r="C26" s="412"/>
      <c r="D26" s="412"/>
      <c r="E26" s="412"/>
      <c r="F26" s="412"/>
      <c r="G26" s="572" t="s">
        <v>582</v>
      </c>
      <c r="H26" s="573" t="s">
        <v>583</v>
      </c>
      <c r="I26" s="412"/>
      <c r="J26" s="412"/>
      <c r="K26" s="413"/>
      <c r="M26" s="412"/>
      <c r="N26" s="412"/>
      <c r="O26" s="412"/>
      <c r="P26" s="412"/>
      <c r="Q26" s="412"/>
      <c r="R26" s="412"/>
      <c r="S26" s="412"/>
    </row>
    <row r="27" spans="2:22" ht="16" hidden="1" outlineLevel="1" thickBot="1" x14ac:dyDescent="0.25">
      <c r="B27" s="411"/>
      <c r="C27" s="412"/>
      <c r="D27" s="412"/>
      <c r="E27" s="412"/>
      <c r="F27" s="412"/>
      <c r="G27" s="570">
        <v>0</v>
      </c>
      <c r="H27" s="571">
        <v>0</v>
      </c>
      <c r="I27" s="412"/>
      <c r="J27" s="412"/>
      <c r="K27" s="413"/>
      <c r="M27" s="412"/>
      <c r="N27" s="412"/>
      <c r="O27" s="412"/>
      <c r="P27" s="412"/>
      <c r="Q27" s="412"/>
      <c r="R27" s="412"/>
      <c r="S27" s="412"/>
    </row>
    <row r="28" spans="2:22" ht="16" collapsed="1" thickBot="1" x14ac:dyDescent="0.25">
      <c r="B28" s="411"/>
      <c r="C28" s="412"/>
      <c r="D28" s="412"/>
      <c r="E28" s="412"/>
      <c r="F28" s="412"/>
      <c r="G28" s="412"/>
      <c r="H28" s="412"/>
      <c r="I28" s="412"/>
      <c r="J28" s="412"/>
      <c r="K28" s="413"/>
      <c r="M28" s="634" t="s">
        <v>304</v>
      </c>
      <c r="N28" s="634"/>
      <c r="O28" s="417" t="s">
        <v>305</v>
      </c>
      <c r="P28" s="442"/>
      <c r="U28" s="407" t="s">
        <v>447</v>
      </c>
    </row>
    <row r="29" spans="2:22" ht="16" customHeight="1" thickBot="1" x14ac:dyDescent="0.25">
      <c r="B29" s="411"/>
      <c r="C29" s="412"/>
      <c r="D29" s="412"/>
      <c r="E29" s="412"/>
      <c r="F29" s="658" t="s">
        <v>497</v>
      </c>
      <c r="G29" s="659"/>
      <c r="H29" s="659"/>
      <c r="I29" s="660"/>
      <c r="J29" s="443"/>
      <c r="K29" s="413"/>
      <c r="L29" s="444" t="s">
        <v>146</v>
      </c>
      <c r="M29" s="445">
        <f ca="1">G44</f>
        <v>0</v>
      </c>
      <c r="N29" s="446">
        <f ca="1">M29*$G$46/12</f>
        <v>0</v>
      </c>
      <c r="O29" s="447">
        <v>12</v>
      </c>
      <c r="P29" s="448">
        <v>366.79500000000002</v>
      </c>
      <c r="Q29" s="449">
        <f ca="1">N29-P29</f>
        <v>-366.79500000000002</v>
      </c>
      <c r="U29" s="407">
        <v>12</v>
      </c>
      <c r="V29" s="407">
        <v>369.36</v>
      </c>
    </row>
    <row r="30" spans="2:22" ht="16" hidden="1" outlineLevel="1" thickBot="1" x14ac:dyDescent="0.25">
      <c r="B30" s="411"/>
      <c r="C30" s="412"/>
      <c r="D30" s="412"/>
      <c r="E30" s="450">
        <f ca="1">(H30/CapUCost)</f>
        <v>0</v>
      </c>
      <c r="F30" s="247" t="s">
        <v>298</v>
      </c>
      <c r="G30" s="249">
        <f ca="1">MASCoreSparevpc+manageextravpc+healthsingletenantvpc+monitorsingletenateprereqs+predicteextravpc+assistextravpc+MVI!manageextravpc</f>
        <v>0</v>
      </c>
      <c r="H30" s="451">
        <f ca="1">G30*VPCCost</f>
        <v>0</v>
      </c>
      <c r="I30" s="412"/>
      <c r="J30" s="412"/>
      <c r="K30" s="413"/>
      <c r="L30" s="452" t="s">
        <v>145</v>
      </c>
      <c r="M30" s="445">
        <v>0</v>
      </c>
      <c r="N30" s="449">
        <f ca="1">mvigpucosts</f>
        <v>0</v>
      </c>
      <c r="O30" s="447">
        <v>0</v>
      </c>
      <c r="P30" s="448">
        <v>0</v>
      </c>
      <c r="Q30" s="449">
        <f t="shared" ref="Q30:Q36" ca="1" si="2">N30-P30</f>
        <v>0</v>
      </c>
      <c r="U30" s="407">
        <v>0</v>
      </c>
      <c r="V30" s="407">
        <v>0</v>
      </c>
    </row>
    <row r="31" spans="2:22" hidden="1" outlineLevel="1" x14ac:dyDescent="0.2">
      <c r="B31" s="411"/>
      <c r="C31" s="412"/>
      <c r="D31" s="412"/>
      <c r="E31" s="412"/>
      <c r="F31" s="244" t="s">
        <v>299</v>
      </c>
      <c r="G31" s="453">
        <f ca="1">ROUNDDOWN(G32*0.2,0)</f>
        <v>0</v>
      </c>
      <c r="H31" s="412"/>
      <c r="I31" s="412"/>
      <c r="J31" s="412"/>
      <c r="K31" s="413"/>
      <c r="L31" s="407" t="s">
        <v>147</v>
      </c>
      <c r="M31" s="445">
        <f ca="1">G30</f>
        <v>0</v>
      </c>
      <c r="N31" s="454">
        <f ca="1">M31*$G$46/12</f>
        <v>0</v>
      </c>
      <c r="O31" s="447">
        <v>18</v>
      </c>
      <c r="P31" s="448">
        <v>550.1925</v>
      </c>
      <c r="Q31" s="449">
        <f t="shared" ca="1" si="2"/>
        <v>-550.1925</v>
      </c>
      <c r="U31" s="407">
        <v>18</v>
      </c>
      <c r="V31" s="407">
        <v>554.04</v>
      </c>
    </row>
    <row r="32" spans="2:22" ht="16" hidden="1" outlineLevel="1" thickBot="1" x14ac:dyDescent="0.25">
      <c r="B32" s="411"/>
      <c r="C32" s="412"/>
      <c r="D32" s="412"/>
      <c r="E32" s="412"/>
      <c r="F32" s="455">
        <f ca="1">G31*VPCCost</f>
        <v>0</v>
      </c>
      <c r="G32" s="456">
        <f ca="1">G30+H13+SUM(H6:H12)+2</f>
        <v>2</v>
      </c>
      <c r="H32" s="412"/>
      <c r="I32" s="412">
        <f ca="1">G31*VPCCost</f>
        <v>0</v>
      </c>
      <c r="J32" s="412"/>
      <c r="K32" s="413"/>
      <c r="L32" s="452" t="s">
        <v>46</v>
      </c>
      <c r="M32" s="457" t="s">
        <v>248</v>
      </c>
      <c r="N32" s="458">
        <f ca="1">'MAS Core'!N27</f>
        <v>0</v>
      </c>
      <c r="O32" s="447">
        <v>2</v>
      </c>
      <c r="P32" s="448">
        <v>1031.0839222222221</v>
      </c>
      <c r="Q32" s="459">
        <f t="shared" ca="1" si="2"/>
        <v>-1031.0839222222221</v>
      </c>
      <c r="U32" s="407">
        <v>2</v>
      </c>
      <c r="V32" s="407">
        <v>1032.4234222222221</v>
      </c>
    </row>
    <row r="33" spans="2:22" ht="16" hidden="1" outlineLevel="1" thickBot="1" x14ac:dyDescent="0.25">
      <c r="B33" s="411"/>
      <c r="C33" s="412"/>
      <c r="D33" s="412"/>
      <c r="E33" s="460" t="s">
        <v>309</v>
      </c>
      <c r="F33" s="461">
        <f ca="1">(F32/CapUCost)</f>
        <v>0</v>
      </c>
      <c r="G33" s="412"/>
      <c r="H33" s="412"/>
      <c r="I33" s="412"/>
      <c r="J33" s="412"/>
      <c r="K33" s="413"/>
      <c r="L33" s="407" t="s">
        <v>148</v>
      </c>
      <c r="M33" s="462">
        <f ca="1">G31</f>
        <v>0</v>
      </c>
      <c r="N33" s="463">
        <f ca="1">F32</f>
        <v>0</v>
      </c>
      <c r="O33" s="464">
        <v>6</v>
      </c>
      <c r="P33" s="448">
        <v>183.39750000000001</v>
      </c>
      <c r="Q33" s="449">
        <f t="shared" ca="1" si="2"/>
        <v>-183.39750000000001</v>
      </c>
      <c r="U33" s="407">
        <v>6</v>
      </c>
      <c r="V33" s="407">
        <v>184.68</v>
      </c>
    </row>
    <row r="34" spans="2:22" hidden="1" outlineLevel="1" x14ac:dyDescent="0.2">
      <c r="B34" s="411"/>
      <c r="C34" s="412"/>
      <c r="D34" s="412"/>
      <c r="E34" s="412"/>
      <c r="F34" s="412"/>
      <c r="G34" s="412"/>
      <c r="H34" s="412"/>
      <c r="I34" s="412"/>
      <c r="J34" s="412"/>
      <c r="K34" s="413"/>
      <c r="L34" s="407" t="s">
        <v>43</v>
      </c>
      <c r="M34" s="445">
        <f ca="1">H44+'MAS Core'!M27</f>
        <v>0</v>
      </c>
      <c r="N34" s="465">
        <v>409.9542284011917</v>
      </c>
      <c r="O34" s="407">
        <v>2142</v>
      </c>
      <c r="P34" s="448">
        <v>817.38720000000001</v>
      </c>
      <c r="Q34" s="449">
        <f t="shared" si="2"/>
        <v>-407.43297159880831</v>
      </c>
      <c r="U34" s="407">
        <v>2142</v>
      </c>
      <c r="V34" s="407">
        <v>817.38720000000001</v>
      </c>
    </row>
    <row r="35" spans="2:22" hidden="1" outlineLevel="1" x14ac:dyDescent="0.2">
      <c r="B35" s="411"/>
      <c r="C35" s="412"/>
      <c r="D35" s="412"/>
      <c r="E35" s="412"/>
      <c r="F35" s="244" t="s">
        <v>300</v>
      </c>
      <c r="G35" s="466">
        <f ca="1">G44+G31+G30+2</f>
        <v>2</v>
      </c>
      <c r="H35" s="412"/>
      <c r="I35" s="412"/>
      <c r="J35" s="412"/>
      <c r="K35" s="413"/>
      <c r="L35" s="407" t="s">
        <v>44</v>
      </c>
      <c r="M35" s="445"/>
      <c r="N35" s="467">
        <f ca="1">G37</f>
        <v>13.75</v>
      </c>
      <c r="O35" s="468"/>
      <c r="P35" s="469">
        <v>261.25</v>
      </c>
      <c r="Q35" s="449">
        <f t="shared" ca="1" si="2"/>
        <v>-247.5</v>
      </c>
      <c r="V35" s="407">
        <v>261.25</v>
      </c>
    </row>
    <row r="36" spans="2:22" hidden="1" outlineLevel="1" x14ac:dyDescent="0.2">
      <c r="B36" s="411"/>
      <c r="C36" s="412"/>
      <c r="D36" s="412"/>
      <c r="E36" s="412"/>
      <c r="F36" s="244" t="s">
        <v>301</v>
      </c>
      <c r="G36" s="470">
        <f ca="1">(G35/16)</f>
        <v>0.125</v>
      </c>
      <c r="H36" s="412"/>
      <c r="I36" s="412"/>
      <c r="J36" s="412"/>
      <c r="K36" s="413"/>
      <c r="L36" s="407" t="s">
        <v>45</v>
      </c>
      <c r="M36" s="445"/>
      <c r="N36" s="449">
        <f ca="1">Manage!M37+healthsubtotalfte+monitorftetotal+Predictftetotal+safetyftetotal+assistftetotal+MVIFTEtotal</f>
        <v>0</v>
      </c>
      <c r="O36" s="447">
        <v>7.9999999999999988E-2</v>
      </c>
      <c r="P36" s="448">
        <v>733.33333333333314</v>
      </c>
      <c r="Q36" s="449">
        <f t="shared" ca="1" si="2"/>
        <v>-733.33333333333314</v>
      </c>
      <c r="U36" s="407">
        <v>7.9999999999999988E-2</v>
      </c>
      <c r="V36" s="407">
        <v>733.33333333333314</v>
      </c>
    </row>
    <row r="37" spans="2:22" ht="16" hidden="1" outlineLevel="1" thickBot="1" x14ac:dyDescent="0.25">
      <c r="B37" s="411"/>
      <c r="C37" s="412"/>
      <c r="D37" s="412"/>
      <c r="E37" s="412"/>
      <c r="F37" s="244" t="s">
        <v>308</v>
      </c>
      <c r="G37" s="471">
        <f ca="1">G36*110</f>
        <v>13.75</v>
      </c>
      <c r="H37" s="412"/>
      <c r="I37" s="412"/>
      <c r="J37" s="412"/>
      <c r="K37" s="413"/>
      <c r="N37" s="449"/>
      <c r="O37" s="472"/>
      <c r="P37" s="473"/>
      <c r="Q37" s="449"/>
    </row>
    <row r="38" spans="2:22" ht="16" hidden="1" outlineLevel="1" thickBot="1" x14ac:dyDescent="0.25">
      <c r="B38" s="411"/>
      <c r="C38" s="412"/>
      <c r="D38" s="412"/>
      <c r="E38" s="244" t="s">
        <v>307</v>
      </c>
      <c r="F38" s="474">
        <f ca="1">(G37/CapUCost)</f>
        <v>0.59782608695652173</v>
      </c>
      <c r="G38" s="412"/>
      <c r="H38" s="412"/>
      <c r="I38" s="412"/>
      <c r="J38" s="412"/>
      <c r="K38" s="413"/>
      <c r="L38" s="414">
        <f ca="1">N38-M38</f>
        <v>400.7042284011917</v>
      </c>
      <c r="M38" s="475">
        <f ca="1">H48</f>
        <v>23</v>
      </c>
      <c r="N38" s="449">
        <f ca="1">SUM(N29:N36)</f>
        <v>423.7042284011917</v>
      </c>
      <c r="O38" s="476">
        <v>0</v>
      </c>
      <c r="P38" s="477">
        <v>3943.439455555555</v>
      </c>
      <c r="Q38" s="449">
        <f ca="1">N38-P38</f>
        <v>-3519.7352271543632</v>
      </c>
      <c r="U38" s="407">
        <v>0</v>
      </c>
      <c r="V38" s="407">
        <v>3952.4739555555552</v>
      </c>
    </row>
    <row r="39" spans="2:22" hidden="1" outlineLevel="1" x14ac:dyDescent="0.2">
      <c r="B39" s="411"/>
      <c r="C39" s="412"/>
      <c r="D39" s="412"/>
      <c r="E39" s="412"/>
      <c r="F39" s="412"/>
      <c r="G39" s="412"/>
      <c r="H39" s="568" t="s">
        <v>584</v>
      </c>
      <c r="I39" s="412"/>
      <c r="J39" s="412"/>
      <c r="K39" s="413"/>
      <c r="L39" s="445">
        <f ca="1">L38/CapUCost</f>
        <v>17.421922973964858</v>
      </c>
      <c r="O39" s="478">
        <f ca="1">M38-P38</f>
        <v>-3920.439455555555</v>
      </c>
      <c r="P39" s="459"/>
    </row>
    <row r="40" spans="2:22" hidden="1" outlineLevel="1" x14ac:dyDescent="0.2">
      <c r="B40" s="411"/>
      <c r="C40" s="412"/>
      <c r="D40" s="412"/>
      <c r="E40" s="244" t="s">
        <v>306</v>
      </c>
      <c r="F40" s="479">
        <f ca="1">H40/CapUCost</f>
        <v>0</v>
      </c>
      <c r="G40" s="412"/>
      <c r="H40" s="569">
        <f ca="1">H44*0.29</f>
        <v>0</v>
      </c>
      <c r="I40" s="412"/>
      <c r="J40" s="412"/>
      <c r="K40" s="413"/>
    </row>
    <row r="41" spans="2:22" hidden="1" outlineLevel="1" x14ac:dyDescent="0.2">
      <c r="B41" s="411"/>
      <c r="C41" s="412"/>
      <c r="D41" s="412"/>
      <c r="E41" s="412"/>
      <c r="F41" s="412"/>
      <c r="G41" s="244" t="s">
        <v>585</v>
      </c>
      <c r="H41" s="480">
        <f ca="1">H47/12</f>
        <v>0</v>
      </c>
      <c r="I41" s="412" t="s">
        <v>310</v>
      </c>
      <c r="J41" s="412"/>
      <c r="K41" s="413"/>
    </row>
    <row r="42" spans="2:22" ht="16" hidden="1" outlineLevel="1" thickBot="1" x14ac:dyDescent="0.25">
      <c r="B42" s="411"/>
      <c r="C42" s="412"/>
      <c r="D42" s="412"/>
      <c r="E42" s="412"/>
      <c r="F42" s="479">
        <f ca="1">((F33+F38+F40))</f>
        <v>0.59782608695652173</v>
      </c>
      <c r="G42" s="412"/>
      <c r="H42" s="481">
        <f ca="1">H41+H40</f>
        <v>0</v>
      </c>
      <c r="I42" s="567">
        <f>'MAS Core'!M28</f>
        <v>311.00400000000002</v>
      </c>
      <c r="J42" s="482">
        <f ca="1">I42+H42</f>
        <v>311.00400000000002</v>
      </c>
      <c r="K42" s="413"/>
    </row>
    <row r="43" spans="2:22" ht="48" collapsed="1" x14ac:dyDescent="0.2">
      <c r="B43" s="411"/>
      <c r="C43" s="412"/>
      <c r="D43" s="656" t="s">
        <v>496</v>
      </c>
      <c r="E43" s="483" t="s">
        <v>260</v>
      </c>
      <c r="F43" s="484" t="s">
        <v>261</v>
      </c>
      <c r="G43" s="485" t="s">
        <v>262</v>
      </c>
      <c r="H43" s="485" t="s">
        <v>263</v>
      </c>
      <c r="I43" s="485" t="s">
        <v>449</v>
      </c>
      <c r="J43" s="642" t="s">
        <v>264</v>
      </c>
      <c r="K43" s="413"/>
    </row>
    <row r="44" spans="2:22" ht="16" thickBot="1" x14ac:dyDescent="0.25">
      <c r="B44" s="411"/>
      <c r="C44" s="412"/>
      <c r="D44" s="657"/>
      <c r="E44" s="486" t="s">
        <v>265</v>
      </c>
      <c r="F44" s="487">
        <f ca="1">ROUND(SUM(G6:G12)+G13+F33+F38+F40,0)</f>
        <v>1</v>
      </c>
      <c r="G44" s="566">
        <f ca="1">SUM(H6:H12,H13)+G27</f>
        <v>0</v>
      </c>
      <c r="H44" s="576">
        <f ca="1">SUM(I6:I12,I13)+H27</f>
        <v>0</v>
      </c>
      <c r="I44" s="488">
        <v>1</v>
      </c>
      <c r="J44" s="643"/>
      <c r="K44" s="413"/>
    </row>
    <row r="45" spans="2:22" ht="16" hidden="1" thickBot="1" x14ac:dyDescent="0.25">
      <c r="B45" s="411"/>
      <c r="C45" s="412"/>
      <c r="D45" s="412"/>
      <c r="E45" s="412"/>
      <c r="F45" s="489"/>
      <c r="G45" s="480"/>
      <c r="H45" s="412"/>
      <c r="I45" s="412"/>
      <c r="J45" s="412"/>
      <c r="K45" s="413"/>
      <c r="M45" s="490"/>
    </row>
    <row r="46" spans="2:22" ht="17" hidden="1" customHeight="1" outlineLevel="1" thickBot="1" x14ac:dyDescent="0.25">
      <c r="B46" s="411"/>
      <c r="C46" s="412"/>
      <c r="D46" s="653" t="s">
        <v>266</v>
      </c>
      <c r="E46" s="240" t="s">
        <v>267</v>
      </c>
      <c r="F46" s="241">
        <v>276</v>
      </c>
      <c r="G46" s="242">
        <v>369.36</v>
      </c>
      <c r="H46" s="242">
        <v>1.1582919563058589</v>
      </c>
      <c r="I46" s="243" t="s">
        <v>268</v>
      </c>
      <c r="J46" s="480"/>
      <c r="K46" s="413"/>
      <c r="M46" s="491"/>
    </row>
    <row r="47" spans="2:22" ht="16" hidden="1" outlineLevel="1" thickBot="1" x14ac:dyDescent="0.25">
      <c r="B47" s="411"/>
      <c r="C47" s="412"/>
      <c r="D47" s="654"/>
      <c r="E47" s="244" t="s">
        <v>269</v>
      </c>
      <c r="F47" s="245">
        <f ca="1">F46*F44</f>
        <v>276</v>
      </c>
      <c r="G47" s="245">
        <f ca="1">G46*G44</f>
        <v>0</v>
      </c>
      <c r="H47" s="245">
        <f ca="1">H46*H44</f>
        <v>0</v>
      </c>
      <c r="I47" s="246" t="s">
        <v>268</v>
      </c>
      <c r="J47" s="412"/>
      <c r="K47" s="413"/>
    </row>
    <row r="48" spans="2:22" ht="16" hidden="1" outlineLevel="1" thickBot="1" x14ac:dyDescent="0.25">
      <c r="B48" s="411"/>
      <c r="C48" s="412"/>
      <c r="D48" s="655"/>
      <c r="E48" s="247" t="s">
        <v>270</v>
      </c>
      <c r="F48" s="248">
        <f ca="1">SUM(F47:H47)</f>
        <v>276</v>
      </c>
      <c r="G48" s="249" t="s">
        <v>268</v>
      </c>
      <c r="H48" s="250">
        <f ca="1">F48/12</f>
        <v>23</v>
      </c>
      <c r="I48" s="251" t="s">
        <v>42</v>
      </c>
      <c r="J48" s="412"/>
      <c r="K48" s="413"/>
    </row>
    <row r="49" spans="2:17" ht="16" hidden="1" outlineLevel="1" thickBot="1" x14ac:dyDescent="0.25">
      <c r="B49" s="411"/>
      <c r="C49" s="412"/>
      <c r="D49" s="492"/>
      <c r="E49" s="412"/>
      <c r="F49" s="493"/>
      <c r="G49" s="412"/>
      <c r="H49" s="412"/>
      <c r="I49" s="246"/>
      <c r="J49" s="412"/>
      <c r="K49" s="413"/>
    </row>
    <row r="50" spans="2:17" hidden="1" collapsed="1" x14ac:dyDescent="0.2">
      <c r="B50" s="411"/>
      <c r="C50" s="412"/>
      <c r="D50" s="635" t="s">
        <v>271</v>
      </c>
      <c r="E50" s="240" t="s">
        <v>272</v>
      </c>
      <c r="F50" s="494">
        <v>600</v>
      </c>
      <c r="G50" s="494">
        <f>84*12</f>
        <v>1008</v>
      </c>
      <c r="H50" s="495">
        <f>0.4*12</f>
        <v>4.8000000000000007</v>
      </c>
      <c r="I50" s="243" t="s">
        <v>273</v>
      </c>
      <c r="J50" s="412"/>
      <c r="K50" s="413"/>
      <c r="P50" s="407" t="s">
        <v>319</v>
      </c>
    </row>
    <row r="51" spans="2:17" ht="16" hidden="1" thickBot="1" x14ac:dyDescent="0.25">
      <c r="B51" s="411"/>
      <c r="C51" s="412"/>
      <c r="D51" s="640"/>
      <c r="E51" s="244" t="s">
        <v>274</v>
      </c>
      <c r="F51" s="496">
        <f ca="1">F50*F44</f>
        <v>600</v>
      </c>
      <c r="G51" s="496">
        <f ca="1">G44*G50</f>
        <v>0</v>
      </c>
      <c r="H51" s="497">
        <f ca="1">H44*H50</f>
        <v>0</v>
      </c>
      <c r="I51" s="246" t="s">
        <v>273</v>
      </c>
      <c r="J51" s="412"/>
      <c r="K51" s="413"/>
      <c r="O51" s="407" t="s">
        <v>22</v>
      </c>
      <c r="P51" s="407">
        <f>14662-13163</f>
        <v>1499</v>
      </c>
      <c r="Q51" s="407">
        <f>P51*0.7</f>
        <v>1049.3</v>
      </c>
    </row>
    <row r="52" spans="2:17" ht="16" hidden="1" thickBot="1" x14ac:dyDescent="0.25">
      <c r="B52" s="411"/>
      <c r="C52" s="412"/>
      <c r="D52" s="641"/>
      <c r="E52" s="247" t="s">
        <v>275</v>
      </c>
      <c r="F52" s="498">
        <f ca="1">SUM(F51:H51)</f>
        <v>600</v>
      </c>
      <c r="G52" s="499" t="s">
        <v>273</v>
      </c>
      <c r="H52" s="500">
        <f ca="1">F52/12</f>
        <v>50</v>
      </c>
      <c r="I52" s="251" t="s">
        <v>276</v>
      </c>
      <c r="J52" s="412"/>
      <c r="K52" s="413"/>
      <c r="O52" s="407" t="s">
        <v>53</v>
      </c>
      <c r="P52" s="407">
        <f>36975-31545</f>
        <v>5430</v>
      </c>
      <c r="Q52" s="407">
        <f>P52*0.7</f>
        <v>3800.9999999999995</v>
      </c>
    </row>
    <row r="53" spans="2:17" ht="16" hidden="1" thickBot="1" x14ac:dyDescent="0.25">
      <c r="B53" s="411"/>
      <c r="C53" s="412"/>
      <c r="D53" s="437"/>
      <c r="E53" s="501"/>
      <c r="F53" s="501"/>
      <c r="G53" s="501"/>
      <c r="H53" s="501"/>
      <c r="I53" s="412"/>
      <c r="J53" s="412"/>
      <c r="K53" s="413"/>
    </row>
    <row r="54" spans="2:17" ht="17" hidden="1" thickBot="1" x14ac:dyDescent="0.25">
      <c r="B54" s="411"/>
      <c r="C54" s="412"/>
      <c r="D54" s="644" t="s">
        <v>398</v>
      </c>
      <c r="E54" s="502"/>
      <c r="F54" s="503" t="s">
        <v>356</v>
      </c>
      <c r="G54" s="504" t="s">
        <v>353</v>
      </c>
      <c r="H54" s="505" t="s">
        <v>354</v>
      </c>
      <c r="I54" s="647" t="str">
        <f ca="1">IF(Backlog!D9="No",IF(F64&lt;0.33,"WARNING: Discount level will require CFO approval",""),IF(F55&gt;0.445,"|Error: Max Discount for Cloud Starter is 44.5%",""))</f>
        <v>WARNING: Discount level will require CFO approval</v>
      </c>
      <c r="J54" s="648"/>
      <c r="K54" s="413"/>
    </row>
    <row r="55" spans="2:17" ht="16" hidden="1" thickBot="1" x14ac:dyDescent="0.25">
      <c r="B55" s="411"/>
      <c r="C55" s="412"/>
      <c r="D55" s="645"/>
      <c r="E55" s="506" t="s">
        <v>355</v>
      </c>
      <c r="F55" s="507">
        <f>G55+H55</f>
        <v>0.34</v>
      </c>
      <c r="G55" s="252">
        <v>0.34</v>
      </c>
      <c r="H55" s="253">
        <v>0</v>
      </c>
      <c r="I55" s="649"/>
      <c r="J55" s="650"/>
      <c r="K55" s="413"/>
    </row>
    <row r="56" spans="2:17" ht="16" hidden="1" thickBot="1" x14ac:dyDescent="0.25">
      <c r="B56" s="411"/>
      <c r="C56" s="412"/>
      <c r="D56" s="646"/>
      <c r="E56" s="508" t="s">
        <v>357</v>
      </c>
      <c r="F56" s="509" t="s">
        <v>358</v>
      </c>
      <c r="G56" s="509" t="s">
        <v>359</v>
      </c>
      <c r="H56" s="509" t="s">
        <v>360</v>
      </c>
      <c r="I56" s="651"/>
      <c r="J56" s="652"/>
      <c r="K56" s="413"/>
    </row>
    <row r="57" spans="2:17" ht="16" hidden="1" thickBot="1" x14ac:dyDescent="0.25">
      <c r="B57" s="411"/>
      <c r="C57" s="412"/>
      <c r="D57" s="416"/>
      <c r="E57" s="437"/>
      <c r="F57" s="510"/>
      <c r="G57" s="412"/>
      <c r="H57" s="412"/>
      <c r="I57" s="412"/>
      <c r="J57" s="412"/>
      <c r="K57" s="413"/>
    </row>
    <row r="58" spans="2:17" hidden="1" x14ac:dyDescent="0.2">
      <c r="B58" s="411"/>
      <c r="C58" s="412"/>
      <c r="D58" s="635" t="s">
        <v>322</v>
      </c>
      <c r="E58" s="240" t="s">
        <v>323</v>
      </c>
      <c r="F58" s="494">
        <f>F50*(1-totaldiscount)</f>
        <v>395.99999999999994</v>
      </c>
      <c r="G58" s="494">
        <f>G50*(1-totaldiscount)</f>
        <v>665.28</v>
      </c>
      <c r="H58" s="494">
        <f t="shared" ref="F58:H59" si="3">H50*(1-totaldiscount)</f>
        <v>3.1680000000000001</v>
      </c>
      <c r="I58" s="243" t="s">
        <v>273</v>
      </c>
      <c r="J58" s="412"/>
      <c r="K58" s="413"/>
    </row>
    <row r="59" spans="2:17" ht="16" hidden="1" thickBot="1" x14ac:dyDescent="0.25">
      <c r="B59" s="411"/>
      <c r="C59" s="412"/>
      <c r="D59" s="636"/>
      <c r="E59" s="244" t="s">
        <v>324</v>
      </c>
      <c r="F59" s="497">
        <f t="shared" ca="1" si="3"/>
        <v>395.99999999999994</v>
      </c>
      <c r="G59" s="496">
        <f t="shared" ca="1" si="3"/>
        <v>0</v>
      </c>
      <c r="H59" s="497">
        <f t="shared" ca="1" si="3"/>
        <v>0</v>
      </c>
      <c r="I59" s="246" t="s">
        <v>273</v>
      </c>
      <c r="J59" s="412"/>
      <c r="K59" s="413"/>
    </row>
    <row r="60" spans="2:17" ht="16" hidden="1" thickBot="1" x14ac:dyDescent="0.25">
      <c r="B60" s="411"/>
      <c r="C60" s="412"/>
      <c r="D60" s="637"/>
      <c r="E60" s="247" t="s">
        <v>325</v>
      </c>
      <c r="F60" s="511">
        <f ca="1">SUM(F59:H59)</f>
        <v>395.99999999999994</v>
      </c>
      <c r="G60" s="499" t="s">
        <v>273</v>
      </c>
      <c r="H60" s="512">
        <f ca="1">F60/12</f>
        <v>32.999999999999993</v>
      </c>
      <c r="I60" s="251" t="s">
        <v>276</v>
      </c>
      <c r="J60" s="412"/>
      <c r="K60" s="413"/>
    </row>
    <row r="61" spans="2:17" hidden="1" outlineLevel="1" x14ac:dyDescent="0.2">
      <c r="B61" s="411"/>
      <c r="C61" s="412"/>
      <c r="D61" s="416"/>
      <c r="E61" s="416"/>
      <c r="F61" s="513" t="s">
        <v>326</v>
      </c>
      <c r="G61" s="513" t="s">
        <v>4</v>
      </c>
      <c r="H61" s="513" t="s">
        <v>327</v>
      </c>
      <c r="I61" s="412"/>
      <c r="J61" s="412"/>
      <c r="K61" s="413"/>
    </row>
    <row r="62" spans="2:17" hidden="1" outlineLevel="1" x14ac:dyDescent="0.2">
      <c r="B62" s="411"/>
      <c r="C62" s="412"/>
      <c r="D62" s="412"/>
      <c r="E62" s="244" t="s">
        <v>328</v>
      </c>
      <c r="F62" s="514">
        <f ca="1">(F59-F47)/F59</f>
        <v>0.30303030303030293</v>
      </c>
      <c r="G62" s="514" t="e">
        <f ca="1">(G59-G47)/G59</f>
        <v>#DIV/0!</v>
      </c>
      <c r="H62" s="514" t="e">
        <f ca="1">(H59-H47)/H59</f>
        <v>#DIV/0!</v>
      </c>
      <c r="I62" s="412"/>
      <c r="J62" s="412"/>
      <c r="K62" s="413"/>
    </row>
    <row r="63" spans="2:17" hidden="1" outlineLevel="1" x14ac:dyDescent="0.2">
      <c r="B63" s="411"/>
      <c r="C63" s="412"/>
      <c r="D63" s="412"/>
      <c r="E63" s="412"/>
      <c r="F63" s="514"/>
      <c r="G63" s="412"/>
      <c r="H63" s="412"/>
      <c r="I63" s="412"/>
      <c r="J63" s="412"/>
      <c r="K63" s="413"/>
    </row>
    <row r="64" spans="2:17" hidden="1" outlineLevel="1" x14ac:dyDescent="0.2">
      <c r="B64" s="411"/>
      <c r="C64" s="412"/>
      <c r="D64" s="416"/>
      <c r="E64" s="513" t="s">
        <v>329</v>
      </c>
      <c r="F64" s="515">
        <f ca="1">ROUNDUP(((F60-F48)/F60),2)</f>
        <v>0.31</v>
      </c>
      <c r="G64" s="412"/>
      <c r="H64" s="489"/>
      <c r="I64" s="489"/>
      <c r="J64" s="412"/>
      <c r="K64" s="413"/>
    </row>
    <row r="65" spans="2:11" collapsed="1" x14ac:dyDescent="0.2">
      <c r="B65" s="411"/>
      <c r="C65" s="412"/>
      <c r="D65" s="638" t="s">
        <v>551</v>
      </c>
      <c r="E65" s="638"/>
      <c r="F65" s="638"/>
      <c r="G65" s="638"/>
      <c r="H65" s="638"/>
      <c r="I65" s="638"/>
      <c r="J65" s="412"/>
      <c r="K65" s="413"/>
    </row>
    <row r="66" spans="2:11" x14ac:dyDescent="0.2">
      <c r="B66" s="411"/>
      <c r="C66" s="412"/>
      <c r="D66" s="638"/>
      <c r="E66" s="638"/>
      <c r="F66" s="638"/>
      <c r="G66" s="638"/>
      <c r="H66" s="638"/>
      <c r="I66" s="638"/>
      <c r="J66" s="412"/>
      <c r="K66" s="413"/>
    </row>
    <row r="67" spans="2:11" x14ac:dyDescent="0.2">
      <c r="B67" s="411"/>
      <c r="C67" s="412"/>
      <c r="D67" s="638"/>
      <c r="E67" s="638"/>
      <c r="F67" s="638"/>
      <c r="G67" s="638"/>
      <c r="H67" s="638"/>
      <c r="I67" s="638"/>
      <c r="J67" s="412"/>
      <c r="K67" s="413"/>
    </row>
    <row r="68" spans="2:11" x14ac:dyDescent="0.2">
      <c r="B68" s="516"/>
      <c r="C68" s="436"/>
      <c r="D68" s="639"/>
      <c r="E68" s="639"/>
      <c r="F68" s="639"/>
      <c r="G68" s="639"/>
      <c r="H68" s="639"/>
      <c r="I68" s="639"/>
      <c r="J68" s="436"/>
      <c r="K68" s="517"/>
    </row>
    <row r="69" spans="2:11" ht="16" thickBot="1" x14ac:dyDescent="0.25"/>
    <row r="70" spans="2:11" ht="16" thickBot="1" x14ac:dyDescent="0.25">
      <c r="D70" s="631" t="s">
        <v>568</v>
      </c>
      <c r="E70" s="632"/>
      <c r="F70" s="632"/>
      <c r="G70" s="632"/>
      <c r="H70" s="632"/>
      <c r="I70" s="633"/>
    </row>
    <row r="71" spans="2:11" x14ac:dyDescent="0.2">
      <c r="C71" s="518"/>
      <c r="D71" s="521"/>
      <c r="E71" s="521"/>
      <c r="F71" s="521"/>
      <c r="G71" s="521"/>
      <c r="H71" s="521"/>
      <c r="I71" s="521"/>
      <c r="J71" s="519"/>
    </row>
    <row r="72" spans="2:11" x14ac:dyDescent="0.2">
      <c r="C72" s="520"/>
      <c r="D72" s="521"/>
      <c r="E72" s="521"/>
      <c r="F72" s="521"/>
      <c r="G72" s="521"/>
      <c r="H72" s="521"/>
      <c r="I72" s="521"/>
      <c r="J72" s="522"/>
    </row>
    <row r="73" spans="2:11" x14ac:dyDescent="0.2">
      <c r="C73" s="520"/>
      <c r="D73" s="521"/>
      <c r="E73" s="521"/>
      <c r="F73" s="521"/>
      <c r="G73" s="521"/>
      <c r="H73" s="521"/>
      <c r="I73" s="521"/>
      <c r="J73" s="522"/>
    </row>
    <row r="74" spans="2:11" x14ac:dyDescent="0.2">
      <c r="C74" s="520"/>
      <c r="D74" s="521"/>
      <c r="E74" s="521"/>
      <c r="F74" s="521"/>
      <c r="G74" s="521"/>
      <c r="H74" s="521"/>
      <c r="I74" s="521"/>
      <c r="J74" s="522"/>
    </row>
    <row r="75" spans="2:11" x14ac:dyDescent="0.2">
      <c r="C75" s="520"/>
      <c r="D75" s="521"/>
      <c r="E75" s="521"/>
      <c r="F75" s="521"/>
      <c r="G75" s="521"/>
      <c r="H75" s="521"/>
      <c r="I75" s="521"/>
      <c r="J75" s="522"/>
    </row>
    <row r="76" spans="2:11" x14ac:dyDescent="0.2">
      <c r="C76" s="520"/>
      <c r="D76" s="521"/>
      <c r="E76" s="521"/>
      <c r="F76" s="521"/>
      <c r="G76" s="521"/>
      <c r="H76" s="521"/>
      <c r="I76" s="521"/>
      <c r="J76" s="522"/>
    </row>
    <row r="77" spans="2:11" x14ac:dyDescent="0.2">
      <c r="C77" s="520"/>
      <c r="D77" s="521"/>
      <c r="E77" s="521"/>
      <c r="F77" s="521"/>
      <c r="G77" s="521"/>
      <c r="H77" s="521"/>
      <c r="I77" s="521"/>
      <c r="J77" s="522"/>
    </row>
    <row r="78" spans="2:11" x14ac:dyDescent="0.2">
      <c r="C78" s="520"/>
      <c r="D78" s="521"/>
      <c r="E78" s="521"/>
      <c r="F78" s="521"/>
      <c r="G78" s="521"/>
      <c r="H78" s="521"/>
      <c r="I78" s="521"/>
      <c r="J78" s="522"/>
    </row>
    <row r="79" spans="2:11" x14ac:dyDescent="0.2">
      <c r="C79" s="520"/>
      <c r="D79" s="521"/>
      <c r="E79" s="521"/>
      <c r="F79" s="521"/>
      <c r="G79" s="521"/>
      <c r="H79" s="521"/>
      <c r="I79" s="521"/>
      <c r="J79" s="522"/>
    </row>
    <row r="80" spans="2:11" x14ac:dyDescent="0.2">
      <c r="C80" s="520"/>
      <c r="D80" s="521"/>
      <c r="E80" s="521"/>
      <c r="F80" s="521"/>
      <c r="G80" s="521"/>
      <c r="H80" s="521"/>
      <c r="I80" s="521"/>
      <c r="J80" s="522"/>
    </row>
    <row r="81" spans="3:10" x14ac:dyDescent="0.2">
      <c r="C81" s="520"/>
      <c r="D81" s="521"/>
      <c r="E81" s="521"/>
      <c r="F81" s="521"/>
      <c r="G81" s="521"/>
      <c r="H81" s="521"/>
      <c r="I81" s="521"/>
      <c r="J81" s="522"/>
    </row>
    <row r="82" spans="3:10" x14ac:dyDescent="0.2">
      <c r="C82" s="520"/>
      <c r="D82" s="521"/>
      <c r="E82" s="521"/>
      <c r="F82" s="521"/>
      <c r="G82" s="521"/>
      <c r="H82" s="521"/>
      <c r="I82" s="521"/>
      <c r="J82" s="522"/>
    </row>
    <row r="83" spans="3:10" x14ac:dyDescent="0.2">
      <c r="C83" s="520"/>
      <c r="D83" s="521"/>
      <c r="E83" s="521"/>
      <c r="F83" s="521"/>
      <c r="G83" s="521"/>
      <c r="H83" s="521"/>
      <c r="I83" s="521"/>
      <c r="J83" s="522"/>
    </row>
    <row r="84" spans="3:10" x14ac:dyDescent="0.2">
      <c r="C84" s="520"/>
      <c r="D84" s="521"/>
      <c r="E84" s="521"/>
      <c r="F84" s="521"/>
      <c r="G84" s="521"/>
      <c r="H84" s="521"/>
      <c r="I84" s="521"/>
      <c r="J84" s="522"/>
    </row>
    <row r="85" spans="3:10" x14ac:dyDescent="0.2">
      <c r="C85" s="520"/>
      <c r="D85" s="521"/>
      <c r="E85" s="521"/>
      <c r="F85" s="521"/>
      <c r="G85" s="521"/>
      <c r="H85" s="521"/>
      <c r="I85" s="521"/>
      <c r="J85" s="522"/>
    </row>
    <row r="86" spans="3:10" x14ac:dyDescent="0.2">
      <c r="C86" s="520"/>
      <c r="D86" s="521"/>
      <c r="E86" s="521"/>
      <c r="F86" s="521"/>
      <c r="G86" s="521"/>
      <c r="H86" s="521"/>
      <c r="I86" s="521"/>
      <c r="J86" s="522"/>
    </row>
    <row r="87" spans="3:10" x14ac:dyDescent="0.2">
      <c r="C87" s="520"/>
      <c r="D87" s="521"/>
      <c r="E87" s="521"/>
      <c r="F87" s="521"/>
      <c r="G87" s="521"/>
      <c r="H87" s="521"/>
      <c r="I87" s="521"/>
      <c r="J87" s="522"/>
    </row>
    <row r="88" spans="3:10" x14ac:dyDescent="0.2">
      <c r="C88" s="520"/>
      <c r="D88" s="521"/>
      <c r="E88" s="521"/>
      <c r="F88" s="521"/>
      <c r="G88" s="521"/>
      <c r="H88" s="521"/>
      <c r="I88" s="521"/>
      <c r="J88" s="522"/>
    </row>
    <row r="89" spans="3:10" x14ac:dyDescent="0.2">
      <c r="C89" s="520"/>
      <c r="D89" s="521"/>
      <c r="E89" s="521"/>
      <c r="F89" s="521"/>
      <c r="G89" s="521"/>
      <c r="H89" s="521"/>
      <c r="I89" s="521"/>
      <c r="J89" s="522"/>
    </row>
    <row r="90" spans="3:10" x14ac:dyDescent="0.2">
      <c r="C90" s="520"/>
      <c r="D90" s="521"/>
      <c r="E90" s="521"/>
      <c r="F90" s="521"/>
      <c r="G90" s="521"/>
      <c r="H90" s="521"/>
      <c r="I90" s="521"/>
      <c r="J90" s="522"/>
    </row>
    <row r="91" spans="3:10" x14ac:dyDescent="0.2">
      <c r="C91" s="520"/>
      <c r="D91" s="521"/>
      <c r="E91" s="521"/>
      <c r="F91" s="521"/>
      <c r="G91" s="521"/>
      <c r="H91" s="521"/>
      <c r="I91" s="521"/>
      <c r="J91" s="522"/>
    </row>
    <row r="92" spans="3:10" x14ac:dyDescent="0.2">
      <c r="C92" s="520"/>
      <c r="D92" s="521"/>
      <c r="E92" s="521"/>
      <c r="F92" s="521"/>
      <c r="G92" s="521"/>
      <c r="H92" s="521"/>
      <c r="I92" s="521"/>
      <c r="J92" s="522"/>
    </row>
    <row r="93" spans="3:10" x14ac:dyDescent="0.2">
      <c r="C93" s="520"/>
      <c r="D93" s="521"/>
      <c r="E93" s="521"/>
      <c r="F93" s="521"/>
      <c r="G93" s="521"/>
      <c r="H93" s="521"/>
      <c r="I93" s="521"/>
      <c r="J93" s="522"/>
    </row>
    <row r="94" spans="3:10" x14ac:dyDescent="0.2">
      <c r="C94" s="520"/>
      <c r="D94" s="521"/>
      <c r="E94" s="521"/>
      <c r="F94" s="521"/>
      <c r="G94" s="521"/>
      <c r="H94" s="521"/>
      <c r="I94" s="521"/>
      <c r="J94" s="522"/>
    </row>
    <row r="95" spans="3:10" x14ac:dyDescent="0.2">
      <c r="C95" s="520"/>
      <c r="D95" s="521"/>
      <c r="E95" s="521"/>
      <c r="F95" s="521"/>
      <c r="G95" s="521"/>
      <c r="H95" s="521"/>
      <c r="I95" s="521"/>
      <c r="J95" s="522"/>
    </row>
    <row r="96" spans="3:10" x14ac:dyDescent="0.2">
      <c r="C96" s="520"/>
      <c r="D96" s="521"/>
      <c r="E96" s="521"/>
      <c r="F96" s="521"/>
      <c r="G96" s="521"/>
      <c r="H96" s="521"/>
      <c r="I96" s="521"/>
      <c r="J96" s="522"/>
    </row>
    <row r="97" spans="3:10" x14ac:dyDescent="0.2">
      <c r="C97" s="520"/>
      <c r="D97" s="521"/>
      <c r="E97" s="521"/>
      <c r="F97" s="521"/>
      <c r="G97" s="521"/>
      <c r="H97" s="521"/>
      <c r="I97" s="521"/>
      <c r="J97" s="522"/>
    </row>
    <row r="98" spans="3:10" x14ac:dyDescent="0.2">
      <c r="C98" s="520"/>
      <c r="D98" s="521"/>
      <c r="E98" s="521"/>
      <c r="F98" s="521"/>
      <c r="G98" s="521"/>
      <c r="H98" s="521"/>
      <c r="I98" s="521"/>
      <c r="J98" s="522"/>
    </row>
    <row r="99" spans="3:10" x14ac:dyDescent="0.2">
      <c r="C99" s="520"/>
      <c r="D99" s="521"/>
      <c r="E99" s="521"/>
      <c r="F99" s="521"/>
      <c r="G99" s="521"/>
      <c r="H99" s="521"/>
      <c r="I99" s="521"/>
      <c r="J99" s="522"/>
    </row>
    <row r="100" spans="3:10" x14ac:dyDescent="0.2">
      <c r="C100" s="520"/>
      <c r="D100" s="521"/>
      <c r="E100" s="521"/>
      <c r="F100" s="521"/>
      <c r="G100" s="521"/>
      <c r="H100" s="521"/>
      <c r="I100" s="521"/>
      <c r="J100" s="522"/>
    </row>
    <row r="101" spans="3:10" x14ac:dyDescent="0.2">
      <c r="C101" s="520"/>
      <c r="D101" s="521"/>
      <c r="E101" s="521"/>
      <c r="F101" s="521"/>
      <c r="G101" s="521"/>
      <c r="H101" s="521"/>
      <c r="I101" s="521"/>
      <c r="J101" s="522"/>
    </row>
    <row r="102" spans="3:10" x14ac:dyDescent="0.2">
      <c r="C102" s="520"/>
      <c r="D102" s="521"/>
      <c r="E102" s="521"/>
      <c r="F102" s="521"/>
      <c r="G102" s="521"/>
      <c r="H102" s="521"/>
      <c r="I102" s="521"/>
      <c r="J102" s="522"/>
    </row>
    <row r="103" spans="3:10" x14ac:dyDescent="0.2">
      <c r="C103" s="520"/>
      <c r="D103" s="521"/>
      <c r="E103" s="521"/>
      <c r="F103" s="521"/>
      <c r="G103" s="521"/>
      <c r="H103" s="521"/>
      <c r="I103" s="521"/>
      <c r="J103" s="522"/>
    </row>
    <row r="104" spans="3:10" x14ac:dyDescent="0.2">
      <c r="C104" s="520"/>
      <c r="D104" s="521"/>
      <c r="E104" s="521"/>
      <c r="F104" s="521"/>
      <c r="G104" s="521"/>
      <c r="H104" s="521"/>
      <c r="I104" s="521"/>
      <c r="J104" s="522"/>
    </row>
    <row r="105" spans="3:10" x14ac:dyDescent="0.2">
      <c r="C105" s="520"/>
      <c r="D105" s="521"/>
      <c r="E105" s="521"/>
      <c r="F105" s="521"/>
      <c r="G105" s="521"/>
      <c r="H105" s="521"/>
      <c r="I105" s="521"/>
      <c r="J105" s="522"/>
    </row>
    <row r="106" spans="3:10" x14ac:dyDescent="0.2">
      <c r="C106" s="520"/>
      <c r="D106" s="521"/>
      <c r="E106" s="521"/>
      <c r="F106" s="521"/>
      <c r="G106" s="521"/>
      <c r="H106" s="521"/>
      <c r="I106" s="521"/>
      <c r="J106" s="522"/>
    </row>
    <row r="107" spans="3:10" x14ac:dyDescent="0.2">
      <c r="C107" s="520"/>
      <c r="D107" s="521"/>
      <c r="E107" s="521"/>
      <c r="F107" s="521"/>
      <c r="G107" s="521"/>
      <c r="H107" s="521"/>
      <c r="I107" s="521"/>
      <c r="J107" s="522"/>
    </row>
    <row r="108" spans="3:10" x14ac:dyDescent="0.2">
      <c r="C108" s="520"/>
      <c r="D108" s="521"/>
      <c r="E108" s="521"/>
      <c r="F108" s="521"/>
      <c r="G108" s="521"/>
      <c r="H108" s="521"/>
      <c r="I108" s="521"/>
      <c r="J108" s="522"/>
    </row>
    <row r="109" spans="3:10" x14ac:dyDescent="0.2">
      <c r="C109" s="520"/>
      <c r="D109" s="521"/>
      <c r="E109" s="521"/>
      <c r="F109" s="521"/>
      <c r="G109" s="521"/>
      <c r="H109" s="521"/>
      <c r="I109" s="521"/>
      <c r="J109" s="522"/>
    </row>
    <row r="110" spans="3:10" x14ac:dyDescent="0.2">
      <c r="C110" s="520"/>
      <c r="D110" s="521"/>
      <c r="E110" s="521"/>
      <c r="F110" s="521"/>
      <c r="G110" s="521"/>
      <c r="H110" s="521"/>
      <c r="I110" s="521"/>
      <c r="J110" s="522"/>
    </row>
    <row r="111" spans="3:10" x14ac:dyDescent="0.2">
      <c r="C111" s="520"/>
      <c r="D111" s="521"/>
      <c r="E111" s="521"/>
      <c r="F111" s="521"/>
      <c r="G111" s="521"/>
      <c r="H111" s="521"/>
      <c r="I111" s="521"/>
      <c r="J111" s="522"/>
    </row>
    <row r="112" spans="3:10" x14ac:dyDescent="0.2">
      <c r="C112" s="520"/>
      <c r="D112" s="521"/>
      <c r="E112" s="521"/>
      <c r="F112" s="521"/>
      <c r="G112" s="521"/>
      <c r="H112" s="521"/>
      <c r="I112" s="521"/>
      <c r="J112" s="522"/>
    </row>
    <row r="113" spans="3:10" x14ac:dyDescent="0.2">
      <c r="C113" s="520"/>
      <c r="D113" s="521"/>
      <c r="E113" s="521"/>
      <c r="F113" s="521"/>
      <c r="G113" s="521"/>
      <c r="H113" s="521"/>
      <c r="I113" s="521"/>
      <c r="J113" s="522"/>
    </row>
    <row r="114" spans="3:10" x14ac:dyDescent="0.2">
      <c r="C114" s="520"/>
      <c r="D114" s="521"/>
      <c r="E114" s="521"/>
      <c r="F114" s="521"/>
      <c r="G114" s="521"/>
      <c r="H114" s="521"/>
      <c r="I114" s="521"/>
      <c r="J114" s="522"/>
    </row>
    <row r="115" spans="3:10" x14ac:dyDescent="0.2">
      <c r="C115" s="520"/>
      <c r="D115" s="521"/>
      <c r="E115" s="521"/>
      <c r="F115" s="521"/>
      <c r="G115" s="521"/>
      <c r="H115" s="521"/>
      <c r="I115" s="521"/>
      <c r="J115" s="522"/>
    </row>
    <row r="116" spans="3:10" x14ac:dyDescent="0.2">
      <c r="C116" s="520"/>
      <c r="D116" s="521"/>
      <c r="E116" s="521"/>
      <c r="F116" s="521"/>
      <c r="G116" s="521"/>
      <c r="H116" s="521"/>
      <c r="I116" s="521"/>
      <c r="J116" s="522"/>
    </row>
    <row r="117" spans="3:10" x14ac:dyDescent="0.2">
      <c r="C117" s="520"/>
      <c r="D117" s="521"/>
      <c r="E117" s="521"/>
      <c r="F117" s="521"/>
      <c r="G117" s="521"/>
      <c r="H117" s="521"/>
      <c r="I117" s="521"/>
      <c r="J117" s="522"/>
    </row>
    <row r="118" spans="3:10" x14ac:dyDescent="0.2">
      <c r="C118" s="520"/>
      <c r="D118" s="521"/>
      <c r="E118" s="521"/>
      <c r="F118" s="521"/>
      <c r="G118" s="521"/>
      <c r="H118" s="521"/>
      <c r="I118" s="521"/>
      <c r="J118" s="522"/>
    </row>
    <row r="119" spans="3:10" x14ac:dyDescent="0.2">
      <c r="C119" s="520"/>
      <c r="D119" s="521"/>
      <c r="E119" s="521"/>
      <c r="F119" s="521"/>
      <c r="G119" s="521"/>
      <c r="H119" s="521"/>
      <c r="I119" s="521"/>
      <c r="J119" s="522"/>
    </row>
    <row r="120" spans="3:10" x14ac:dyDescent="0.2">
      <c r="C120" s="520"/>
      <c r="D120" s="521"/>
      <c r="E120" s="521"/>
      <c r="F120" s="521"/>
      <c r="G120" s="521"/>
      <c r="H120" s="521"/>
      <c r="I120" s="521"/>
      <c r="J120" s="522"/>
    </row>
    <row r="121" spans="3:10" x14ac:dyDescent="0.2">
      <c r="C121" s="520"/>
      <c r="D121" s="521"/>
      <c r="E121" s="521"/>
      <c r="F121" s="521"/>
      <c r="G121" s="521"/>
      <c r="H121" s="521"/>
      <c r="I121" s="521"/>
      <c r="J121" s="522"/>
    </row>
    <row r="122" spans="3:10" x14ac:dyDescent="0.2">
      <c r="C122" s="520"/>
      <c r="D122" s="521"/>
      <c r="E122" s="521"/>
      <c r="F122" s="521"/>
      <c r="G122" s="521"/>
      <c r="H122" s="521"/>
      <c r="I122" s="521"/>
      <c r="J122" s="522"/>
    </row>
    <row r="123" spans="3:10" x14ac:dyDescent="0.2">
      <c r="C123" s="520"/>
      <c r="D123" s="521"/>
      <c r="E123" s="521"/>
      <c r="F123" s="521"/>
      <c r="G123" s="521"/>
      <c r="H123" s="521"/>
      <c r="I123" s="521"/>
      <c r="J123" s="522"/>
    </row>
    <row r="124" spans="3:10" x14ac:dyDescent="0.2">
      <c r="C124" s="523"/>
      <c r="D124" s="524"/>
      <c r="E124" s="524"/>
      <c r="F124" s="524"/>
      <c r="G124" s="524"/>
      <c r="H124" s="524"/>
      <c r="I124" s="524"/>
      <c r="J124" s="525"/>
    </row>
  </sheetData>
  <sheetProtection algorithmName="SHA-512" hashValue="Id8I5CV0IlgTSIXGUp4a32GrAL9NSnaVEY/w/FpFt4gbzs3FNPD5YRV2wU8WOY1vHhxIFaj+9NElscJK260TUQ==" saltValue="MZoWW0iYl/Zcg/10HOdjYQ==" spinCount="100000" sheet="1" objects="1" scenarios="1"/>
  <mergeCells count="13">
    <mergeCell ref="F4:F5"/>
    <mergeCell ref="D70:I70"/>
    <mergeCell ref="M28:N28"/>
    <mergeCell ref="D58:D60"/>
    <mergeCell ref="D65:I68"/>
    <mergeCell ref="D50:D52"/>
    <mergeCell ref="J43:J44"/>
    <mergeCell ref="D54:D56"/>
    <mergeCell ref="I54:J56"/>
    <mergeCell ref="D46:D48"/>
    <mergeCell ref="D43:D44"/>
    <mergeCell ref="F29:I29"/>
    <mergeCell ref="G25:H25"/>
  </mergeCells>
  <phoneticPr fontId="30" type="noConversion"/>
  <conditionalFormatting sqref="E6:E12">
    <cfRule type="cellIs" dxfId="13" priority="21" operator="equal">
      <formula>"Yes"</formula>
    </cfRule>
  </conditionalFormatting>
  <conditionalFormatting sqref="B17">
    <cfRule type="expression" dxfId="12" priority="17">
      <formula>IF($L$17=6,FALSE,TRUE)</formula>
    </cfRule>
  </conditionalFormatting>
  <conditionalFormatting sqref="B18">
    <cfRule type="expression" dxfId="11" priority="18">
      <formula>IF($L$18=6,FALSE,TRUE)</formula>
    </cfRule>
  </conditionalFormatting>
  <conditionalFormatting sqref="B20">
    <cfRule type="expression" dxfId="10" priority="9">
      <formula>IF($L$20=6,FALSE,TRUE)</formula>
    </cfRule>
  </conditionalFormatting>
  <conditionalFormatting sqref="B19">
    <cfRule type="expression" dxfId="9" priority="16">
      <formula>IF($L$19=6,FALSE,TRUE)</formula>
    </cfRule>
  </conditionalFormatting>
  <conditionalFormatting sqref="F17:J21 C17:D21 F23:J23 C23:D23">
    <cfRule type="notContainsText" dxfId="8" priority="12" operator="notContains" text="No">
      <formula>ISERROR(SEARCH("No",C17))</formula>
    </cfRule>
  </conditionalFormatting>
  <conditionalFormatting sqref="B21">
    <cfRule type="expression" dxfId="7" priority="15">
      <formula>IF($L$21=6,FALSE,TRUE)</formula>
    </cfRule>
  </conditionalFormatting>
  <conditionalFormatting sqref="B23">
    <cfRule type="expression" dxfId="6" priority="8">
      <formula>IF($L$23=6,FALSE,TRUE)</formula>
    </cfRule>
  </conditionalFormatting>
  <conditionalFormatting sqref="E18:E21">
    <cfRule type="notContainsText" dxfId="5" priority="5" operator="notContains" text="No">
      <formula>ISERROR(SEARCH("No",E18))</formula>
    </cfRule>
  </conditionalFormatting>
  <conditionalFormatting sqref="E17:E21">
    <cfRule type="notContainsText" dxfId="4" priority="4" operator="notContains" text="No">
      <formula>ISERROR(SEARCH("No",E17))</formula>
    </cfRule>
  </conditionalFormatting>
  <conditionalFormatting sqref="E23">
    <cfRule type="notContainsText" dxfId="3" priority="3" operator="notContains" text="No">
      <formula>ISERROR(SEARCH("No",E23))</formula>
    </cfRule>
  </conditionalFormatting>
  <conditionalFormatting sqref="E8">
    <cfRule type="expression" dxfId="2" priority="2">
      <formula>NOT($E$8="No")</formula>
    </cfRule>
  </conditionalFormatting>
  <conditionalFormatting sqref="J8">
    <cfRule type="expression" dxfId="1" priority="1">
      <formula>NOT($J$8="")</formula>
    </cfRule>
  </conditionalFormatting>
  <hyperlinks>
    <hyperlink ref="D6" location="Manage!A1" display="Manage" xr:uid="{43F9682C-720B-3A44-BADE-3CC2524CAE5F}"/>
    <hyperlink ref="D7" location="Monitor!A1" display="Monitor" xr:uid="{59875500-78D6-D849-9539-25EBA3FAF4E6}"/>
    <hyperlink ref="D13" location="'MAS Core'!A1" display="MAS Core" xr:uid="{E8C099D3-3A90-374C-B2D8-FD45FC540B15}"/>
    <hyperlink ref="C16" location="Manage!A1" display="Manage" xr:uid="{0C0A2767-00EC-E74F-8A80-D752317E2BDE}"/>
    <hyperlink ref="D16" location="Monitor!A1" display="Monitor" xr:uid="{890F42FB-6877-0345-9C17-C4BAC3CEAAD8}"/>
    <hyperlink ref="D9" location="Predict!A1" display="Predict" xr:uid="{594A6F0C-0806-4947-8C28-19B1A1C4B3D8}"/>
    <hyperlink ref="D10" location="MVI!A1" display="MVI" xr:uid="{FD63602B-A47A-6543-8F8B-CE7A6279F41D}"/>
    <hyperlink ref="D11" location="Safety!A1" display="Safety" xr:uid="{ECA81AF1-E1BD-D04E-A0D2-9B63BE9C7562}"/>
    <hyperlink ref="D12" location="Assist!A1" display="Assist" xr:uid="{CF980CFC-636C-7D48-8121-8C48535A0331}"/>
    <hyperlink ref="F16" location="Predict!A1" display="Predict" xr:uid="{90837148-ACD0-5849-98EB-AD2A1D7CAE73}"/>
    <hyperlink ref="G16" location="MVI!A1" display="MVI" xr:uid="{07399AC6-09BB-C04F-9930-3E6C107E0A33}"/>
    <hyperlink ref="H16" location="Safety!A1" display="Safety" xr:uid="{7BBB838C-C13A-8349-8A82-0F3B3E86CD74}"/>
    <hyperlink ref="I16" location="Assist!A1" display="Assist" xr:uid="{84224DD7-D034-D44A-839B-F1BAD5663D2B}"/>
    <hyperlink ref="J16" location="'MAS Core'!A1" display="MAS Core" xr:uid="{A806B5FE-A7DB-274A-80A6-813DDC2A9313}"/>
    <hyperlink ref="D8" location="Health!A1" display="Health" xr:uid="{9E97E0D4-86E6-5943-ABD7-347201967167}"/>
    <hyperlink ref="E16" location="Health!A1" display="Health" xr:uid="{A34CC431-FE46-CB4E-96CB-AC244071097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AE63-D785-1D46-B684-1715E4961286}">
  <sheetPr codeName="Sheet11"/>
  <dimension ref="B1:C12"/>
  <sheetViews>
    <sheetView workbookViewId="0">
      <selection activeCell="F21" sqref="F21"/>
    </sheetView>
  </sheetViews>
  <sheetFormatPr baseColWidth="10" defaultRowHeight="16" x14ac:dyDescent="0.2"/>
  <cols>
    <col min="1" max="1" width="2.33203125" style="259" customWidth="1"/>
    <col min="2" max="16384" width="10.83203125" style="259"/>
  </cols>
  <sheetData>
    <row r="1" spans="2:3" ht="11" customHeight="1" x14ac:dyDescent="0.2"/>
    <row r="2" spans="2:3" x14ac:dyDescent="0.2">
      <c r="B2" s="560" t="s">
        <v>520</v>
      </c>
    </row>
    <row r="5" spans="2:3" x14ac:dyDescent="0.2">
      <c r="B5" s="275" t="s">
        <v>517</v>
      </c>
      <c r="C5" s="275" t="s">
        <v>518</v>
      </c>
    </row>
    <row r="6" spans="2:3" x14ac:dyDescent="0.2">
      <c r="B6" s="259">
        <v>5</v>
      </c>
      <c r="C6" s="259" t="s">
        <v>519</v>
      </c>
    </row>
    <row r="7" spans="2:3" x14ac:dyDescent="0.2">
      <c r="B7" s="259">
        <v>5.0999999999999996</v>
      </c>
      <c r="C7" s="259" t="s">
        <v>570</v>
      </c>
    </row>
    <row r="8" spans="2:3" x14ac:dyDescent="0.2">
      <c r="B8" s="259">
        <v>5.2</v>
      </c>
      <c r="C8" s="259" t="s">
        <v>579</v>
      </c>
    </row>
    <row r="9" spans="2:3" x14ac:dyDescent="0.2">
      <c r="C9" s="259" t="s">
        <v>586</v>
      </c>
    </row>
    <row r="10" spans="2:3" x14ac:dyDescent="0.2">
      <c r="C10" s="259" t="s">
        <v>592</v>
      </c>
    </row>
    <row r="11" spans="2:3" x14ac:dyDescent="0.2">
      <c r="B11" s="259">
        <v>5.3</v>
      </c>
      <c r="C11" s="259" t="s">
        <v>594</v>
      </c>
    </row>
    <row r="12" spans="2:3" x14ac:dyDescent="0.2">
      <c r="B12" s="259">
        <v>5.4</v>
      </c>
      <c r="C12" s="259" t="s">
        <v>595</v>
      </c>
    </row>
  </sheetData>
  <sheetProtection algorithmName="SHA-512" hashValue="7KYU1OjHkSYjl+i3A4CzjOqJK01mHBFG+/jCEDT5ERAdgWmEs9QWbB62/OaAbULH/jzvlArsb/CigotO1KQDzA==" saltValue="MqpvEqDoyESOMCSZLczOBw==" spinCount="100000" sheet="1" objects="1" scenario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E8E81-9715-AB41-8E07-0B9200BB903E}">
  <sheetPr codeName="Sheet12"/>
  <dimension ref="A1"/>
  <sheetViews>
    <sheetView workbookViewId="0">
      <selection activeCell="K31" sqref="K31"/>
    </sheetView>
  </sheetViews>
  <sheetFormatPr baseColWidth="10"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4F7F-15A5-8541-A258-8FBFA04BFF4A}">
  <sheetPr codeName="Sheet16"/>
  <dimension ref="B1:I27"/>
  <sheetViews>
    <sheetView workbookViewId="0">
      <selection activeCell="K31" sqref="K31"/>
    </sheetView>
  </sheetViews>
  <sheetFormatPr baseColWidth="10" defaultRowHeight="16" x14ac:dyDescent="0.2"/>
  <cols>
    <col min="2" max="2" width="26.5" customWidth="1"/>
    <col min="3" max="3" width="9" customWidth="1"/>
    <col min="4" max="4" width="28.1640625" customWidth="1"/>
    <col min="8" max="8" width="22.6640625" bestFit="1" customWidth="1"/>
  </cols>
  <sheetData>
    <row r="1" spans="2:9" x14ac:dyDescent="0.2">
      <c r="B1" t="s">
        <v>417</v>
      </c>
      <c r="E1" s="9">
        <v>0.3</v>
      </c>
      <c r="H1" t="s">
        <v>418</v>
      </c>
      <c r="I1">
        <f>600/12</f>
        <v>50</v>
      </c>
    </row>
    <row r="2" spans="2:9" x14ac:dyDescent="0.2">
      <c r="B2" t="s">
        <v>416</v>
      </c>
      <c r="E2" s="9">
        <v>0.5</v>
      </c>
    </row>
    <row r="4" spans="2:9" x14ac:dyDescent="0.2">
      <c r="B4" t="s">
        <v>408</v>
      </c>
    </row>
    <row r="5" spans="2:9" x14ac:dyDescent="0.2">
      <c r="B5" s="2" t="s">
        <v>409</v>
      </c>
      <c r="C5" s="2"/>
      <c r="D5" s="2"/>
    </row>
    <row r="6" spans="2:9" x14ac:dyDescent="0.2">
      <c r="B6" t="s">
        <v>410</v>
      </c>
      <c r="E6" s="195">
        <v>5000</v>
      </c>
      <c r="F6" t="s">
        <v>411</v>
      </c>
    </row>
    <row r="7" spans="2:9" x14ac:dyDescent="0.2">
      <c r="B7" t="s">
        <v>493</v>
      </c>
      <c r="E7" s="208">
        <f>E6*(1-E2)</f>
        <v>2500</v>
      </c>
      <c r="F7" t="s">
        <v>413</v>
      </c>
    </row>
    <row r="9" spans="2:9" x14ac:dyDescent="0.2">
      <c r="B9" t="s">
        <v>414</v>
      </c>
    </row>
    <row r="10" spans="2:9" x14ac:dyDescent="0.2">
      <c r="B10" t="s">
        <v>415</v>
      </c>
      <c r="D10" t="s">
        <v>495</v>
      </c>
      <c r="E10" s="238">
        <f>E11</f>
        <v>1750</v>
      </c>
      <c r="F10">
        <f>E10/((1-$E$1)*$I$1)</f>
        <v>50</v>
      </c>
      <c r="G10" t="s">
        <v>277</v>
      </c>
    </row>
    <row r="11" spans="2:9" x14ac:dyDescent="0.2">
      <c r="D11" t="s">
        <v>495</v>
      </c>
      <c r="E11" s="238">
        <f>E13*0.7</f>
        <v>1750</v>
      </c>
      <c r="F11">
        <f>E11/((1-$E$1)*$I$1)</f>
        <v>50</v>
      </c>
      <c r="G11" t="s">
        <v>22</v>
      </c>
    </row>
    <row r="12" spans="2:9" x14ac:dyDescent="0.2">
      <c r="B12" s="11"/>
      <c r="C12" s="11"/>
      <c r="D12" s="11" t="s">
        <v>494</v>
      </c>
      <c r="E12" s="238">
        <f>E13*0.8</f>
        <v>2000</v>
      </c>
      <c r="F12">
        <f>E12/((1-$E$1)*$I$1)</f>
        <v>57.142857142857146</v>
      </c>
      <c r="G12" t="s">
        <v>278</v>
      </c>
    </row>
    <row r="13" spans="2:9" x14ac:dyDescent="0.2">
      <c r="B13" s="11"/>
      <c r="C13" s="11"/>
      <c r="D13" s="11"/>
      <c r="E13" s="210">
        <f>E7</f>
        <v>2500</v>
      </c>
      <c r="F13">
        <f>E13/((1-$E$1)*$I$1)</f>
        <v>71.428571428571431</v>
      </c>
      <c r="G13" t="s">
        <v>53</v>
      </c>
    </row>
    <row r="18" spans="2:7" x14ac:dyDescent="0.2">
      <c r="B18" t="s">
        <v>421</v>
      </c>
    </row>
    <row r="19" spans="2:7" x14ac:dyDescent="0.2">
      <c r="B19" s="2" t="s">
        <v>409</v>
      </c>
      <c r="C19" s="2"/>
      <c r="D19" s="2"/>
    </row>
    <row r="20" spans="2:7" x14ac:dyDescent="0.2">
      <c r="B20" t="s">
        <v>410</v>
      </c>
      <c r="E20">
        <v>10400</v>
      </c>
      <c r="F20" t="s">
        <v>411</v>
      </c>
    </row>
    <row r="21" spans="2:7" x14ac:dyDescent="0.2">
      <c r="B21" t="s">
        <v>412</v>
      </c>
      <c r="E21">
        <f>E20*(1-E2)</f>
        <v>5200</v>
      </c>
      <c r="F21" t="s">
        <v>413</v>
      </c>
    </row>
    <row r="23" spans="2:7" x14ac:dyDescent="0.2">
      <c r="B23" t="s">
        <v>414</v>
      </c>
    </row>
    <row r="24" spans="2:7" x14ac:dyDescent="0.2">
      <c r="B24" t="s">
        <v>415</v>
      </c>
      <c r="D24" t="s">
        <v>495</v>
      </c>
      <c r="E24" s="238">
        <f>E25</f>
        <v>3639.9999999999995</v>
      </c>
      <c r="F24" s="239">
        <f>E24/((1-$E$1)*$I$1)</f>
        <v>103.99999999999999</v>
      </c>
      <c r="G24" t="s">
        <v>277</v>
      </c>
    </row>
    <row r="25" spans="2:7" x14ac:dyDescent="0.2">
      <c r="B25" t="s">
        <v>419</v>
      </c>
      <c r="D25" t="s">
        <v>495</v>
      </c>
      <c r="E25" s="238">
        <f>E27*0.7</f>
        <v>3639.9999999999995</v>
      </c>
      <c r="F25" s="239">
        <f>E25/((1-$E$1)*$I$1)</f>
        <v>103.99999999999999</v>
      </c>
      <c r="G25" t="s">
        <v>22</v>
      </c>
    </row>
    <row r="26" spans="2:7" x14ac:dyDescent="0.2">
      <c r="B26" s="11">
        <v>0.3</v>
      </c>
      <c r="C26" s="11"/>
      <c r="D26" s="11" t="s">
        <v>494</v>
      </c>
      <c r="E26" s="238">
        <f>E27*0.8</f>
        <v>4160</v>
      </c>
      <c r="F26" s="239">
        <f>E26/((1-$E$1)*$I$1)</f>
        <v>118.85714285714286</v>
      </c>
      <c r="G26" t="s">
        <v>278</v>
      </c>
    </row>
    <row r="27" spans="2:7" x14ac:dyDescent="0.2">
      <c r="B27" s="11">
        <v>0.35</v>
      </c>
      <c r="C27" s="11"/>
      <c r="D27" s="11"/>
      <c r="E27" s="210">
        <f>E21</f>
        <v>5200</v>
      </c>
      <c r="F27" s="239">
        <f>E27/((1-$E$1)*$I$1)</f>
        <v>148.57142857142858</v>
      </c>
      <c r="G27" t="s">
        <v>53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6B359-D3E8-5A4D-A9E9-05C8AD048309}">
  <sheetPr codeName="Sheet17"/>
  <dimension ref="A5:O30"/>
  <sheetViews>
    <sheetView workbookViewId="0">
      <selection activeCell="H18" sqref="H18"/>
    </sheetView>
  </sheetViews>
  <sheetFormatPr baseColWidth="10" defaultRowHeight="16" x14ac:dyDescent="0.2"/>
  <sheetData>
    <row r="5" spans="2:15" x14ac:dyDescent="0.2">
      <c r="F5" s="226" t="s">
        <v>399</v>
      </c>
    </row>
    <row r="6" spans="2:15" x14ac:dyDescent="0.2">
      <c r="D6" s="236" t="s">
        <v>475</v>
      </c>
    </row>
    <row r="8" spans="2:15" x14ac:dyDescent="0.2">
      <c r="C8" t="s">
        <v>501</v>
      </c>
    </row>
    <row r="9" spans="2:15" ht="17" thickBot="1" x14ac:dyDescent="0.25">
      <c r="B9" s="70"/>
      <c r="C9" s="216" t="s">
        <v>15</v>
      </c>
      <c r="D9" s="4" t="s">
        <v>3</v>
      </c>
      <c r="E9" s="5"/>
      <c r="F9" s="215"/>
      <c r="G9" s="213"/>
      <c r="H9" s="214"/>
      <c r="I9" s="5"/>
      <c r="J9" s="224" t="s">
        <v>382</v>
      </c>
      <c r="K9" s="224"/>
      <c r="L9" s="224"/>
      <c r="M9" s="5"/>
      <c r="O9" s="211"/>
    </row>
    <row r="10" spans="2:15" x14ac:dyDescent="0.2">
      <c r="C10" t="s">
        <v>521</v>
      </c>
    </row>
    <row r="11" spans="2:15" x14ac:dyDescent="0.2">
      <c r="C11" t="s">
        <v>566</v>
      </c>
    </row>
    <row r="12" spans="2:15" s="228" customFormat="1" x14ac:dyDescent="0.2">
      <c r="C12" s="229"/>
      <c r="D12" s="230" t="s">
        <v>24</v>
      </c>
      <c r="E12" s="231" t="str">
        <f>Health!D5</f>
        <v>No</v>
      </c>
      <c r="F12" s="232" t="str">
        <f ca="1">OFFSET(txts!J$12,Health!K$7,0)</f>
        <v>No</v>
      </c>
      <c r="G12" s="233">
        <f ca="1">Health!F32</f>
        <v>0</v>
      </c>
      <c r="H12" s="233">
        <f ca="1">Health!G32</f>
        <v>0</v>
      </c>
      <c r="I12" s="233">
        <f ca="1">Health!H32</f>
        <v>0</v>
      </c>
      <c r="J12" s="234"/>
      <c r="K12" s="235"/>
      <c r="L12" s="228">
        <f>Health!K7</f>
        <v>6</v>
      </c>
    </row>
    <row r="16" spans="2:15" x14ac:dyDescent="0.2">
      <c r="C16" t="s">
        <v>588</v>
      </c>
    </row>
    <row r="20" spans="1:3" x14ac:dyDescent="0.2">
      <c r="C20" t="s">
        <v>498</v>
      </c>
    </row>
    <row r="21" spans="1:3" x14ac:dyDescent="0.2">
      <c r="C21" t="s">
        <v>499</v>
      </c>
    </row>
    <row r="24" spans="1:3" x14ac:dyDescent="0.2">
      <c r="C24" t="s">
        <v>511</v>
      </c>
    </row>
    <row r="27" spans="1:3" x14ac:dyDescent="0.2">
      <c r="A27" t="s">
        <v>587</v>
      </c>
    </row>
    <row r="28" spans="1:3" x14ac:dyDescent="0.2">
      <c r="B28" t="s">
        <v>542</v>
      </c>
    </row>
    <row r="29" spans="1:3" x14ac:dyDescent="0.2">
      <c r="B29" t="s">
        <v>589</v>
      </c>
    </row>
    <row r="30" spans="1:3" x14ac:dyDescent="0.2">
      <c r="B30" s="237" t="s">
        <v>500</v>
      </c>
    </row>
  </sheetData>
  <sheetProtection algorithmName="SHA-512" hashValue="D/wRo4E/+0PdTahoh7Gzm17W1IAanbrRV8N2tj02H/JUQpBefjeGr5AoOTIUmYzUygJ9tuSe0JW0IuR9gHAVyA==" saltValue="lLC6Y1ZEvnSMaMpaeIJzXA==" spinCount="100000" sheet="1" objects="1" scenarios="1"/>
  <conditionalFormatting sqref="E12">
    <cfRule type="cellIs" dxfId="0" priority="1" operator="equal">
      <formula>"Yes"</formula>
    </cfRule>
  </conditionalFormatting>
  <dataValidations count="1">
    <dataValidation type="list" allowBlank="1" showInputMessage="1" showErrorMessage="1" sqref="D9" xr:uid="{038F1486-B615-A349-8CC4-539EB835A6FB}">
      <formula1>yesno</formula1>
    </dataValidation>
  </dataValidations>
  <hyperlinks>
    <hyperlink ref="J9" r:id="rId1" xr:uid="{CF1385D1-AC1B-624F-B2D6-178940404690}"/>
    <hyperlink ref="D12" location="Health!A1" display="Health" xr:uid="{F6B55766-B73A-9346-9625-4130EE03F0F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D9AD-82C7-AD47-ACBE-B428464E6C03}">
  <sheetPr codeName="Sheet18"/>
  <dimension ref="B1:S68"/>
  <sheetViews>
    <sheetView zoomScaleNormal="120" workbookViewId="0">
      <selection activeCell="T34" sqref="T34"/>
    </sheetView>
  </sheetViews>
  <sheetFormatPr baseColWidth="10" defaultColWidth="11" defaultRowHeight="16" x14ac:dyDescent="0.2"/>
  <cols>
    <col min="2" max="2" width="45.5" customWidth="1"/>
    <col min="3" max="3" width="17.5" customWidth="1"/>
    <col min="4" max="4" width="18.1640625" customWidth="1"/>
    <col min="5" max="5" width="15.83203125" customWidth="1"/>
    <col min="6" max="6" width="14.1640625" customWidth="1"/>
    <col min="9" max="9" width="14.83203125" customWidth="1"/>
    <col min="10" max="10" width="11.6640625" bestFit="1" customWidth="1"/>
  </cols>
  <sheetData>
    <row r="1" spans="3:14" x14ac:dyDescent="0.2">
      <c r="J1" s="2" t="s">
        <v>39</v>
      </c>
    </row>
    <row r="2" spans="3:14" x14ac:dyDescent="0.2">
      <c r="C2" t="s">
        <v>150</v>
      </c>
      <c r="D2" s="11">
        <v>0.28000000000000003</v>
      </c>
      <c r="E2" t="s">
        <v>151</v>
      </c>
    </row>
    <row r="3" spans="3:14" x14ac:dyDescent="0.2">
      <c r="D3" s="11">
        <v>0.35</v>
      </c>
      <c r="E3" t="s">
        <v>152</v>
      </c>
    </row>
    <row r="4" spans="3:14" x14ac:dyDescent="0.2">
      <c r="C4" s="2" t="s">
        <v>153</v>
      </c>
      <c r="D4">
        <v>100</v>
      </c>
      <c r="E4" t="s">
        <v>154</v>
      </c>
    </row>
    <row r="5" spans="3:14" x14ac:dyDescent="0.2">
      <c r="D5">
        <f>D4*60*24*30/1024/1024/1024</f>
        <v>4.0233135223388672E-3</v>
      </c>
      <c r="E5" t="s">
        <v>155</v>
      </c>
    </row>
    <row r="7" spans="3:14" x14ac:dyDescent="0.2">
      <c r="D7" s="125">
        <f>0.95*24*30</f>
        <v>683.99999999999989</v>
      </c>
      <c r="E7" s="67" t="s">
        <v>156</v>
      </c>
      <c r="F7">
        <v>16</v>
      </c>
      <c r="G7">
        <v>64</v>
      </c>
      <c r="H7" s="8">
        <f>D7*(1-IBM_Cloud_Discount)</f>
        <v>444.59999999999997</v>
      </c>
      <c r="I7" t="s">
        <v>157</v>
      </c>
      <c r="J7" s="8">
        <f>D7*(1-IBM_Cloud_Discount)*1.1</f>
        <v>489.06</v>
      </c>
      <c r="L7">
        <v>0.67925000000000002</v>
      </c>
    </row>
    <row r="8" spans="3:14" x14ac:dyDescent="0.2">
      <c r="C8" s="2" t="s">
        <v>158</v>
      </c>
      <c r="D8" t="s">
        <v>159</v>
      </c>
      <c r="E8" t="s">
        <v>160</v>
      </c>
      <c r="F8" t="s">
        <v>161</v>
      </c>
      <c r="G8" t="s">
        <v>47</v>
      </c>
      <c r="N8" t="s">
        <v>41</v>
      </c>
    </row>
    <row r="9" spans="3:14" x14ac:dyDescent="0.2">
      <c r="D9" s="125">
        <f>0.95*24*30</f>
        <v>683.99999999999989</v>
      </c>
      <c r="E9" s="67" t="s">
        <v>156</v>
      </c>
      <c r="F9">
        <v>16</v>
      </c>
      <c r="G9">
        <v>64</v>
      </c>
      <c r="H9" s="8">
        <f>D9*(1-IBM_Cloud_Discount)</f>
        <v>444.59999999999997</v>
      </c>
      <c r="I9" t="s">
        <v>157</v>
      </c>
      <c r="J9" s="8">
        <f>D9*(1-IBM_Cloud_Discount)*1.1</f>
        <v>489.06</v>
      </c>
      <c r="L9">
        <v>0.67925000000000002</v>
      </c>
      <c r="N9">
        <v>30.56625</v>
      </c>
    </row>
    <row r="10" spans="3:14" x14ac:dyDescent="0.2">
      <c r="D10" s="125">
        <f>0.5*24*30</f>
        <v>360</v>
      </c>
      <c r="E10" s="67" t="s">
        <v>162</v>
      </c>
      <c r="F10">
        <v>8</v>
      </c>
      <c r="G10" s="2">
        <v>32</v>
      </c>
      <c r="H10" s="8">
        <f>D10*(1-IBM_Cloud_Discount)</f>
        <v>234</v>
      </c>
      <c r="J10" s="8">
        <f>D10*(1-IBM_Cloud_Discount)*1.1</f>
        <v>257.40000000000003</v>
      </c>
      <c r="N10">
        <f>VM8_Cost/F10</f>
        <v>32.175000000000004</v>
      </c>
    </row>
    <row r="11" spans="3:14" x14ac:dyDescent="0.2">
      <c r="C11" s="2" t="s">
        <v>163</v>
      </c>
      <c r="D11" s="184">
        <v>3554</v>
      </c>
      <c r="E11" s="185" t="s">
        <v>164</v>
      </c>
      <c r="F11" s="6">
        <v>32</v>
      </c>
      <c r="G11" s="6">
        <v>384</v>
      </c>
      <c r="H11" s="8">
        <f>D11*(1-IBM_SL_Discount)</f>
        <v>2558.88</v>
      </c>
      <c r="I11" t="s">
        <v>165</v>
      </c>
      <c r="J11" s="8">
        <f>D11*(1-IBM_Cloud_Discount)*1.1</f>
        <v>2541.11</v>
      </c>
    </row>
    <row r="12" spans="3:14" x14ac:dyDescent="0.2">
      <c r="D12" s="184">
        <f>(1.59*24*30)*1.3</f>
        <v>1488.2400000000002</v>
      </c>
      <c r="E12" s="185" t="s">
        <v>166</v>
      </c>
      <c r="F12" s="6">
        <v>8</v>
      </c>
      <c r="G12" s="6">
        <v>60</v>
      </c>
      <c r="H12" s="8"/>
      <c r="J12" s="8"/>
    </row>
    <row r="13" spans="3:14" x14ac:dyDescent="0.2">
      <c r="D13" s="124"/>
      <c r="E13" s="10"/>
      <c r="F13" s="10"/>
      <c r="G13" s="10"/>
      <c r="H13" s="8"/>
      <c r="J13" s="8"/>
    </row>
    <row r="14" spans="3:14" x14ac:dyDescent="0.2">
      <c r="C14" s="2" t="s">
        <v>167</v>
      </c>
    </row>
    <row r="15" spans="3:14" x14ac:dyDescent="0.2">
      <c r="C15" s="2"/>
      <c r="D15" t="s">
        <v>168</v>
      </c>
      <c r="F15" t="s">
        <v>169</v>
      </c>
    </row>
    <row r="16" spans="3:14" x14ac:dyDescent="0.2">
      <c r="C16" s="2"/>
      <c r="D16" t="s">
        <v>170</v>
      </c>
      <c r="E16" t="s">
        <v>171</v>
      </c>
      <c r="F16" t="s">
        <v>172</v>
      </c>
      <c r="H16">
        <f>2*6*0.1 *F27</f>
        <v>0.84000000000000008</v>
      </c>
    </row>
    <row r="17" spans="3:19" x14ac:dyDescent="0.2">
      <c r="C17" s="2"/>
    </row>
    <row r="18" spans="3:19" x14ac:dyDescent="0.2">
      <c r="C18" t="s">
        <v>173</v>
      </c>
      <c r="D18" t="s">
        <v>32</v>
      </c>
      <c r="E18" s="1" t="s">
        <v>174</v>
      </c>
      <c r="F18">
        <v>0.48</v>
      </c>
      <c r="G18" s="1" t="s">
        <v>175</v>
      </c>
      <c r="H18">
        <v>0.05</v>
      </c>
      <c r="I18" s="1" t="s">
        <v>176</v>
      </c>
      <c r="J18" s="186">
        <f>F18+H18</f>
        <v>0.53</v>
      </c>
      <c r="L18" t="s">
        <v>177</v>
      </c>
      <c r="M18" s="187">
        <f>J18*(1-IBM_SL_Discount)</f>
        <v>0.38159999999999999</v>
      </c>
      <c r="N18" t="s">
        <v>178</v>
      </c>
      <c r="O18" s="186"/>
      <c r="S18" s="187"/>
    </row>
    <row r="19" spans="3:19" x14ac:dyDescent="0.2">
      <c r="D19" t="s">
        <v>179</v>
      </c>
      <c r="E19" s="1" t="s">
        <v>180</v>
      </c>
      <c r="F19">
        <v>0.1</v>
      </c>
      <c r="G19" s="1" t="s">
        <v>175</v>
      </c>
      <c r="H19">
        <v>0.05</v>
      </c>
      <c r="I19" s="1" t="s">
        <v>176</v>
      </c>
      <c r="J19" s="186">
        <f>F19+H19</f>
        <v>0.15000000000000002</v>
      </c>
      <c r="L19" t="s">
        <v>177</v>
      </c>
      <c r="M19" s="187">
        <f>J19*(1-IBM_SL_Discount)</f>
        <v>0.10800000000000001</v>
      </c>
      <c r="N19" t="s">
        <v>178</v>
      </c>
      <c r="O19" s="186"/>
      <c r="S19" s="187"/>
    </row>
    <row r="20" spans="3:19" x14ac:dyDescent="0.2">
      <c r="E20" s="1"/>
      <c r="G20" s="1" t="s">
        <v>181</v>
      </c>
      <c r="H20">
        <v>7.0000000000000007E-2</v>
      </c>
      <c r="I20" s="1" t="s">
        <v>182</v>
      </c>
      <c r="J20" s="186">
        <f>100*H20</f>
        <v>7.0000000000000009</v>
      </c>
      <c r="L20" t="s">
        <v>177</v>
      </c>
      <c r="M20" s="187">
        <f>J20*(1-IBM_SL_Discount)</f>
        <v>5.04</v>
      </c>
      <c r="N20" t="s">
        <v>183</v>
      </c>
      <c r="O20" s="186"/>
      <c r="S20" s="187"/>
    </row>
    <row r="21" spans="3:19" x14ac:dyDescent="0.2">
      <c r="I21" s="188" t="s">
        <v>184</v>
      </c>
      <c r="J21" s="186">
        <f>1000*H20</f>
        <v>70</v>
      </c>
      <c r="L21" t="s">
        <v>177</v>
      </c>
      <c r="M21" s="187">
        <f>J21*(1-IBM_SL_Discount)</f>
        <v>50.4</v>
      </c>
      <c r="N21" t="s">
        <v>183</v>
      </c>
      <c r="O21" s="186"/>
      <c r="S21" s="187"/>
    </row>
    <row r="22" spans="3:19" x14ac:dyDescent="0.2">
      <c r="I22" s="188" t="s">
        <v>185</v>
      </c>
      <c r="J22" s="189">
        <f>4000*H20</f>
        <v>280</v>
      </c>
      <c r="L22" t="s">
        <v>177</v>
      </c>
      <c r="M22" s="187">
        <f>J22*(1-IBM_SL_Discount)</f>
        <v>201.6</v>
      </c>
      <c r="N22" t="s">
        <v>183</v>
      </c>
      <c r="O22" s="186"/>
      <c r="S22" s="187"/>
    </row>
    <row r="23" spans="3:19" x14ac:dyDescent="0.2">
      <c r="I23" s="186"/>
      <c r="M23" s="187"/>
      <c r="O23" s="186"/>
      <c r="S23" s="187"/>
    </row>
    <row r="24" spans="3:19" x14ac:dyDescent="0.2">
      <c r="J24" s="187"/>
      <c r="O24" s="186"/>
      <c r="S24" s="187"/>
    </row>
    <row r="25" spans="3:19" x14ac:dyDescent="0.2">
      <c r="J25" s="187"/>
      <c r="O25" s="186"/>
      <c r="S25" s="187"/>
    </row>
    <row r="26" spans="3:19" x14ac:dyDescent="0.2">
      <c r="C26" s="2" t="s">
        <v>186</v>
      </c>
      <c r="F26" s="186"/>
      <c r="J26" s="187"/>
      <c r="O26" s="186"/>
      <c r="S26" s="187"/>
    </row>
    <row r="27" spans="3:19" x14ac:dyDescent="0.2">
      <c r="D27" t="s">
        <v>187</v>
      </c>
      <c r="F27" s="9">
        <v>0.7</v>
      </c>
      <c r="J27" s="187"/>
      <c r="O27" s="186"/>
      <c r="S27" s="187"/>
    </row>
    <row r="28" spans="3:19" x14ac:dyDescent="0.2">
      <c r="D28" t="s">
        <v>188</v>
      </c>
      <c r="F28" s="190">
        <v>3</v>
      </c>
      <c r="H28" t="s">
        <v>189</v>
      </c>
      <c r="J28" s="190">
        <v>3</v>
      </c>
      <c r="O28" s="186"/>
      <c r="S28" s="187"/>
    </row>
    <row r="29" spans="3:19" x14ac:dyDescent="0.2">
      <c r="D29" t="s">
        <v>190</v>
      </c>
      <c r="F29" s="190">
        <f>F28*4</f>
        <v>12</v>
      </c>
      <c r="H29" t="s">
        <v>190</v>
      </c>
      <c r="J29" s="190">
        <f>J28*4</f>
        <v>12</v>
      </c>
      <c r="O29" s="186"/>
      <c r="S29" s="187"/>
    </row>
    <row r="30" spans="3:19" x14ac:dyDescent="0.2">
      <c r="D30" t="s">
        <v>191</v>
      </c>
      <c r="F30" s="191">
        <f>(1-F27)*F29</f>
        <v>3.6000000000000005</v>
      </c>
      <c r="H30" t="s">
        <v>192</v>
      </c>
      <c r="J30" s="191">
        <f>(1-J27)*12</f>
        <v>12</v>
      </c>
      <c r="O30" s="186"/>
      <c r="S30" s="187"/>
    </row>
    <row r="31" spans="3:19" x14ac:dyDescent="0.2">
      <c r="D31" t="s">
        <v>193</v>
      </c>
      <c r="F31" s="186">
        <f>25.26/1024</f>
        <v>2.4667968750000002E-2</v>
      </c>
      <c r="G31" s="192">
        <f>(1-IBM_SL_Discount)*F31</f>
        <v>1.7760937500000001E-2</v>
      </c>
      <c r="I31" t="s">
        <v>194</v>
      </c>
      <c r="J31" s="187"/>
      <c r="N31">
        <v>0.21313124999999999</v>
      </c>
      <c r="O31" s="186"/>
      <c r="S31" s="187"/>
    </row>
    <row r="32" spans="3:19" x14ac:dyDescent="0.2">
      <c r="E32" s="193"/>
    </row>
    <row r="34" spans="3:7" x14ac:dyDescent="0.2">
      <c r="C34" s="2" t="s">
        <v>195</v>
      </c>
      <c r="D34" t="s">
        <v>196</v>
      </c>
      <c r="E34" t="s">
        <v>33</v>
      </c>
      <c r="F34" t="s">
        <v>197</v>
      </c>
    </row>
    <row r="35" spans="3:7" x14ac:dyDescent="0.2">
      <c r="C35" t="s">
        <v>198</v>
      </c>
      <c r="D35">
        <f>E35/1024</f>
        <v>0.244140625</v>
      </c>
      <c r="E35">
        <f>250</f>
        <v>250</v>
      </c>
      <c r="F35">
        <v>0</v>
      </c>
      <c r="G35" t="s">
        <v>199</v>
      </c>
    </row>
    <row r="36" spans="3:7" x14ac:dyDescent="0.2">
      <c r="D36" s="194">
        <v>1</v>
      </c>
      <c r="E36">
        <f>D36*1024</f>
        <v>1024</v>
      </c>
      <c r="F36" s="195">
        <v>45</v>
      </c>
    </row>
    <row r="37" spans="3:7" x14ac:dyDescent="0.2">
      <c r="D37" s="194">
        <v>5</v>
      </c>
      <c r="E37">
        <f>D37*1024</f>
        <v>5120</v>
      </c>
      <c r="F37" s="195">
        <v>370</v>
      </c>
    </row>
    <row r="38" spans="3:7" x14ac:dyDescent="0.2">
      <c r="D38" s="6">
        <v>10</v>
      </c>
      <c r="E38">
        <f>D38*1024</f>
        <v>10240</v>
      </c>
      <c r="F38" s="195">
        <v>682</v>
      </c>
    </row>
    <row r="39" spans="3:7" x14ac:dyDescent="0.2">
      <c r="D39" s="6">
        <v>20</v>
      </c>
      <c r="E39">
        <f>D39*1024</f>
        <v>20480</v>
      </c>
      <c r="F39" s="195">
        <v>999</v>
      </c>
    </row>
    <row r="40" spans="3:7" x14ac:dyDescent="0.2">
      <c r="D40" t="s">
        <v>200</v>
      </c>
      <c r="F40" s="125">
        <v>0.09</v>
      </c>
      <c r="G40" t="s">
        <v>201</v>
      </c>
    </row>
    <row r="44" spans="3:7" x14ac:dyDescent="0.2">
      <c r="C44" s="2" t="s">
        <v>202</v>
      </c>
      <c r="D44" s="196">
        <v>110000</v>
      </c>
      <c r="E44" t="s">
        <v>40</v>
      </c>
    </row>
    <row r="45" spans="3:7" x14ac:dyDescent="0.2">
      <c r="C45" t="s">
        <v>203</v>
      </c>
      <c r="D45">
        <v>12</v>
      </c>
      <c r="E45" t="s">
        <v>204</v>
      </c>
    </row>
    <row r="46" spans="3:7" x14ac:dyDescent="0.2">
      <c r="C46" t="s">
        <v>205</v>
      </c>
      <c r="D46">
        <v>1</v>
      </c>
      <c r="E46" t="s">
        <v>206</v>
      </c>
    </row>
    <row r="47" spans="3:7" x14ac:dyDescent="0.2">
      <c r="D47">
        <v>0.75</v>
      </c>
      <c r="E47" t="s">
        <v>207</v>
      </c>
    </row>
    <row r="50" spans="2:7" x14ac:dyDescent="0.2">
      <c r="C50" t="s">
        <v>208</v>
      </c>
      <c r="D50" t="s">
        <v>38</v>
      </c>
      <c r="E50" t="s">
        <v>209</v>
      </c>
    </row>
    <row r="51" spans="2:7" x14ac:dyDescent="0.2">
      <c r="C51" t="s">
        <v>210</v>
      </c>
      <c r="D51" t="s">
        <v>34</v>
      </c>
      <c r="E51" t="s">
        <v>35</v>
      </c>
      <c r="F51" t="s">
        <v>36</v>
      </c>
      <c r="G51" t="s">
        <v>37</v>
      </c>
    </row>
    <row r="61" spans="2:7" ht="17" thickBot="1" x14ac:dyDescent="0.25">
      <c r="B61" t="s">
        <v>539</v>
      </c>
      <c r="C61" s="125">
        <v>781.5</v>
      </c>
    </row>
    <row r="62" spans="2:7" x14ac:dyDescent="0.2">
      <c r="B62" s="197" t="s">
        <v>240</v>
      </c>
      <c r="C62" s="198">
        <v>492.48</v>
      </c>
      <c r="D62" s="199">
        <f>C62*12</f>
        <v>5909.76</v>
      </c>
    </row>
    <row r="63" spans="2:7" x14ac:dyDescent="0.2">
      <c r="B63" s="200" t="s">
        <v>241</v>
      </c>
      <c r="C63" s="209">
        <f>C62/16</f>
        <v>30.78</v>
      </c>
      <c r="D63" s="202">
        <f>D62/16</f>
        <v>369.36</v>
      </c>
    </row>
    <row r="64" spans="2:7" x14ac:dyDescent="0.2">
      <c r="B64" s="200" t="s">
        <v>242</v>
      </c>
      <c r="C64" s="209">
        <f>C63*12</f>
        <v>369.36</v>
      </c>
      <c r="D64" s="202">
        <f>C64/12</f>
        <v>30.78</v>
      </c>
    </row>
    <row r="65" spans="2:4" x14ac:dyDescent="0.2">
      <c r="B65" s="200" t="s">
        <v>243</v>
      </c>
      <c r="C65" s="203">
        <v>9.6524329692154909E-2</v>
      </c>
      <c r="D65" s="204"/>
    </row>
    <row r="66" spans="2:4" x14ac:dyDescent="0.2">
      <c r="B66" s="200" t="s">
        <v>244</v>
      </c>
      <c r="C66" s="203">
        <f>C65*12</f>
        <v>1.1582919563058589</v>
      </c>
      <c r="D66" s="204"/>
    </row>
    <row r="67" spans="2:4" x14ac:dyDescent="0.2">
      <c r="B67" s="200" t="s">
        <v>245</v>
      </c>
      <c r="C67" s="201">
        <v>23</v>
      </c>
      <c r="D67" s="202">
        <f>C67*12</f>
        <v>276</v>
      </c>
    </row>
    <row r="68" spans="2:4" ht="17" thickBot="1" x14ac:dyDescent="0.25">
      <c r="B68" s="205" t="s">
        <v>246</v>
      </c>
      <c r="C68" s="206">
        <v>50</v>
      </c>
      <c r="D68" s="207">
        <f>C68*12</f>
        <v>600</v>
      </c>
    </row>
  </sheetData>
  <sheetProtection algorithmName="SHA-512" hashValue="JVP7JgCrz4Qh4LHwTdP9QeSzimieoJuFQWZQ5MJxvfyV+sddMrDVPzdskLqa8BfzR+ct+YNgMeDDRXWCH0fjNw==" saltValue="0ywieFNxWiGqffboeTpIXw==" spinCount="100000" sheet="1" objects="1" scenarios="1"/>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3A88-8A5D-684C-B84E-4F1857765174}">
  <sheetPr codeName="Sheet19"/>
  <dimension ref="A1:AG136"/>
  <sheetViews>
    <sheetView zoomScale="110" zoomScaleNormal="110" workbookViewId="0">
      <pane xSplit="2" topLeftCell="C1" activePane="topRight" state="frozen"/>
      <selection activeCell="H37" sqref="H37"/>
      <selection pane="topRight" activeCell="A16" sqref="A16:XFD16"/>
    </sheetView>
  </sheetViews>
  <sheetFormatPr baseColWidth="10" defaultColWidth="11" defaultRowHeight="16" x14ac:dyDescent="0.2"/>
  <cols>
    <col min="1" max="1" width="5.83203125" customWidth="1"/>
    <col min="2" max="2" width="24.83203125" customWidth="1"/>
    <col min="3" max="3" width="13.1640625" customWidth="1"/>
    <col min="4" max="12" width="9.33203125" customWidth="1"/>
    <col min="13" max="13" width="10.83203125" customWidth="1"/>
    <col min="14" max="15" width="16.83203125" style="46" bestFit="1" customWidth="1"/>
    <col min="16" max="16" width="9.33203125" customWidth="1"/>
    <col min="17" max="17" width="16.6640625" customWidth="1"/>
    <col min="18" max="33" width="9.33203125" customWidth="1"/>
  </cols>
  <sheetData>
    <row r="1" spans="1:33" x14ac:dyDescent="0.2">
      <c r="A1" s="12" t="s">
        <v>49</v>
      </c>
      <c r="B1" s="13"/>
      <c r="C1" s="14" t="s">
        <v>50</v>
      </c>
      <c r="D1" s="15" t="s">
        <v>51</v>
      </c>
      <c r="E1" s="15"/>
      <c r="F1" s="15"/>
      <c r="G1" s="15"/>
      <c r="H1" s="16"/>
      <c r="I1" s="15" t="s">
        <v>52</v>
      </c>
      <c r="J1" s="15"/>
      <c r="K1" s="15"/>
      <c r="L1" s="15"/>
      <c r="M1" s="16"/>
      <c r="N1" s="15" t="s">
        <v>8</v>
      </c>
      <c r="O1" s="15"/>
      <c r="P1" s="15"/>
      <c r="Q1" s="15"/>
      <c r="R1" s="16"/>
      <c r="S1" s="15" t="s">
        <v>13</v>
      </c>
      <c r="T1" s="15"/>
      <c r="U1" s="15"/>
      <c r="V1" s="15"/>
      <c r="W1" s="16"/>
      <c r="X1" s="15" t="s">
        <v>53</v>
      </c>
      <c r="Y1" s="15"/>
      <c r="Z1" s="15"/>
      <c r="AA1" s="15"/>
      <c r="AB1" s="16"/>
      <c r="AC1" s="15" t="s">
        <v>54</v>
      </c>
      <c r="AD1" s="15"/>
      <c r="AE1" s="15"/>
      <c r="AF1" s="15"/>
      <c r="AG1" s="16"/>
    </row>
    <row r="2" spans="1:33" x14ac:dyDescent="0.2">
      <c r="A2" s="17" t="s">
        <v>55</v>
      </c>
      <c r="B2" s="18"/>
      <c r="C2" s="19"/>
      <c r="D2" s="20" t="s">
        <v>4</v>
      </c>
      <c r="E2" s="20" t="s">
        <v>27</v>
      </c>
      <c r="F2" s="20" t="s">
        <v>56</v>
      </c>
      <c r="G2" s="20" t="s">
        <v>57</v>
      </c>
      <c r="H2" s="18" t="s">
        <v>58</v>
      </c>
      <c r="I2" s="20" t="s">
        <v>4</v>
      </c>
      <c r="J2" s="20" t="s">
        <v>47</v>
      </c>
      <c r="K2" s="20" t="str">
        <f>F2</f>
        <v>File Storage (GB)</v>
      </c>
      <c r="L2" s="20" t="s">
        <v>57</v>
      </c>
      <c r="M2" s="18" t="s">
        <v>58</v>
      </c>
      <c r="N2" s="20" t="s">
        <v>4</v>
      </c>
      <c r="O2" s="20" t="s">
        <v>47</v>
      </c>
      <c r="P2" s="20" t="str">
        <f>K2</f>
        <v>File Storage (GB)</v>
      </c>
      <c r="Q2" s="20" t="s">
        <v>57</v>
      </c>
      <c r="R2" s="18" t="s">
        <v>58</v>
      </c>
      <c r="S2" s="20" t="s">
        <v>4</v>
      </c>
      <c r="T2" s="20" t="s">
        <v>47</v>
      </c>
      <c r="U2" s="20" t="str">
        <f>P2</f>
        <v>File Storage (GB)</v>
      </c>
      <c r="V2" s="20" t="s">
        <v>57</v>
      </c>
      <c r="W2" s="18" t="s">
        <v>58</v>
      </c>
      <c r="X2" s="20" t="s">
        <v>4</v>
      </c>
      <c r="Y2" s="20" t="s">
        <v>47</v>
      </c>
      <c r="Z2" s="20" t="str">
        <f>U2</f>
        <v>File Storage (GB)</v>
      </c>
      <c r="AA2" s="20" t="s">
        <v>57</v>
      </c>
      <c r="AB2" s="18" t="s">
        <v>58</v>
      </c>
      <c r="AC2" s="20" t="s">
        <v>4</v>
      </c>
      <c r="AD2" s="20" t="s">
        <v>47</v>
      </c>
      <c r="AE2" s="20" t="str">
        <f>Z2</f>
        <v>File Storage (GB)</v>
      </c>
      <c r="AF2" s="20" t="s">
        <v>57</v>
      </c>
      <c r="AG2" s="18" t="s">
        <v>58</v>
      </c>
    </row>
    <row r="3" spans="1:33" x14ac:dyDescent="0.2">
      <c r="A3" s="21" t="s">
        <v>59</v>
      </c>
      <c r="B3" s="22"/>
      <c r="C3" s="23"/>
      <c r="D3" s="24"/>
      <c r="E3" s="24" t="s">
        <v>27</v>
      </c>
      <c r="F3" s="24"/>
      <c r="G3" s="24"/>
      <c r="H3" s="25"/>
      <c r="I3" s="24"/>
      <c r="J3" s="24"/>
      <c r="K3" s="24"/>
      <c r="L3" s="24"/>
      <c r="M3" s="25"/>
      <c r="N3" s="24"/>
      <c r="O3" s="24"/>
      <c r="P3" s="24"/>
      <c r="Q3" s="24"/>
      <c r="R3" s="25"/>
      <c r="S3" s="24"/>
      <c r="T3" s="24"/>
      <c r="U3" s="24"/>
      <c r="V3" s="24"/>
      <c r="W3" s="25"/>
      <c r="X3" s="24"/>
      <c r="Y3" s="24"/>
      <c r="Z3" s="24"/>
      <c r="AA3" s="24"/>
      <c r="AB3" s="25"/>
      <c r="AC3" s="24"/>
      <c r="AD3" s="24"/>
      <c r="AE3" s="24"/>
      <c r="AF3" s="24"/>
      <c r="AG3" s="25"/>
    </row>
    <row r="4" spans="1:33" x14ac:dyDescent="0.2">
      <c r="A4" s="26"/>
      <c r="B4" s="27" t="s">
        <v>60</v>
      </c>
      <c r="C4" s="28">
        <f>2*4+3*4</f>
        <v>20</v>
      </c>
      <c r="D4" s="29">
        <f>3*4</f>
        <v>12</v>
      </c>
      <c r="E4" s="29" t="s">
        <v>27</v>
      </c>
      <c r="F4" s="29"/>
      <c r="G4" s="29"/>
      <c r="H4" s="30"/>
      <c r="I4" s="29">
        <f>A4</f>
        <v>0</v>
      </c>
      <c r="J4" s="29"/>
      <c r="K4" s="29"/>
      <c r="L4" s="29"/>
      <c r="M4" s="30"/>
      <c r="N4" s="29">
        <f>C4</f>
        <v>20</v>
      </c>
      <c r="O4" s="29"/>
      <c r="P4" s="29"/>
      <c r="Q4" s="29"/>
      <c r="R4" s="30"/>
      <c r="S4" s="29">
        <f>N4</f>
        <v>20</v>
      </c>
      <c r="T4" s="29"/>
      <c r="U4" s="29"/>
      <c r="V4" s="29"/>
      <c r="W4" s="30"/>
      <c r="X4" s="29">
        <f>N4</f>
        <v>20</v>
      </c>
      <c r="Y4" s="29"/>
      <c r="Z4" s="29"/>
      <c r="AA4" s="29"/>
      <c r="AB4" s="30"/>
      <c r="AC4" s="29">
        <f>S4</f>
        <v>20</v>
      </c>
      <c r="AD4" s="29"/>
      <c r="AE4" s="29"/>
      <c r="AF4" s="29"/>
      <c r="AG4" s="30"/>
    </row>
    <row r="5" spans="1:33" x14ac:dyDescent="0.2">
      <c r="A5" s="26"/>
      <c r="B5" s="31" t="s">
        <v>61</v>
      </c>
      <c r="C5" s="32">
        <f>2*2</f>
        <v>4</v>
      </c>
      <c r="D5" s="33">
        <v>5</v>
      </c>
      <c r="E5" s="33" t="s">
        <v>27</v>
      </c>
      <c r="F5" s="33">
        <v>120</v>
      </c>
      <c r="G5" s="33"/>
      <c r="H5" s="34"/>
      <c r="I5" s="33">
        <v>5</v>
      </c>
      <c r="J5" s="33"/>
      <c r="K5" s="35">
        <f>F5</f>
        <v>120</v>
      </c>
      <c r="L5" s="35"/>
      <c r="M5" s="34"/>
      <c r="N5" s="33">
        <v>5</v>
      </c>
      <c r="O5" s="33"/>
      <c r="P5" s="35">
        <f>K5</f>
        <v>120</v>
      </c>
      <c r="Q5" s="35"/>
      <c r="R5" s="34"/>
      <c r="S5" s="33">
        <v>8</v>
      </c>
      <c r="T5" s="33"/>
      <c r="U5" s="35">
        <f>P5</f>
        <v>120</v>
      </c>
      <c r="V5" s="35"/>
      <c r="W5" s="34"/>
      <c r="X5" s="33">
        <v>8</v>
      </c>
      <c r="Y5" s="33"/>
      <c r="Z5" s="35">
        <f>U5</f>
        <v>120</v>
      </c>
      <c r="AA5" s="35"/>
      <c r="AB5" s="34"/>
      <c r="AC5" s="33">
        <v>8</v>
      </c>
      <c r="AD5" s="33"/>
      <c r="AE5" s="35">
        <f>Z5</f>
        <v>120</v>
      </c>
      <c r="AF5" s="35"/>
      <c r="AG5" s="34"/>
    </row>
    <row r="6" spans="1:33" x14ac:dyDescent="0.2">
      <c r="A6" s="26"/>
      <c r="B6" s="31" t="s">
        <v>62</v>
      </c>
      <c r="C6" s="32">
        <f>4+4</f>
        <v>8</v>
      </c>
      <c r="D6" s="36">
        <v>2</v>
      </c>
      <c r="E6" s="37" t="s">
        <v>27</v>
      </c>
      <c r="F6" s="33">
        <v>20</v>
      </c>
      <c r="G6" s="33"/>
      <c r="H6" s="38"/>
      <c r="I6" s="36">
        <v>2</v>
      </c>
      <c r="J6" s="37">
        <v>2</v>
      </c>
      <c r="K6" s="33">
        <f>F6</f>
        <v>20</v>
      </c>
      <c r="L6" s="33"/>
      <c r="M6" s="38"/>
      <c r="N6" s="36">
        <v>2</v>
      </c>
      <c r="O6" s="37">
        <v>2</v>
      </c>
      <c r="P6" s="33">
        <f>K6</f>
        <v>20</v>
      </c>
      <c r="Q6" s="33"/>
      <c r="R6" s="38"/>
      <c r="S6" s="36">
        <v>2</v>
      </c>
      <c r="T6" s="37">
        <v>3</v>
      </c>
      <c r="U6" s="33">
        <f>P6</f>
        <v>20</v>
      </c>
      <c r="V6" s="33"/>
      <c r="W6" s="38"/>
      <c r="X6" s="36">
        <f>N6</f>
        <v>2</v>
      </c>
      <c r="Y6" s="37"/>
      <c r="Z6" s="33">
        <f>U6</f>
        <v>20</v>
      </c>
      <c r="AA6" s="33"/>
      <c r="AB6" s="38"/>
      <c r="AC6" s="36">
        <f>S6</f>
        <v>2</v>
      </c>
      <c r="AD6" s="37"/>
      <c r="AE6" s="33">
        <f>Z6</f>
        <v>20</v>
      </c>
      <c r="AF6" s="33"/>
      <c r="AG6" s="38"/>
    </row>
    <row r="7" spans="1:33" x14ac:dyDescent="0.2">
      <c r="A7" s="26"/>
      <c r="B7" s="31"/>
      <c r="C7" s="32"/>
      <c r="D7" s="33"/>
      <c r="E7" s="33" t="s">
        <v>27</v>
      </c>
      <c r="F7" s="33"/>
      <c r="G7" s="33"/>
      <c r="H7" s="34"/>
      <c r="I7" s="33"/>
      <c r="J7" s="33"/>
      <c r="K7" s="33"/>
      <c r="L7" s="33"/>
      <c r="M7" s="34"/>
      <c r="N7" s="33"/>
      <c r="O7" s="33"/>
      <c r="P7" s="33"/>
      <c r="Q7" s="33"/>
      <c r="R7" s="34"/>
      <c r="S7" s="33"/>
      <c r="T7" s="33"/>
      <c r="U7" s="33"/>
      <c r="V7" s="33"/>
      <c r="W7" s="34"/>
      <c r="X7" s="33"/>
      <c r="Y7" s="33"/>
      <c r="Z7" s="33"/>
      <c r="AA7" s="33"/>
      <c r="AB7" s="34"/>
      <c r="AC7" s="33"/>
      <c r="AD7" s="33"/>
      <c r="AE7" s="33"/>
      <c r="AF7" s="33"/>
      <c r="AG7" s="34"/>
    </row>
    <row r="8" spans="1:33" x14ac:dyDescent="0.2">
      <c r="A8" s="21" t="s">
        <v>63</v>
      </c>
      <c r="B8" s="22"/>
      <c r="C8" s="23"/>
      <c r="D8" s="39"/>
      <c r="E8" s="39" t="s">
        <v>27</v>
      </c>
      <c r="F8" s="39"/>
      <c r="G8" s="39"/>
      <c r="H8" s="40"/>
      <c r="I8" s="39"/>
      <c r="J8" s="39"/>
      <c r="K8" s="39"/>
      <c r="L8" s="39"/>
      <c r="M8" s="40"/>
      <c r="N8" s="39"/>
      <c r="O8" s="39"/>
      <c r="P8" s="39"/>
      <c r="Q8" s="39"/>
      <c r="R8" s="40"/>
      <c r="S8" s="39"/>
      <c r="T8" s="39"/>
      <c r="U8" s="39"/>
      <c r="V8" s="39"/>
      <c r="W8" s="40"/>
      <c r="X8" s="39"/>
      <c r="Y8" s="39"/>
      <c r="Z8" s="39"/>
      <c r="AA8" s="39"/>
      <c r="AB8" s="40"/>
      <c r="AC8" s="39"/>
      <c r="AD8" s="39"/>
      <c r="AE8" s="39"/>
      <c r="AF8" s="39"/>
      <c r="AG8" s="40"/>
    </row>
    <row r="9" spans="1:33" x14ac:dyDescent="0.2">
      <c r="A9" s="26"/>
      <c r="B9" s="31" t="s">
        <v>64</v>
      </c>
      <c r="C9" s="32"/>
      <c r="D9" s="33">
        <v>1</v>
      </c>
      <c r="E9" s="33"/>
      <c r="F9" s="33"/>
      <c r="G9" s="33"/>
      <c r="H9" s="34"/>
      <c r="I9" s="33">
        <v>2</v>
      </c>
      <c r="J9" s="33"/>
      <c r="K9" s="33"/>
      <c r="L9" s="33"/>
      <c r="M9" s="34"/>
      <c r="N9" s="33">
        <v>2</v>
      </c>
      <c r="O9" s="33"/>
      <c r="P9" s="33"/>
      <c r="Q9" s="33"/>
      <c r="R9" s="34"/>
      <c r="S9" s="33">
        <v>4</v>
      </c>
      <c r="T9" s="33"/>
      <c r="U9" s="33"/>
      <c r="V9" s="33"/>
      <c r="W9" s="34"/>
      <c r="X9" s="33">
        <v>8</v>
      </c>
      <c r="Y9" s="33"/>
      <c r="Z9" s="33"/>
      <c r="AA9" s="33"/>
      <c r="AB9" s="34"/>
      <c r="AC9" s="33">
        <v>16</v>
      </c>
      <c r="AD9" s="33"/>
      <c r="AE9" s="33"/>
      <c r="AF9" s="33"/>
      <c r="AG9" s="34"/>
    </row>
    <row r="10" spans="1:33" x14ac:dyDescent="0.2">
      <c r="A10" s="26"/>
      <c r="B10" s="31" t="s">
        <v>65</v>
      </c>
      <c r="C10" s="32"/>
      <c r="D10" s="33">
        <v>1</v>
      </c>
      <c r="E10" s="33"/>
      <c r="F10" s="33"/>
      <c r="G10" s="33"/>
      <c r="H10" s="34"/>
      <c r="I10" s="33">
        <v>2</v>
      </c>
      <c r="J10" s="33"/>
      <c r="K10" s="33"/>
      <c r="L10" s="33"/>
      <c r="M10" s="34"/>
      <c r="N10" s="33">
        <v>2</v>
      </c>
      <c r="O10" s="33"/>
      <c r="P10" s="33"/>
      <c r="Q10" s="33"/>
      <c r="R10" s="34"/>
      <c r="S10" s="33">
        <v>3</v>
      </c>
      <c r="T10" s="33"/>
      <c r="U10" s="33"/>
      <c r="V10" s="33"/>
      <c r="W10" s="34"/>
      <c r="X10" s="33">
        <v>4</v>
      </c>
      <c r="Y10" s="33"/>
      <c r="Z10" s="33"/>
      <c r="AA10" s="33"/>
      <c r="AB10" s="34"/>
      <c r="AC10" s="33">
        <v>16</v>
      </c>
      <c r="AD10" s="33"/>
      <c r="AE10" s="33"/>
      <c r="AF10" s="33"/>
      <c r="AG10" s="34"/>
    </row>
    <row r="11" spans="1:33" s="46" customFormat="1" x14ac:dyDescent="0.2">
      <c r="A11" s="41"/>
      <c r="B11" s="42" t="s">
        <v>66</v>
      </c>
      <c r="C11" s="43"/>
      <c r="D11" s="44">
        <v>12</v>
      </c>
      <c r="E11" s="44">
        <v>48</v>
      </c>
      <c r="F11" s="44"/>
      <c r="G11" s="44"/>
      <c r="H11" s="45"/>
      <c r="I11" s="44">
        <v>12</v>
      </c>
      <c r="J11" s="44">
        <v>48</v>
      </c>
      <c r="K11" s="44"/>
      <c r="L11" s="44"/>
      <c r="M11" s="45"/>
      <c r="N11" s="44">
        <v>12</v>
      </c>
      <c r="O11" s="44">
        <v>48</v>
      </c>
      <c r="P11" s="44"/>
      <c r="Q11" s="44"/>
      <c r="R11" s="45"/>
      <c r="S11" s="44">
        <v>22</v>
      </c>
      <c r="T11" s="44">
        <v>88</v>
      </c>
      <c r="U11" s="44"/>
      <c r="V11" s="44"/>
      <c r="W11" s="45"/>
      <c r="X11" s="44">
        <v>22</v>
      </c>
      <c r="Y11" s="44">
        <v>88</v>
      </c>
      <c r="Z11" s="44"/>
      <c r="AA11" s="44"/>
      <c r="AB11" s="45"/>
      <c r="AC11" s="44">
        <f>X11</f>
        <v>22</v>
      </c>
      <c r="AD11" s="44"/>
      <c r="AE11" s="44"/>
      <c r="AF11" s="44"/>
      <c r="AG11" s="45"/>
    </row>
    <row r="12" spans="1:33" x14ac:dyDescent="0.2">
      <c r="A12" s="26"/>
      <c r="B12" s="31"/>
      <c r="C12" s="32"/>
      <c r="D12" s="33"/>
      <c r="E12" s="33"/>
      <c r="F12" s="33"/>
      <c r="G12" s="33"/>
      <c r="H12" s="34"/>
      <c r="I12" s="33"/>
      <c r="J12" s="33"/>
      <c r="K12" s="33"/>
      <c r="L12" s="33"/>
      <c r="M12" s="34"/>
      <c r="N12" s="33"/>
      <c r="O12" s="33"/>
      <c r="P12" s="33"/>
      <c r="Q12" s="33"/>
      <c r="R12" s="34"/>
      <c r="S12" s="33"/>
      <c r="T12" s="33"/>
      <c r="U12" s="33"/>
      <c r="V12" s="33"/>
      <c r="W12" s="34"/>
      <c r="X12" s="33"/>
      <c r="Y12" s="33"/>
      <c r="Z12" s="33"/>
      <c r="AA12" s="33"/>
      <c r="AB12" s="34"/>
      <c r="AC12" s="33"/>
      <c r="AD12" s="33"/>
      <c r="AE12" s="33"/>
      <c r="AF12" s="33"/>
      <c r="AG12" s="34"/>
    </row>
    <row r="13" spans="1:33" x14ac:dyDescent="0.2">
      <c r="A13" s="21" t="s">
        <v>67</v>
      </c>
      <c r="B13" s="22"/>
      <c r="C13" s="23"/>
      <c r="D13" s="39"/>
      <c r="E13" s="39"/>
      <c r="F13" s="39"/>
      <c r="G13" s="39"/>
      <c r="H13" s="40"/>
      <c r="I13" s="39"/>
      <c r="J13" s="39"/>
      <c r="K13" s="39"/>
      <c r="L13" s="39"/>
      <c r="M13" s="40"/>
      <c r="N13" s="39"/>
      <c r="O13" s="39"/>
      <c r="P13" s="39"/>
      <c r="Q13" s="39"/>
      <c r="R13" s="40"/>
      <c r="S13" s="39"/>
      <c r="T13" s="39"/>
      <c r="U13" s="39"/>
      <c r="V13" s="39"/>
      <c r="W13" s="40"/>
      <c r="X13" s="39"/>
      <c r="Y13" s="39"/>
      <c r="Z13" s="39"/>
      <c r="AA13" s="39"/>
      <c r="AB13" s="40"/>
      <c r="AC13" s="39"/>
      <c r="AD13" s="39"/>
      <c r="AE13" s="39"/>
      <c r="AF13" s="39"/>
      <c r="AG13" s="40"/>
    </row>
    <row r="14" spans="1:33" x14ac:dyDescent="0.2">
      <c r="A14" s="26"/>
      <c r="B14" s="31" t="s">
        <v>68</v>
      </c>
      <c r="C14" s="32">
        <v>3</v>
      </c>
      <c r="D14" s="33">
        <v>6</v>
      </c>
      <c r="E14" s="33"/>
      <c r="F14" s="33">
        <v>655</v>
      </c>
      <c r="G14" s="33"/>
      <c r="H14" s="34"/>
      <c r="I14" s="33">
        <v>6</v>
      </c>
      <c r="J14" s="33"/>
      <c r="K14" s="33">
        <f>F14</f>
        <v>655</v>
      </c>
      <c r="L14" s="33"/>
      <c r="M14" s="34"/>
      <c r="N14" s="33">
        <v>6</v>
      </c>
      <c r="O14" s="33"/>
      <c r="P14" s="33">
        <f>K14</f>
        <v>655</v>
      </c>
      <c r="Q14" s="33"/>
      <c r="R14" s="34"/>
      <c r="S14" s="33">
        <f>N14</f>
        <v>6</v>
      </c>
      <c r="T14" s="33"/>
      <c r="U14" s="33">
        <f>P14</f>
        <v>655</v>
      </c>
      <c r="V14" s="33"/>
      <c r="W14" s="34"/>
      <c r="X14" s="33">
        <f>N14</f>
        <v>6</v>
      </c>
      <c r="Y14" s="33"/>
      <c r="Z14" s="33">
        <f>U14</f>
        <v>655</v>
      </c>
      <c r="AA14" s="33"/>
      <c r="AB14" s="34"/>
      <c r="AC14" s="33">
        <f>S14</f>
        <v>6</v>
      </c>
      <c r="AD14" s="33"/>
      <c r="AE14" s="33">
        <f>Z14</f>
        <v>655</v>
      </c>
      <c r="AF14" s="33"/>
      <c r="AG14" s="34"/>
    </row>
    <row r="15" spans="1:33" x14ac:dyDescent="0.2">
      <c r="A15" s="26"/>
      <c r="B15" s="31" t="s">
        <v>69</v>
      </c>
      <c r="C15" s="32"/>
      <c r="D15" s="33">
        <v>6</v>
      </c>
      <c r="E15" s="33">
        <v>100</v>
      </c>
      <c r="F15" s="33">
        <v>512</v>
      </c>
      <c r="G15" s="33"/>
      <c r="H15" s="47">
        <v>1024</v>
      </c>
      <c r="I15" s="33">
        <v>12</v>
      </c>
      <c r="J15" s="33">
        <v>100</v>
      </c>
      <c r="K15" s="33">
        <v>512</v>
      </c>
      <c r="L15" s="33"/>
      <c r="M15" s="47">
        <v>1024</v>
      </c>
      <c r="N15" s="33">
        <v>12</v>
      </c>
      <c r="O15" s="33">
        <v>100</v>
      </c>
      <c r="P15" s="33">
        <v>1024</v>
      </c>
      <c r="Q15" s="33"/>
      <c r="R15" s="47">
        <v>1024</v>
      </c>
      <c r="S15" s="33">
        <v>17</v>
      </c>
      <c r="T15" s="33">
        <v>228</v>
      </c>
      <c r="U15" s="33">
        <v>2048</v>
      </c>
      <c r="V15" s="33"/>
      <c r="W15" s="47">
        <v>2048</v>
      </c>
      <c r="X15" s="33">
        <v>33</v>
      </c>
      <c r="Y15" s="33">
        <v>484</v>
      </c>
      <c r="Z15" s="33">
        <v>1024</v>
      </c>
      <c r="AA15" s="33"/>
      <c r="AB15" s="47">
        <v>8192</v>
      </c>
      <c r="AC15" s="33">
        <f t="shared" ref="AC15:AC23" si="0">X15</f>
        <v>33</v>
      </c>
      <c r="AD15" s="33"/>
      <c r="AE15" s="33">
        <v>1024</v>
      </c>
      <c r="AF15" s="33"/>
      <c r="AG15" s="47">
        <v>1024</v>
      </c>
    </row>
    <row r="16" spans="1:33" s="222" customFormat="1" x14ac:dyDescent="0.2">
      <c r="A16" s="217"/>
      <c r="B16" s="218" t="s">
        <v>70</v>
      </c>
      <c r="C16" s="219"/>
      <c r="D16" s="220">
        <v>6</v>
      </c>
      <c r="E16" s="220">
        <v>100</v>
      </c>
      <c r="F16" s="220">
        <v>256</v>
      </c>
      <c r="G16" s="220"/>
      <c r="H16" s="221">
        <v>1200</v>
      </c>
      <c r="I16" s="220">
        <v>12</v>
      </c>
      <c r="J16" s="220">
        <v>100</v>
      </c>
      <c r="K16" s="220">
        <v>256</v>
      </c>
      <c r="L16" s="220"/>
      <c r="M16" s="221">
        <v>1200</v>
      </c>
      <c r="N16" s="220">
        <v>12</v>
      </c>
      <c r="O16" s="220">
        <v>601.37345995312501</v>
      </c>
      <c r="P16" s="220">
        <v>512</v>
      </c>
      <c r="Q16" s="220"/>
      <c r="R16" s="221">
        <v>1200</v>
      </c>
      <c r="S16" s="220">
        <v>17</v>
      </c>
      <c r="T16" s="220">
        <v>228</v>
      </c>
      <c r="U16" s="220">
        <v>1024</v>
      </c>
      <c r="V16" s="220"/>
      <c r="W16" s="221">
        <v>1200</v>
      </c>
      <c r="X16" s="220">
        <v>33</v>
      </c>
      <c r="Y16" s="220">
        <v>484</v>
      </c>
      <c r="Z16" s="220">
        <v>1200</v>
      </c>
      <c r="AA16" s="220"/>
      <c r="AB16" s="221">
        <v>1200</v>
      </c>
      <c r="AC16" s="220">
        <f t="shared" si="0"/>
        <v>33</v>
      </c>
      <c r="AD16" s="220"/>
      <c r="AE16" s="220">
        <v>1200</v>
      </c>
      <c r="AF16" s="220"/>
      <c r="AG16" s="221">
        <v>1200</v>
      </c>
    </row>
    <row r="17" spans="1:33" x14ac:dyDescent="0.2">
      <c r="A17" s="26"/>
      <c r="B17" s="31" t="s">
        <v>71</v>
      </c>
      <c r="C17" s="32"/>
      <c r="D17" s="33">
        <v>6</v>
      </c>
      <c r="E17" s="33">
        <v>100</v>
      </c>
      <c r="F17" s="33">
        <v>256</v>
      </c>
      <c r="G17" s="33"/>
      <c r="H17" s="47">
        <v>2800</v>
      </c>
      <c r="I17" s="33">
        <v>12</v>
      </c>
      <c r="J17" s="33">
        <v>100</v>
      </c>
      <c r="K17" s="33">
        <v>256</v>
      </c>
      <c r="L17" s="33"/>
      <c r="M17" s="47">
        <v>2800</v>
      </c>
      <c r="N17" s="33">
        <v>12</v>
      </c>
      <c r="O17" s="33"/>
      <c r="P17" s="33">
        <v>512</v>
      </c>
      <c r="Q17" s="33"/>
      <c r="R17" s="47">
        <v>2800</v>
      </c>
      <c r="S17" s="33">
        <v>17</v>
      </c>
      <c r="T17" s="33">
        <v>228</v>
      </c>
      <c r="U17" s="33">
        <v>1200</v>
      </c>
      <c r="V17" s="33"/>
      <c r="W17" s="47">
        <v>2800</v>
      </c>
      <c r="X17" s="33">
        <v>33</v>
      </c>
      <c r="Y17" s="33">
        <v>484</v>
      </c>
      <c r="Z17" s="33">
        <v>2800</v>
      </c>
      <c r="AA17" s="33"/>
      <c r="AB17" s="47">
        <v>2800</v>
      </c>
      <c r="AC17" s="33">
        <f t="shared" si="0"/>
        <v>33</v>
      </c>
      <c r="AD17" s="33"/>
      <c r="AE17" s="33">
        <v>2800</v>
      </c>
      <c r="AF17" s="33"/>
      <c r="AG17" s="47">
        <v>2800</v>
      </c>
    </row>
    <row r="18" spans="1:33" x14ac:dyDescent="0.2">
      <c r="A18" s="26"/>
      <c r="B18" s="31" t="s">
        <v>48</v>
      </c>
      <c r="C18" s="32">
        <v>8</v>
      </c>
      <c r="D18" s="36">
        <v>1</v>
      </c>
      <c r="E18" s="37"/>
      <c r="F18" s="37">
        <v>20</v>
      </c>
      <c r="G18" s="37"/>
      <c r="H18" s="47"/>
      <c r="I18" s="36">
        <v>2</v>
      </c>
      <c r="J18" s="37"/>
      <c r="K18" s="37">
        <v>20</v>
      </c>
      <c r="L18" s="37"/>
      <c r="M18" s="47"/>
      <c r="N18" s="36">
        <v>2</v>
      </c>
      <c r="O18" s="37"/>
      <c r="P18" s="37">
        <v>20</v>
      </c>
      <c r="Q18" s="37"/>
      <c r="R18" s="47"/>
      <c r="S18" s="36">
        <v>2</v>
      </c>
      <c r="T18" s="37"/>
      <c r="U18" s="37">
        <v>30</v>
      </c>
      <c r="V18" s="37"/>
      <c r="W18" s="47"/>
      <c r="X18" s="36">
        <v>4</v>
      </c>
      <c r="Y18" s="37">
        <v>96</v>
      </c>
      <c r="Z18" s="37">
        <v>40</v>
      </c>
      <c r="AA18" s="37"/>
      <c r="AB18" s="47"/>
      <c r="AC18" s="36">
        <f t="shared" si="0"/>
        <v>4</v>
      </c>
      <c r="AD18" s="37"/>
      <c r="AE18" s="37"/>
      <c r="AF18" s="37"/>
      <c r="AG18" s="47"/>
    </row>
    <row r="19" spans="1:33" s="6" customFormat="1" x14ac:dyDescent="0.2">
      <c r="A19" s="26"/>
      <c r="B19" s="31" t="s">
        <v>72</v>
      </c>
      <c r="C19" s="48">
        <v>8</v>
      </c>
      <c r="D19" s="33">
        <v>3</v>
      </c>
      <c r="E19" s="33">
        <v>6</v>
      </c>
      <c r="F19" s="33">
        <v>300</v>
      </c>
      <c r="G19" s="33"/>
      <c r="H19" s="34"/>
      <c r="I19" s="33">
        <v>3</v>
      </c>
      <c r="J19" s="33">
        <v>6</v>
      </c>
      <c r="K19" s="33">
        <v>300</v>
      </c>
      <c r="L19" s="33"/>
      <c r="M19" s="34"/>
      <c r="N19" s="33">
        <v>3</v>
      </c>
      <c r="O19" s="33"/>
      <c r="P19" s="33">
        <v>300</v>
      </c>
      <c r="Q19" s="33"/>
      <c r="R19" s="34"/>
      <c r="S19" s="33">
        <v>5</v>
      </c>
      <c r="T19" s="33">
        <v>10</v>
      </c>
      <c r="U19" s="33">
        <v>500</v>
      </c>
      <c r="V19" s="33"/>
      <c r="W19" s="34"/>
      <c r="X19" s="33">
        <v>10</v>
      </c>
      <c r="Y19" s="33">
        <v>20</v>
      </c>
      <c r="Z19" s="33">
        <v>1000</v>
      </c>
      <c r="AA19" s="33"/>
      <c r="AB19" s="34"/>
      <c r="AC19" s="33">
        <v>20</v>
      </c>
      <c r="AD19" s="33">
        <v>40</v>
      </c>
      <c r="AE19" s="33">
        <v>1200</v>
      </c>
      <c r="AF19" s="33"/>
      <c r="AG19" s="34"/>
    </row>
    <row r="20" spans="1:33" x14ac:dyDescent="0.2">
      <c r="A20" s="26"/>
      <c r="B20" s="31" t="s">
        <v>73</v>
      </c>
      <c r="C20" s="32"/>
      <c r="D20" s="33">
        <v>12</v>
      </c>
      <c r="E20" s="33">
        <v>48</v>
      </c>
      <c r="F20" s="33"/>
      <c r="G20" s="33"/>
      <c r="H20" s="34"/>
      <c r="I20" s="33">
        <v>12</v>
      </c>
      <c r="J20" s="33">
        <v>48</v>
      </c>
      <c r="K20" s="33"/>
      <c r="L20" s="33"/>
      <c r="M20" s="34"/>
      <c r="N20" s="33">
        <v>12</v>
      </c>
      <c r="O20" s="33">
        <v>1676.8907015906254</v>
      </c>
      <c r="P20" s="33"/>
      <c r="Q20" s="33"/>
      <c r="R20" s="34"/>
      <c r="S20" s="33">
        <v>22</v>
      </c>
      <c r="T20" s="33">
        <v>88</v>
      </c>
      <c r="U20" s="33"/>
      <c r="V20" s="33"/>
      <c r="W20" s="34"/>
      <c r="X20" s="33">
        <v>22</v>
      </c>
      <c r="Y20" s="33">
        <v>88</v>
      </c>
      <c r="Z20" s="33"/>
      <c r="AA20" s="33"/>
      <c r="AB20" s="34"/>
      <c r="AC20" s="33">
        <f t="shared" si="0"/>
        <v>22</v>
      </c>
      <c r="AD20" s="33"/>
      <c r="AE20" s="33"/>
      <c r="AF20" s="33"/>
      <c r="AG20" s="34"/>
    </row>
    <row r="21" spans="1:33" x14ac:dyDescent="0.2">
      <c r="A21" s="181"/>
      <c r="B21" s="182" t="s">
        <v>74</v>
      </c>
      <c r="C21" s="183"/>
      <c r="D21" s="36">
        <f>3+26</f>
        <v>29</v>
      </c>
      <c r="E21" s="36">
        <v>96</v>
      </c>
      <c r="F21" s="36">
        <v>650</v>
      </c>
      <c r="G21" s="36"/>
      <c r="H21" s="38"/>
      <c r="I21" s="36">
        <f>3+26</f>
        <v>29</v>
      </c>
      <c r="J21" s="36">
        <v>96</v>
      </c>
      <c r="K21" s="36">
        <v>650</v>
      </c>
      <c r="L21" s="36"/>
      <c r="M21" s="38"/>
      <c r="N21" s="36">
        <v>47</v>
      </c>
      <c r="O21" s="36"/>
      <c r="P21" s="36">
        <v>890</v>
      </c>
      <c r="Q21" s="36"/>
      <c r="R21" s="38"/>
      <c r="S21" s="36">
        <f>3+44</f>
        <v>47</v>
      </c>
      <c r="T21" s="36">
        <v>150</v>
      </c>
      <c r="U21" s="36">
        <v>890</v>
      </c>
      <c r="V21" s="36"/>
      <c r="W21" s="38"/>
      <c r="X21" s="36">
        <f>3+71</f>
        <v>74</v>
      </c>
      <c r="Y21" s="36">
        <v>200</v>
      </c>
      <c r="Z21" s="36">
        <v>1890</v>
      </c>
      <c r="AA21" s="36"/>
      <c r="AB21" s="38"/>
      <c r="AC21" s="36">
        <v>50</v>
      </c>
      <c r="AD21" s="36">
        <v>300</v>
      </c>
      <c r="AE21" s="36">
        <v>3090</v>
      </c>
      <c r="AF21" s="36"/>
      <c r="AG21" s="38"/>
    </row>
    <row r="22" spans="1:33" x14ac:dyDescent="0.2">
      <c r="A22" s="26"/>
      <c r="B22" s="31" t="s">
        <v>75</v>
      </c>
      <c r="C22" s="32"/>
      <c r="D22" s="33">
        <v>16</v>
      </c>
      <c r="E22" s="33">
        <v>64</v>
      </c>
      <c r="F22" s="33"/>
      <c r="G22" s="33"/>
      <c r="H22" s="34"/>
      <c r="I22" s="33">
        <v>32</v>
      </c>
      <c r="J22" s="33">
        <v>128</v>
      </c>
      <c r="K22" s="33"/>
      <c r="L22" s="33"/>
      <c r="M22" s="34"/>
      <c r="N22" s="33">
        <v>32</v>
      </c>
      <c r="O22" s="33">
        <v>601.37345995312501</v>
      </c>
      <c r="P22" s="33"/>
      <c r="Q22" s="33"/>
      <c r="R22" s="34"/>
      <c r="S22" s="33">
        <v>32</v>
      </c>
      <c r="T22" s="33">
        <v>128</v>
      </c>
      <c r="U22" s="33"/>
      <c r="V22" s="33"/>
      <c r="W22" s="34"/>
      <c r="X22" s="33">
        <v>48</v>
      </c>
      <c r="Y22" s="33">
        <v>182</v>
      </c>
      <c r="Z22" s="33"/>
      <c r="AA22" s="33"/>
      <c r="AB22" s="34"/>
      <c r="AC22" s="33">
        <f t="shared" si="0"/>
        <v>48</v>
      </c>
      <c r="AD22" s="33"/>
      <c r="AE22" s="33"/>
      <c r="AF22" s="33"/>
      <c r="AG22" s="34"/>
    </row>
    <row r="23" spans="1:33" x14ac:dyDescent="0.2">
      <c r="A23" s="26"/>
      <c r="B23" s="31" t="s">
        <v>76</v>
      </c>
      <c r="C23" s="32"/>
      <c r="D23" s="36">
        <v>9</v>
      </c>
      <c r="E23" s="37">
        <v>32</v>
      </c>
      <c r="F23" s="37"/>
      <c r="G23" s="37"/>
      <c r="H23" s="47"/>
      <c r="I23" s="36">
        <v>9</v>
      </c>
      <c r="J23" s="37">
        <v>32</v>
      </c>
      <c r="K23" s="37"/>
      <c r="L23" s="37"/>
      <c r="M23" s="47"/>
      <c r="N23" s="36">
        <v>9</v>
      </c>
      <c r="O23" s="37"/>
      <c r="P23" s="37"/>
      <c r="Q23" s="37"/>
      <c r="R23" s="47"/>
      <c r="S23" s="36">
        <v>9</v>
      </c>
      <c r="T23" s="37">
        <v>32</v>
      </c>
      <c r="U23" s="37"/>
      <c r="V23" s="37"/>
      <c r="W23" s="47"/>
      <c r="X23" s="36">
        <v>18</v>
      </c>
      <c r="Y23" s="37">
        <v>120</v>
      </c>
      <c r="Z23" s="37"/>
      <c r="AA23" s="37"/>
      <c r="AB23" s="47"/>
      <c r="AC23" s="36">
        <f t="shared" si="0"/>
        <v>18</v>
      </c>
      <c r="AD23" s="37"/>
      <c r="AE23" s="37"/>
      <c r="AF23" s="37"/>
      <c r="AG23" s="47"/>
    </row>
    <row r="24" spans="1:33" x14ac:dyDescent="0.2">
      <c r="A24" s="26"/>
      <c r="B24" s="31"/>
      <c r="C24" s="32"/>
      <c r="D24" s="36"/>
      <c r="E24" s="37"/>
      <c r="F24" s="37"/>
      <c r="G24" s="37"/>
      <c r="H24" s="47"/>
      <c r="I24" s="36"/>
      <c r="J24" s="37"/>
      <c r="K24" s="37"/>
      <c r="L24" s="37"/>
      <c r="M24" s="47"/>
      <c r="N24" s="36"/>
      <c r="O24" s="37"/>
      <c r="P24" s="37"/>
      <c r="Q24" s="37"/>
      <c r="R24" s="47"/>
      <c r="S24" s="36"/>
      <c r="T24" s="37"/>
      <c r="U24" s="37"/>
      <c r="V24" s="37"/>
      <c r="W24" s="47"/>
      <c r="X24" s="36"/>
      <c r="Y24" s="37"/>
      <c r="Z24" s="37"/>
      <c r="AA24" s="37"/>
      <c r="AB24" s="47"/>
      <c r="AC24" s="36"/>
      <c r="AD24" s="37"/>
      <c r="AE24" s="37"/>
      <c r="AF24" s="37"/>
      <c r="AG24" s="47"/>
    </row>
    <row r="25" spans="1:33" x14ac:dyDescent="0.2">
      <c r="A25" s="21" t="s">
        <v>77</v>
      </c>
      <c r="B25" s="22"/>
      <c r="C25" s="23"/>
      <c r="D25" s="39"/>
      <c r="E25" s="39"/>
      <c r="F25" s="39"/>
      <c r="G25" s="39"/>
      <c r="H25" s="40"/>
      <c r="I25" s="39"/>
      <c r="J25" s="39"/>
      <c r="K25" s="39"/>
      <c r="L25" s="39"/>
      <c r="M25" s="40"/>
      <c r="N25" s="39"/>
      <c r="O25" s="39"/>
      <c r="P25" s="39"/>
      <c r="Q25" s="39"/>
      <c r="R25" s="40"/>
      <c r="S25" s="39"/>
      <c r="T25" s="39"/>
      <c r="U25" s="39"/>
      <c r="V25" s="39"/>
      <c r="W25" s="40"/>
      <c r="X25" s="39"/>
      <c r="Y25" s="39"/>
      <c r="Z25" s="39"/>
      <c r="AA25" s="39"/>
      <c r="AB25" s="40"/>
      <c r="AC25" s="39"/>
      <c r="AD25" s="39"/>
      <c r="AE25" s="39"/>
      <c r="AF25" s="39"/>
      <c r="AG25" s="40"/>
    </row>
    <row r="26" spans="1:33" x14ac:dyDescent="0.2">
      <c r="A26" s="26"/>
      <c r="B26" s="31" t="s">
        <v>78</v>
      </c>
      <c r="C26" s="32"/>
      <c r="D26" s="33">
        <v>3</v>
      </c>
      <c r="E26" s="37"/>
      <c r="F26" s="37">
        <v>0</v>
      </c>
      <c r="G26" s="37"/>
      <c r="H26" s="47">
        <v>0</v>
      </c>
      <c r="I26" s="33">
        <v>3</v>
      </c>
      <c r="J26" s="37"/>
      <c r="K26" s="37">
        <v>0</v>
      </c>
      <c r="L26" s="37"/>
      <c r="M26" s="47">
        <v>0</v>
      </c>
      <c r="N26" s="33">
        <v>3</v>
      </c>
      <c r="O26" s="37">
        <v>1676.8907015906254</v>
      </c>
      <c r="P26" s="37">
        <v>0</v>
      </c>
      <c r="Q26" s="37"/>
      <c r="R26" s="47">
        <v>0</v>
      </c>
      <c r="S26" s="33">
        <f>ROUND(N26*1.5,1)</f>
        <v>4.5</v>
      </c>
      <c r="T26" s="37">
        <v>21</v>
      </c>
      <c r="U26" s="37">
        <v>0</v>
      </c>
      <c r="V26" s="37"/>
      <c r="W26" s="47">
        <v>0</v>
      </c>
      <c r="X26" s="33">
        <f>ROUND(S26*1.1,0)</f>
        <v>5</v>
      </c>
      <c r="Y26" s="37">
        <v>60</v>
      </c>
      <c r="Z26" s="37">
        <v>0</v>
      </c>
      <c r="AA26" s="37"/>
      <c r="AB26" s="47">
        <v>0</v>
      </c>
      <c r="AC26" s="33">
        <f>X26</f>
        <v>5</v>
      </c>
      <c r="AD26" s="37"/>
      <c r="AE26" s="37">
        <v>0</v>
      </c>
      <c r="AF26" s="37"/>
      <c r="AG26" s="47">
        <v>0</v>
      </c>
    </row>
    <row r="27" spans="1:33" s="6" customFormat="1" x14ac:dyDescent="0.2">
      <c r="A27" s="26"/>
      <c r="B27" s="49" t="s">
        <v>80</v>
      </c>
      <c r="C27" s="48"/>
      <c r="D27" s="33">
        <v>3</v>
      </c>
      <c r="E27" s="33"/>
      <c r="F27" s="33">
        <v>1</v>
      </c>
      <c r="G27" s="33"/>
      <c r="H27" s="34"/>
      <c r="I27" s="33">
        <v>3</v>
      </c>
      <c r="J27" s="33"/>
      <c r="K27" s="33">
        <v>1</v>
      </c>
      <c r="L27" s="33"/>
      <c r="M27" s="34"/>
      <c r="N27" s="33">
        <v>3</v>
      </c>
      <c r="O27" s="33"/>
      <c r="P27" s="33">
        <v>1</v>
      </c>
      <c r="Q27" s="33"/>
      <c r="R27" s="34"/>
      <c r="S27" s="33">
        <v>5</v>
      </c>
      <c r="T27" s="33"/>
      <c r="U27" s="33">
        <v>5</v>
      </c>
      <c r="V27" s="33"/>
      <c r="W27" s="34"/>
      <c r="X27" s="33">
        <v>10</v>
      </c>
      <c r="Y27" s="33"/>
      <c r="Z27" s="33">
        <v>50</v>
      </c>
      <c r="AA27" s="33"/>
      <c r="AB27" s="34"/>
      <c r="AC27" s="33">
        <v>18</v>
      </c>
      <c r="AD27" s="33"/>
      <c r="AE27" s="33">
        <v>200</v>
      </c>
      <c r="AF27" s="33"/>
      <c r="AG27" s="34"/>
    </row>
    <row r="28" spans="1:33" x14ac:dyDescent="0.2">
      <c r="A28" s="26"/>
      <c r="B28" s="31" t="s">
        <v>79</v>
      </c>
      <c r="C28" s="32"/>
      <c r="D28" s="36">
        <v>7</v>
      </c>
      <c r="E28" s="37">
        <v>33</v>
      </c>
      <c r="F28" s="37"/>
      <c r="G28" s="37"/>
      <c r="H28" s="38"/>
      <c r="I28" s="36">
        <v>14</v>
      </c>
      <c r="J28" s="37">
        <v>60</v>
      </c>
      <c r="K28" s="37"/>
      <c r="L28" s="37"/>
      <c r="M28" s="38"/>
      <c r="N28" s="36">
        <v>14</v>
      </c>
      <c r="O28" s="37">
        <v>2261.0450435546877</v>
      </c>
      <c r="P28" s="37"/>
      <c r="Q28" s="37"/>
      <c r="R28" s="38"/>
      <c r="S28" s="36">
        <v>24</v>
      </c>
      <c r="T28" s="37">
        <v>80</v>
      </c>
      <c r="U28" s="37"/>
      <c r="V28" s="37"/>
      <c r="W28" s="38"/>
      <c r="X28" s="36">
        <v>100</v>
      </c>
      <c r="Y28" s="37">
        <v>1440</v>
      </c>
      <c r="Z28" s="37"/>
      <c r="AA28" s="37"/>
      <c r="AB28" s="38"/>
      <c r="AC28" s="36">
        <f>X28</f>
        <v>100</v>
      </c>
      <c r="AD28" s="37"/>
      <c r="AE28" s="37"/>
      <c r="AF28" s="37"/>
      <c r="AG28" s="38"/>
    </row>
    <row r="29" spans="1:33" x14ac:dyDescent="0.2">
      <c r="A29" s="26"/>
      <c r="B29" s="31" t="s">
        <v>24</v>
      </c>
      <c r="C29" s="32"/>
      <c r="D29" s="33">
        <v>4</v>
      </c>
      <c r="E29" s="37"/>
      <c r="F29" s="37"/>
      <c r="G29" s="37"/>
      <c r="H29" s="47"/>
      <c r="I29" s="33">
        <v>4</v>
      </c>
      <c r="J29" s="37"/>
      <c r="K29" s="37"/>
      <c r="L29" s="37"/>
      <c r="M29" s="47"/>
      <c r="N29" s="33">
        <v>4</v>
      </c>
      <c r="O29" s="37"/>
      <c r="P29" s="37"/>
      <c r="Q29" s="37"/>
      <c r="R29" s="47"/>
      <c r="S29" s="33">
        <v>4</v>
      </c>
      <c r="T29" s="37"/>
      <c r="U29" s="37"/>
      <c r="V29" s="37"/>
      <c r="W29" s="47"/>
      <c r="X29" s="37">
        <v>4</v>
      </c>
      <c r="Y29" s="37"/>
      <c r="Z29" s="37"/>
      <c r="AA29" s="37"/>
      <c r="AB29" s="47"/>
      <c r="AC29" s="37">
        <v>8</v>
      </c>
      <c r="AD29" s="37"/>
      <c r="AE29" s="37"/>
      <c r="AF29" s="37"/>
      <c r="AG29" s="47"/>
    </row>
    <row r="30" spans="1:33" x14ac:dyDescent="0.2">
      <c r="A30" s="26"/>
      <c r="B30" s="31" t="s">
        <v>25</v>
      </c>
      <c r="C30" s="32"/>
      <c r="D30" s="33">
        <v>2</v>
      </c>
      <c r="E30" s="37"/>
      <c r="F30" s="37">
        <f>F15</f>
        <v>512</v>
      </c>
      <c r="G30" s="37"/>
      <c r="H30" s="47">
        <f t="shared" ref="H30" si="1">H15</f>
        <v>1024</v>
      </c>
      <c r="I30" s="33">
        <v>2</v>
      </c>
      <c r="J30" s="37"/>
      <c r="K30" s="37">
        <f>K15</f>
        <v>512</v>
      </c>
      <c r="L30" s="37"/>
      <c r="M30" s="47">
        <f t="shared" ref="M30" si="2">M15</f>
        <v>1024</v>
      </c>
      <c r="N30" s="33">
        <v>2</v>
      </c>
      <c r="O30" s="37"/>
      <c r="P30" s="37">
        <f>P15</f>
        <v>1024</v>
      </c>
      <c r="Q30" s="37"/>
      <c r="R30" s="47">
        <f t="shared" ref="R30" si="3">R15</f>
        <v>1024</v>
      </c>
      <c r="S30" s="33">
        <v>2</v>
      </c>
      <c r="T30" s="37"/>
      <c r="U30" s="37">
        <f>U15</f>
        <v>2048</v>
      </c>
      <c r="V30" s="37"/>
      <c r="W30" s="47">
        <f t="shared" ref="W30" si="4">W15</f>
        <v>2048</v>
      </c>
      <c r="X30" s="37">
        <v>8</v>
      </c>
      <c r="Y30" s="37"/>
      <c r="Z30" s="37">
        <f t="shared" ref="Z30" si="5">Z15</f>
        <v>1024</v>
      </c>
      <c r="AA30" s="37"/>
      <c r="AB30" s="47">
        <f t="shared" ref="AB30" si="6">AB15</f>
        <v>8192</v>
      </c>
      <c r="AC30" s="37">
        <f>X30</f>
        <v>8</v>
      </c>
      <c r="AD30" s="37"/>
      <c r="AE30" s="37">
        <f t="shared" ref="AE30" si="7">AE15</f>
        <v>1024</v>
      </c>
      <c r="AF30" s="37"/>
      <c r="AG30" s="47">
        <f t="shared" ref="AG30" si="8">AG15</f>
        <v>1024</v>
      </c>
    </row>
    <row r="31" spans="1:33" x14ac:dyDescent="0.2">
      <c r="A31" s="26"/>
      <c r="B31" s="31" t="s">
        <v>26</v>
      </c>
      <c r="C31" s="32"/>
      <c r="D31" s="37">
        <v>4</v>
      </c>
      <c r="E31" s="37">
        <v>64</v>
      </c>
      <c r="F31" s="37">
        <v>100</v>
      </c>
      <c r="G31" s="37"/>
      <c r="H31" s="47">
        <v>100</v>
      </c>
      <c r="I31" s="37">
        <v>4</v>
      </c>
      <c r="J31" s="37">
        <v>64</v>
      </c>
      <c r="K31" s="37">
        <v>100</v>
      </c>
      <c r="L31" s="37"/>
      <c r="M31" s="47">
        <v>100</v>
      </c>
      <c r="N31" s="37">
        <v>8</v>
      </c>
      <c r="O31" s="37"/>
      <c r="P31" s="37">
        <v>240</v>
      </c>
      <c r="Q31" s="37"/>
      <c r="R31" s="47">
        <v>100</v>
      </c>
      <c r="S31" s="37">
        <v>16</v>
      </c>
      <c r="T31" s="37">
        <v>256</v>
      </c>
      <c r="U31" s="37">
        <v>480</v>
      </c>
      <c r="V31" s="37"/>
      <c r="W31" s="47">
        <v>100</v>
      </c>
      <c r="X31" s="37">
        <v>24</v>
      </c>
      <c r="Y31" s="37">
        <v>512</v>
      </c>
      <c r="Z31" s="37">
        <v>960</v>
      </c>
      <c r="AA31" s="37"/>
      <c r="AB31" s="47">
        <v>100</v>
      </c>
      <c r="AC31" s="37">
        <v>64</v>
      </c>
      <c r="AD31" s="37">
        <v>1024</v>
      </c>
      <c r="AE31" s="37">
        <v>1920</v>
      </c>
      <c r="AF31" s="37"/>
      <c r="AG31" s="47">
        <v>100</v>
      </c>
    </row>
    <row r="32" spans="1:33" x14ac:dyDescent="0.2">
      <c r="A32" s="26"/>
      <c r="B32" s="31" t="s">
        <v>28</v>
      </c>
      <c r="C32" s="32"/>
      <c r="D32" s="33">
        <v>6</v>
      </c>
      <c r="E32" s="33">
        <v>6</v>
      </c>
      <c r="F32" s="33">
        <v>100</v>
      </c>
      <c r="G32" s="33"/>
      <c r="H32" s="34">
        <v>10</v>
      </c>
      <c r="I32" s="33">
        <v>6</v>
      </c>
      <c r="J32" s="33">
        <v>6</v>
      </c>
      <c r="K32" s="33">
        <v>100</v>
      </c>
      <c r="L32" s="33"/>
      <c r="M32" s="34">
        <v>10</v>
      </c>
      <c r="N32" s="33">
        <v>12</v>
      </c>
      <c r="O32" s="33">
        <v>12</v>
      </c>
      <c r="P32" s="33">
        <v>100</v>
      </c>
      <c r="Q32" s="33"/>
      <c r="R32" s="34">
        <v>100</v>
      </c>
      <c r="S32" s="33">
        <v>18</v>
      </c>
      <c r="T32" s="33">
        <v>18</v>
      </c>
      <c r="U32" s="33">
        <v>150</v>
      </c>
      <c r="V32" s="33"/>
      <c r="W32" s="34">
        <v>100</v>
      </c>
      <c r="X32" s="33">
        <v>36</v>
      </c>
      <c r="Y32" s="33">
        <v>36</v>
      </c>
      <c r="Z32" s="33">
        <v>150</v>
      </c>
      <c r="AA32" s="33"/>
      <c r="AB32" s="34">
        <v>1000</v>
      </c>
      <c r="AC32" s="33">
        <v>72</v>
      </c>
      <c r="AD32" s="33">
        <v>72</v>
      </c>
      <c r="AE32" s="33"/>
      <c r="AF32" s="33"/>
      <c r="AG32" s="34">
        <v>1000</v>
      </c>
    </row>
    <row r="33" spans="1:33" x14ac:dyDescent="0.2">
      <c r="A33" s="26"/>
      <c r="B33" s="31" t="s">
        <v>30</v>
      </c>
      <c r="C33" s="32"/>
      <c r="D33" s="50">
        <v>4</v>
      </c>
      <c r="E33" s="37">
        <f>D33*4</f>
        <v>16</v>
      </c>
      <c r="F33" s="37"/>
      <c r="G33" s="37"/>
      <c r="H33" s="47"/>
      <c r="I33" s="50">
        <v>4</v>
      </c>
      <c r="J33" s="37">
        <f>I33*4</f>
        <v>16</v>
      </c>
      <c r="K33" s="37"/>
      <c r="L33" s="37"/>
      <c r="M33" s="47"/>
      <c r="N33" s="37">
        <v>8</v>
      </c>
      <c r="O33" s="37">
        <f>N33*4</f>
        <v>32</v>
      </c>
      <c r="P33" s="37"/>
      <c r="Q33" s="37"/>
      <c r="R33" s="47"/>
      <c r="S33" s="37">
        <v>24</v>
      </c>
      <c r="T33" s="37">
        <f>S33*4</f>
        <v>96</v>
      </c>
      <c r="U33" s="37"/>
      <c r="V33" s="37"/>
      <c r="W33" s="47"/>
      <c r="X33" s="37">
        <v>48</v>
      </c>
      <c r="Y33" s="37">
        <f>X33*4</f>
        <v>192</v>
      </c>
      <c r="Z33" s="37"/>
      <c r="AA33" s="37"/>
      <c r="AB33" s="47"/>
      <c r="AC33" s="37">
        <v>96</v>
      </c>
      <c r="AD33" s="37">
        <f>AC33*4</f>
        <v>384</v>
      </c>
      <c r="AE33" s="37">
        <v>4096</v>
      </c>
      <c r="AF33" s="37"/>
      <c r="AG33" s="47"/>
    </row>
    <row r="34" spans="1:33" ht="17" thickBot="1" x14ac:dyDescent="0.25">
      <c r="A34" s="51"/>
      <c r="B34" s="52"/>
      <c r="C34" s="53"/>
      <c r="D34" s="54"/>
      <c r="E34" s="54"/>
      <c r="F34" s="54"/>
      <c r="G34" s="54"/>
      <c r="H34" s="55"/>
      <c r="I34" s="54"/>
      <c r="J34" s="54"/>
      <c r="K34" s="54"/>
      <c r="L34" s="54"/>
      <c r="M34" s="55"/>
      <c r="N34" s="54"/>
      <c r="O34" s="54"/>
      <c r="P34" s="54"/>
      <c r="Q34" s="54"/>
      <c r="R34" s="55"/>
      <c r="S34" s="54"/>
      <c r="T34" s="54"/>
      <c r="U34" s="54"/>
      <c r="V34" s="54"/>
      <c r="W34" s="55"/>
      <c r="X34" s="54"/>
      <c r="Y34" s="54"/>
      <c r="Z34" s="54"/>
      <c r="AA34" s="54"/>
      <c r="AB34" s="55"/>
      <c r="AC34" s="54"/>
      <c r="AD34" s="54"/>
      <c r="AE34" s="54"/>
      <c r="AF34" s="54"/>
      <c r="AG34" s="55"/>
    </row>
    <row r="35" spans="1:33" ht="17" thickBot="1" x14ac:dyDescent="0.25">
      <c r="C35" s="56"/>
      <c r="D35" s="56"/>
      <c r="E35" s="56"/>
      <c r="F35" s="56"/>
    </row>
    <row r="36" spans="1:33" ht="19" x14ac:dyDescent="0.25">
      <c r="A36" s="57"/>
      <c r="B36" s="58" t="s">
        <v>81</v>
      </c>
      <c r="C36" s="58"/>
      <c r="D36" s="59" t="s">
        <v>51</v>
      </c>
      <c r="E36" s="59" t="s">
        <v>82</v>
      </c>
      <c r="F36" s="59" t="str">
        <f>I1</f>
        <v>XSmall</v>
      </c>
      <c r="G36" s="60" t="s">
        <v>82</v>
      </c>
      <c r="H36" s="59" t="s">
        <v>8</v>
      </c>
      <c r="I36" s="60" t="s">
        <v>82</v>
      </c>
      <c r="J36" s="61" t="s">
        <v>13</v>
      </c>
      <c r="K36" s="60" t="s">
        <v>82</v>
      </c>
      <c r="L36" s="62" t="s">
        <v>83</v>
      </c>
      <c r="M36" s="63" t="s">
        <v>82</v>
      </c>
      <c r="N36" s="64" t="str">
        <f>AC1</f>
        <v>xlarge</v>
      </c>
      <c r="O36" s="65" t="s">
        <v>82</v>
      </c>
    </row>
    <row r="37" spans="1:33" x14ac:dyDescent="0.2">
      <c r="A37" s="66"/>
      <c r="B37" s="67"/>
      <c r="C37" s="67"/>
      <c r="E37" s="68"/>
      <c r="G37" s="68"/>
      <c r="I37" s="68"/>
      <c r="J37" s="69"/>
      <c r="K37" s="68"/>
      <c r="L37" s="70"/>
      <c r="M37" s="68"/>
      <c r="O37" s="71"/>
    </row>
    <row r="38" spans="1:33" x14ac:dyDescent="0.2">
      <c r="A38" s="66"/>
      <c r="B38" s="72" t="s">
        <v>84</v>
      </c>
      <c r="C38" s="67"/>
      <c r="E38" s="68"/>
      <c r="G38" s="68"/>
      <c r="I38" s="68"/>
      <c r="J38" s="69"/>
      <c r="K38" s="68"/>
      <c r="L38" s="70"/>
      <c r="M38" s="68"/>
      <c r="O38" s="71"/>
    </row>
    <row r="39" spans="1:33" x14ac:dyDescent="0.2">
      <c r="A39" s="66"/>
      <c r="B39" s="73" t="s">
        <v>85</v>
      </c>
      <c r="C39" s="67" t="s">
        <v>86</v>
      </c>
      <c r="E39" s="74"/>
      <c r="G39" s="74"/>
      <c r="I39" s="74"/>
      <c r="J39" s="69"/>
      <c r="K39" s="74"/>
      <c r="L39" s="70"/>
      <c r="M39" s="74"/>
      <c r="O39" s="75"/>
    </row>
    <row r="40" spans="1:33" x14ac:dyDescent="0.2">
      <c r="A40" s="66"/>
      <c r="B40" s="73" t="s">
        <v>23</v>
      </c>
      <c r="C40" s="76"/>
      <c r="E40" s="77">
        <v>0</v>
      </c>
      <c r="G40" s="77">
        <v>0</v>
      </c>
      <c r="I40" s="77">
        <v>0</v>
      </c>
      <c r="K40" s="77">
        <v>0</v>
      </c>
      <c r="M40" s="77">
        <v>0</v>
      </c>
      <c r="O40" s="71">
        <v>0</v>
      </c>
    </row>
    <row r="41" spans="1:33" x14ac:dyDescent="0.2">
      <c r="A41" s="66"/>
      <c r="B41" s="73" t="s">
        <v>24</v>
      </c>
      <c r="C41" s="67"/>
      <c r="E41" s="77">
        <v>0</v>
      </c>
      <c r="G41" s="77">
        <v>0</v>
      </c>
      <c r="I41" s="77">
        <v>0</v>
      </c>
      <c r="K41" s="77">
        <v>0</v>
      </c>
      <c r="M41" s="77">
        <v>0</v>
      </c>
      <c r="O41" s="71">
        <v>0</v>
      </c>
    </row>
    <row r="42" spans="1:33" x14ac:dyDescent="0.2">
      <c r="A42" s="66"/>
      <c r="B42" s="73" t="s">
        <v>25</v>
      </c>
      <c r="C42" s="67"/>
      <c r="E42" s="78">
        <v>195.3792</v>
      </c>
      <c r="G42" s="78">
        <v>195.3792</v>
      </c>
      <c r="I42" s="78">
        <v>390.75839999999999</v>
      </c>
      <c r="K42" s="78">
        <v>781.51679999999999</v>
      </c>
      <c r="M42" s="77">
        <v>390.75839999999999</v>
      </c>
      <c r="O42" s="71">
        <v>390.75839999999999</v>
      </c>
    </row>
    <row r="43" spans="1:33" x14ac:dyDescent="0.2">
      <c r="A43" s="66"/>
      <c r="B43" s="73" t="s">
        <v>26</v>
      </c>
      <c r="C43" s="67"/>
      <c r="E43" s="78">
        <v>38.159999999999997</v>
      </c>
      <c r="G43" s="78">
        <v>38.159999999999997</v>
      </c>
      <c r="I43" s="78">
        <v>91.584000000000003</v>
      </c>
      <c r="K43" s="78">
        <v>183.16800000000001</v>
      </c>
      <c r="M43" s="77">
        <v>366.33600000000001</v>
      </c>
      <c r="O43" s="71">
        <v>732.67200000000003</v>
      </c>
    </row>
    <row r="44" spans="1:33" x14ac:dyDescent="0.2">
      <c r="A44" s="66"/>
      <c r="B44" s="73" t="s">
        <v>28</v>
      </c>
      <c r="C44" s="67"/>
      <c r="E44" s="77">
        <v>0</v>
      </c>
      <c r="G44" s="77">
        <v>0</v>
      </c>
      <c r="I44" s="77">
        <v>0</v>
      </c>
      <c r="K44" s="78">
        <v>0</v>
      </c>
      <c r="M44" s="77">
        <v>0</v>
      </c>
      <c r="O44" s="71">
        <v>0</v>
      </c>
    </row>
    <row r="45" spans="1:33" x14ac:dyDescent="0.2">
      <c r="A45" s="66"/>
      <c r="B45" s="73" t="s">
        <v>30</v>
      </c>
      <c r="C45" s="67"/>
      <c r="E45" s="77">
        <v>0</v>
      </c>
      <c r="G45" s="77">
        <v>0</v>
      </c>
      <c r="I45" s="77">
        <v>0</v>
      </c>
      <c r="K45" s="77">
        <v>0</v>
      </c>
      <c r="M45" s="77">
        <v>0</v>
      </c>
      <c r="O45" s="71">
        <v>1563.0336</v>
      </c>
    </row>
    <row r="46" spans="1:33" x14ac:dyDescent="0.2">
      <c r="A46" s="66"/>
      <c r="B46" s="79"/>
      <c r="C46" s="67"/>
      <c r="E46" s="80"/>
      <c r="G46" s="80"/>
      <c r="I46" s="80"/>
      <c r="J46" s="69"/>
      <c r="K46" s="80"/>
      <c r="L46" s="70"/>
      <c r="M46" s="80"/>
      <c r="O46" s="71"/>
    </row>
    <row r="47" spans="1:33" x14ac:dyDescent="0.2">
      <c r="A47" s="66"/>
      <c r="B47" s="79"/>
      <c r="C47" s="67"/>
      <c r="E47" s="80"/>
      <c r="G47" s="80"/>
      <c r="I47" s="80"/>
      <c r="J47" s="69"/>
      <c r="K47" s="80"/>
      <c r="L47" s="70"/>
      <c r="M47" s="80"/>
      <c r="O47" s="71"/>
    </row>
    <row r="48" spans="1:33" x14ac:dyDescent="0.2">
      <c r="A48" s="66"/>
      <c r="B48" s="79" t="s">
        <v>87</v>
      </c>
      <c r="C48" s="73" t="s">
        <v>88</v>
      </c>
      <c r="D48" s="81">
        <f>SUM(D49:D56)</f>
        <v>800.04023313522339</v>
      </c>
      <c r="E48" s="82">
        <f>IF(D48&lt;'Input Cost'!$E$35,'Input Cost'!$F$35,IF(D48&lt;'Input Cost'!$E$36,'Input Cost'!$F$36,IF(D48&lt;'Input Cost'!$E$37,'Input Cost'!$F$37,IF(D48&lt;'Input Cost'!$E$38,'Input Cost'!$F$38,'Input Cost'!$F$39))))</f>
        <v>45</v>
      </c>
      <c r="F48" s="81">
        <f>SUM(F49:F56)</f>
        <v>800</v>
      </c>
      <c r="G48" s="82">
        <f>IF(F48&lt;'Input Cost'!$E$35,'Input Cost'!$F$35,IF(F48&lt;'Input Cost'!$E$36,'Input Cost'!$F$36,IF(F48&lt;'Input Cost'!$E$37,'Input Cost'!$F$37,IF(F48&lt;'Input Cost'!$E$38,'Input Cost'!$F$38,'Input Cost'!$F$39))))</f>
        <v>45</v>
      </c>
      <c r="H48" s="81">
        <f>SUM(H49:H56)</f>
        <v>944.02331352233887</v>
      </c>
      <c r="I48" s="82">
        <f>IF(H48&lt;'Input Cost'!$E$35,'Input Cost'!$F$35,IF(H48&lt;'Input Cost'!$E$36,'Input Cost'!$F$36,IF(H48&lt;'Input Cost'!$E$37,'Input Cost'!$F$37,IF(H48&lt;'Input Cost'!$E$38,'Input Cost'!$F$38,'Input Cost'!$F$39))))</f>
        <v>45</v>
      </c>
      <c r="J48" s="81">
        <f>SUM(J49:J56)</f>
        <v>1309.1656761169434</v>
      </c>
      <c r="K48" s="82">
        <f>IF(J48&lt;'Input Cost'!$E$35,'Input Cost'!$F$35,IF(J48&lt;'Input Cost'!$E$36,'Input Cost'!$F$36,IF(J48&lt;'Input Cost'!$E$37,'Input Cost'!$F$37,IF(J48&lt;'Input Cost'!$E$38,'Input Cost'!$F$38,'Input Cost'!$F$39))))</f>
        <v>370</v>
      </c>
      <c r="L48" s="81">
        <f>SUM(L49:L56)</f>
        <v>3321.2567611694349</v>
      </c>
      <c r="M48" s="82">
        <f>IF(L48&lt;'Input Cost'!$E$35,'Input Cost'!$F$35,IF(L48&lt;'Input Cost'!$E$36,'Input Cost'!$F$36,IF(L48&lt;'Input Cost'!$E$37,'Input Cost'!$F$37,IF(L48&lt;'Input Cost'!$E$38,'Input Cost'!$F$38,'Input Cost'!$F$39))))</f>
        <v>370</v>
      </c>
      <c r="N48" s="83">
        <f>SUM(N49:N56)</f>
        <v>1551.5199999999998</v>
      </c>
      <c r="O48" s="71">
        <f>IF(N48&lt;'Input Cost'!$E$35,'Input Cost'!$F$35,IF(N48&lt;'Input Cost'!$E$36,'Input Cost'!$F$36,IF(N48&lt;'Input Cost'!$E$37,'Input Cost'!$F$37,IF(N48&lt;'Input Cost'!$E$38,'Input Cost'!$F$38,'Input Cost'!$F$39))))</f>
        <v>370</v>
      </c>
    </row>
    <row r="49" spans="1:15" x14ac:dyDescent="0.2">
      <c r="A49" s="66"/>
      <c r="B49" s="73" t="s">
        <v>23</v>
      </c>
      <c r="C49" s="73"/>
      <c r="D49" s="84">
        <f>10*'Input Cost'!D5+100</f>
        <v>100.04023313522339</v>
      </c>
      <c r="E49" s="82">
        <f>IF(D49&lt;'Input Cost'!$E$35,'Input Cost'!$F$35,IF(D49&lt;'Input Cost'!$E$36,'Input Cost'!$F$36,IF(D49&lt;'Input Cost'!$E$37,'Input Cost'!$F$37,IF(D49&lt;'Input Cost'!$E$38,'Input Cost'!$F$38,'Input Cost'!$F$39))))</f>
        <v>0</v>
      </c>
      <c r="F49" s="85">
        <f>1000*'Input Cost'!B5+100</f>
        <v>100</v>
      </c>
      <c r="G49" s="82">
        <f>IF(F49&lt;'Input Cost'!$E$35,'Input Cost'!$F$35,IF(F49&lt;'Input Cost'!$E$36,'Input Cost'!$F$36,IF(F49&lt;'Input Cost'!$E$37,'Input Cost'!$F$37,IF(F49&lt;'Input Cost'!$E$38,'Input Cost'!$F$38,'Input Cost'!$F$39))))</f>
        <v>0</v>
      </c>
      <c r="H49" s="85">
        <f>1000*'Input Cost'!D5+100</f>
        <v>104.02331352233887</v>
      </c>
      <c r="I49" s="82">
        <f>IF(H49&lt;'Input Cost'!$E$35,'Input Cost'!$F$35,IF(H49&lt;'Input Cost'!$E$36,'Input Cost'!$F$36,IF(H49&lt;'Input Cost'!$E$37,'Input Cost'!$F$37,IF(H49&lt;'Input Cost'!$E$38,'Input Cost'!$F$38,'Input Cost'!$F$39))))</f>
        <v>0</v>
      </c>
      <c r="J49" s="86">
        <f>50000*'Input Cost'!D5+100</f>
        <v>301.16567611694336</v>
      </c>
      <c r="K49" s="82">
        <f>IF(J49&lt;'Input Cost'!$E$35,'Input Cost'!$F$35,IF(J49&lt;'Input Cost'!$E$36,'Input Cost'!$F$36,IF(J49&lt;'Input Cost'!$E$37,'Input Cost'!$F$37,IF(J49&lt;'Input Cost'!$E$38,'Input Cost'!$F$38,'Input Cost'!$F$39))))</f>
        <v>45</v>
      </c>
      <c r="L49" s="87">
        <f>500000*'Input Cost'!D5+100</f>
        <v>2111.6567611694336</v>
      </c>
      <c r="M49" s="82">
        <f>IF(L49&lt;'Input Cost'!$E$35,'Input Cost'!$F$35,IF(L49&lt;'Input Cost'!$E$36,'Input Cost'!$F$36,IF(L49&lt;'Input Cost'!$E$37,'Input Cost'!$F$37,IF(L49&lt;'Input Cost'!$E$38,'Input Cost'!$F$38,'Input Cost'!$F$39))))</f>
        <v>370</v>
      </c>
      <c r="N49" s="88">
        <f>500000*'Input Cost'!F5+100</f>
        <v>100</v>
      </c>
      <c r="O49" s="71">
        <f>IF(N49&lt;'Input Cost'!$E$35,'Input Cost'!$F$35,IF(N49&lt;'Input Cost'!$E$36,'Input Cost'!$F$36,IF(N49&lt;'Input Cost'!$E$37,'Input Cost'!$F$37,IF(N49&lt;'Input Cost'!$E$38,'Input Cost'!$F$38,'Input Cost'!$F$39))))</f>
        <v>0</v>
      </c>
    </row>
    <row r="50" spans="1:15" x14ac:dyDescent="0.2">
      <c r="A50" s="66"/>
      <c r="B50" s="73" t="s">
        <v>29</v>
      </c>
      <c r="C50" s="73"/>
      <c r="D50" s="6">
        <v>100</v>
      </c>
      <c r="E50" s="82">
        <f>IF(D50&lt;'Input Cost'!$E$35,'Input Cost'!$F$35,IF(D50&lt;'Input Cost'!$E$36,'Input Cost'!$F$36,IF(D50&lt;'Input Cost'!$E$37,'Input Cost'!$F$37,IF(D50&lt;'Input Cost'!$E$38,'Input Cost'!$F$38,'Input Cost'!$F$39))))</f>
        <v>0</v>
      </c>
      <c r="F50" s="6">
        <f t="shared" ref="F50:F56" si="9">D50</f>
        <v>100</v>
      </c>
      <c r="G50" s="82">
        <f>IF(F50&lt;'Input Cost'!$E$35,'Input Cost'!$F$35,IF(F50&lt;'Input Cost'!$E$36,'Input Cost'!$F$36,IF(F50&lt;'Input Cost'!$E$37,'Input Cost'!$F$37,IF(F50&lt;'Input Cost'!$E$38,'Input Cost'!$F$38,'Input Cost'!$F$39))))</f>
        <v>0</v>
      </c>
      <c r="H50" s="6">
        <f t="shared" ref="H50:H56" si="10">D50*1.2</f>
        <v>120</v>
      </c>
      <c r="I50" s="82">
        <f>IF(H50&lt;'Input Cost'!$E$35,'Input Cost'!$F$35,IF(H50&lt;'Input Cost'!$E$36,'Input Cost'!$F$36,IF(H50&lt;'Input Cost'!$E$37,'Input Cost'!$F$37,IF(H50&lt;'Input Cost'!$E$38,'Input Cost'!$F$38,'Input Cost'!$F$39))))</f>
        <v>0</v>
      </c>
      <c r="J50" s="6">
        <f t="shared" ref="J50:J56" si="11">H50*1.2</f>
        <v>144</v>
      </c>
      <c r="K50" s="82">
        <f>IF(J50&lt;'Input Cost'!$E$35,'Input Cost'!$F$35,IF(J50&lt;'Input Cost'!$E$36,'Input Cost'!$F$36,IF(J50&lt;'Input Cost'!$E$37,'Input Cost'!$F$37,IF(J50&lt;'Input Cost'!$E$38,'Input Cost'!$F$38,'Input Cost'!$F$39))))</f>
        <v>0</v>
      </c>
      <c r="L50" s="6">
        <f t="shared" ref="L50:L56" si="12">J50*1.2</f>
        <v>172.79999999999998</v>
      </c>
      <c r="M50" s="82">
        <f>IF(L50&lt;'Input Cost'!$E$35,'Input Cost'!$F$35,IF(L50&lt;'Input Cost'!$E$36,'Input Cost'!$F$36,IF(L50&lt;'Input Cost'!$E$37,'Input Cost'!$F$37,IF(L50&lt;'Input Cost'!$E$38,'Input Cost'!$F$38,'Input Cost'!$F$39))))</f>
        <v>0</v>
      </c>
      <c r="N50" s="46">
        <f t="shared" ref="N50:N56" si="13">L50*1.2</f>
        <v>207.35999999999999</v>
      </c>
      <c r="O50" s="71">
        <f>IF(N50&lt;'Input Cost'!$E$35,'Input Cost'!$F$35,IF(N50&lt;'Input Cost'!$E$36,'Input Cost'!$F$36,IF(N50&lt;'Input Cost'!$E$37,'Input Cost'!$F$37,IF(N50&lt;'Input Cost'!$E$38,'Input Cost'!$F$38,'Input Cost'!$F$39))))</f>
        <v>0</v>
      </c>
    </row>
    <row r="51" spans="1:15" x14ac:dyDescent="0.2">
      <c r="A51" s="66"/>
      <c r="B51" s="73" t="s">
        <v>89</v>
      </c>
      <c r="C51" s="73"/>
      <c r="D51" s="6">
        <v>100</v>
      </c>
      <c r="E51" s="82">
        <f>IF(D51&lt;'Input Cost'!$E$35,'Input Cost'!$F$35,IF(D51&lt;'Input Cost'!$E$36,'Input Cost'!$F$36,IF(D51&lt;'Input Cost'!$E$37,'Input Cost'!$F$37,IF(D51&lt;'Input Cost'!$E$38,'Input Cost'!$F$38,'Input Cost'!$F$39))))</f>
        <v>0</v>
      </c>
      <c r="F51" s="6">
        <f t="shared" si="9"/>
        <v>100</v>
      </c>
      <c r="G51" s="82">
        <f>IF(F51&lt;'Input Cost'!$E$35,'Input Cost'!$F$35,IF(F51&lt;'Input Cost'!$E$36,'Input Cost'!$F$36,IF(F51&lt;'Input Cost'!$E$37,'Input Cost'!$F$37,IF(F51&lt;'Input Cost'!$E$38,'Input Cost'!$F$38,'Input Cost'!$F$39))))</f>
        <v>0</v>
      </c>
      <c r="H51" s="6">
        <f t="shared" si="10"/>
        <v>120</v>
      </c>
      <c r="I51" s="82">
        <f>IF(H51&lt;'Input Cost'!$E$35,'Input Cost'!$F$35,IF(H51&lt;'Input Cost'!$E$36,'Input Cost'!$F$36,IF(H51&lt;'Input Cost'!$E$37,'Input Cost'!$F$37,IF(H51&lt;'Input Cost'!$E$38,'Input Cost'!$F$38,'Input Cost'!$F$39))))</f>
        <v>0</v>
      </c>
      <c r="J51" s="6">
        <f t="shared" si="11"/>
        <v>144</v>
      </c>
      <c r="K51" s="82">
        <f>IF(J51&lt;'Input Cost'!$E$35,'Input Cost'!$F$35,IF(J51&lt;'Input Cost'!$E$36,'Input Cost'!$F$36,IF(J51&lt;'Input Cost'!$E$37,'Input Cost'!$F$37,IF(J51&lt;'Input Cost'!$E$38,'Input Cost'!$F$38,'Input Cost'!$F$39))))</f>
        <v>0</v>
      </c>
      <c r="L51" s="6">
        <f t="shared" si="12"/>
        <v>172.79999999999998</v>
      </c>
      <c r="M51" s="82">
        <f>IF(L51&lt;'Input Cost'!$E$35,'Input Cost'!$F$35,IF(L51&lt;'Input Cost'!$E$36,'Input Cost'!$F$36,IF(L51&lt;'Input Cost'!$E$37,'Input Cost'!$F$37,IF(L51&lt;'Input Cost'!$E$38,'Input Cost'!$F$38,'Input Cost'!$F$39))))</f>
        <v>0</v>
      </c>
      <c r="N51" s="46">
        <f t="shared" si="13"/>
        <v>207.35999999999999</v>
      </c>
      <c r="O51" s="71">
        <f>IF(N51&lt;'Input Cost'!$E$35,'Input Cost'!$F$35,IF(N51&lt;'Input Cost'!$E$36,'Input Cost'!$F$36,IF(N51&lt;'Input Cost'!$E$37,'Input Cost'!$F$37,IF(N51&lt;'Input Cost'!$E$38,'Input Cost'!$F$38,'Input Cost'!$F$39))))</f>
        <v>0</v>
      </c>
    </row>
    <row r="52" spans="1:15" x14ac:dyDescent="0.2">
      <c r="A52" s="66"/>
      <c r="B52" s="73" t="s">
        <v>24</v>
      </c>
      <c r="C52" s="73"/>
      <c r="D52" s="6">
        <v>100</v>
      </c>
      <c r="E52" s="82">
        <f>IF(D52&lt;'Input Cost'!$E$35,'Input Cost'!$F$35,IF(D52&lt;'Input Cost'!$E$36,'Input Cost'!$F$36,IF(D52&lt;'Input Cost'!$E$37,'Input Cost'!$F$37,IF(D52&lt;'Input Cost'!$E$38,'Input Cost'!$F$38,'Input Cost'!$F$39))))</f>
        <v>0</v>
      </c>
      <c r="F52" s="6">
        <f t="shared" si="9"/>
        <v>100</v>
      </c>
      <c r="G52" s="82">
        <f>IF(F52&lt;'Input Cost'!$E$35,'Input Cost'!$F$35,IF(F52&lt;'Input Cost'!$E$36,'Input Cost'!$F$36,IF(F52&lt;'Input Cost'!$E$37,'Input Cost'!$F$37,IF(F52&lt;'Input Cost'!$E$38,'Input Cost'!$F$38,'Input Cost'!$F$39))))</f>
        <v>0</v>
      </c>
      <c r="H52" s="6">
        <f t="shared" si="10"/>
        <v>120</v>
      </c>
      <c r="I52" s="82">
        <f>IF(H52&lt;'Input Cost'!$E$35,'Input Cost'!$F$35,IF(H52&lt;'Input Cost'!$E$36,'Input Cost'!$F$36,IF(H52&lt;'Input Cost'!$E$37,'Input Cost'!$F$37,IF(H52&lt;'Input Cost'!$E$38,'Input Cost'!$F$38,'Input Cost'!$F$39))))</f>
        <v>0</v>
      </c>
      <c r="J52" s="6">
        <f t="shared" si="11"/>
        <v>144</v>
      </c>
      <c r="K52" s="82">
        <f>IF(J52&lt;'Input Cost'!$E$35,'Input Cost'!$F$35,IF(J52&lt;'Input Cost'!$E$36,'Input Cost'!$F$36,IF(J52&lt;'Input Cost'!$E$37,'Input Cost'!$F$37,IF(J52&lt;'Input Cost'!$E$38,'Input Cost'!$F$38,'Input Cost'!$F$39))))</f>
        <v>0</v>
      </c>
      <c r="L52" s="6">
        <f t="shared" si="12"/>
        <v>172.79999999999998</v>
      </c>
      <c r="M52" s="82">
        <f>IF(L52&lt;'Input Cost'!$E$35,'Input Cost'!$F$35,IF(L52&lt;'Input Cost'!$E$36,'Input Cost'!$F$36,IF(L52&lt;'Input Cost'!$E$37,'Input Cost'!$F$37,IF(L52&lt;'Input Cost'!$E$38,'Input Cost'!$F$38,'Input Cost'!$F$39))))</f>
        <v>0</v>
      </c>
      <c r="N52" s="46">
        <f t="shared" si="13"/>
        <v>207.35999999999999</v>
      </c>
      <c r="O52" s="71">
        <f>IF(N52&lt;'Input Cost'!$E$35,'Input Cost'!$F$35,IF(N52&lt;'Input Cost'!$E$36,'Input Cost'!$F$36,IF(N52&lt;'Input Cost'!$E$37,'Input Cost'!$F$37,IF(N52&lt;'Input Cost'!$E$38,'Input Cost'!$F$38,'Input Cost'!$F$39))))</f>
        <v>0</v>
      </c>
    </row>
    <row r="53" spans="1:15" x14ac:dyDescent="0.2">
      <c r="A53" s="66"/>
      <c r="B53" s="73" t="s">
        <v>25</v>
      </c>
      <c r="C53" s="73"/>
      <c r="D53" s="6">
        <v>100</v>
      </c>
      <c r="E53" s="82">
        <f>IF(D53&lt;'Input Cost'!$E$35,'Input Cost'!$F$35,IF(D53&lt;'Input Cost'!$E$36,'Input Cost'!$F$36,IF(D53&lt;'Input Cost'!$E$37,'Input Cost'!$F$37,IF(D53&lt;'Input Cost'!$E$38,'Input Cost'!$F$38,'Input Cost'!$F$39))))</f>
        <v>0</v>
      </c>
      <c r="F53" s="6">
        <f t="shared" si="9"/>
        <v>100</v>
      </c>
      <c r="G53" s="82">
        <f>IF(F53&lt;'Input Cost'!$E$35,'Input Cost'!$F$35,IF(F53&lt;'Input Cost'!$E$36,'Input Cost'!$F$36,IF(F53&lt;'Input Cost'!$E$37,'Input Cost'!$F$37,IF(F53&lt;'Input Cost'!$E$38,'Input Cost'!$F$38,'Input Cost'!$F$39))))</f>
        <v>0</v>
      </c>
      <c r="H53" s="6">
        <f t="shared" si="10"/>
        <v>120</v>
      </c>
      <c r="I53" s="82">
        <f>IF(H53&lt;'Input Cost'!$E$35,'Input Cost'!$F$35,IF(H53&lt;'Input Cost'!$E$36,'Input Cost'!$F$36,IF(H53&lt;'Input Cost'!$E$37,'Input Cost'!$F$37,IF(H53&lt;'Input Cost'!$E$38,'Input Cost'!$F$38,'Input Cost'!$F$39))))</f>
        <v>0</v>
      </c>
      <c r="J53" s="6">
        <f t="shared" si="11"/>
        <v>144</v>
      </c>
      <c r="K53" s="82">
        <f>IF(J53&lt;'Input Cost'!$E$35,'Input Cost'!$F$35,IF(J53&lt;'Input Cost'!$E$36,'Input Cost'!$F$36,IF(J53&lt;'Input Cost'!$E$37,'Input Cost'!$F$37,IF(J53&lt;'Input Cost'!$E$38,'Input Cost'!$F$38,'Input Cost'!$F$39))))</f>
        <v>0</v>
      </c>
      <c r="L53" s="6">
        <f t="shared" si="12"/>
        <v>172.79999999999998</v>
      </c>
      <c r="M53" s="82">
        <f>IF(L53&lt;'Input Cost'!$E$35,'Input Cost'!$F$35,IF(L53&lt;'Input Cost'!$E$36,'Input Cost'!$F$36,IF(L53&lt;'Input Cost'!$E$37,'Input Cost'!$F$37,IF(L53&lt;'Input Cost'!$E$38,'Input Cost'!$F$38,'Input Cost'!$F$39))))</f>
        <v>0</v>
      </c>
      <c r="N53" s="46">
        <f t="shared" si="13"/>
        <v>207.35999999999999</v>
      </c>
      <c r="O53" s="71">
        <f>IF(N53&lt;'Input Cost'!$E$35,'Input Cost'!$F$35,IF(N53&lt;'Input Cost'!$E$36,'Input Cost'!$F$36,IF(N53&lt;'Input Cost'!$E$37,'Input Cost'!$F$37,IF(N53&lt;'Input Cost'!$E$38,'Input Cost'!$F$38,'Input Cost'!$F$39))))</f>
        <v>0</v>
      </c>
    </row>
    <row r="54" spans="1:15" x14ac:dyDescent="0.2">
      <c r="A54" s="66"/>
      <c r="B54" s="73" t="s">
        <v>90</v>
      </c>
      <c r="C54" s="73"/>
      <c r="D54" s="6">
        <v>100</v>
      </c>
      <c r="E54" s="82">
        <f>IF(D54&lt;'Input Cost'!$E$35,'Input Cost'!$F$35,IF(D54&lt;'Input Cost'!$E$36,'Input Cost'!$F$36,IF(D54&lt;'Input Cost'!$E$37,'Input Cost'!$F$37,IF(D54&lt;'Input Cost'!$E$38,'Input Cost'!$F$38,'Input Cost'!$F$39))))</f>
        <v>0</v>
      </c>
      <c r="F54" s="6">
        <f t="shared" si="9"/>
        <v>100</v>
      </c>
      <c r="G54" s="82">
        <f>IF(F54&lt;'Input Cost'!$E$35,'Input Cost'!$F$35,IF(F54&lt;'Input Cost'!$E$36,'Input Cost'!$F$36,IF(F54&lt;'Input Cost'!$E$37,'Input Cost'!$F$37,IF(F54&lt;'Input Cost'!$E$38,'Input Cost'!$F$38,'Input Cost'!$F$39))))</f>
        <v>0</v>
      </c>
      <c r="H54" s="6">
        <f t="shared" si="10"/>
        <v>120</v>
      </c>
      <c r="I54" s="82">
        <f>IF(H54&lt;'Input Cost'!$E$35,'Input Cost'!$F$35,IF(H54&lt;'Input Cost'!$E$36,'Input Cost'!$F$36,IF(H54&lt;'Input Cost'!$E$37,'Input Cost'!$F$37,IF(H54&lt;'Input Cost'!$E$38,'Input Cost'!$F$38,'Input Cost'!$F$39))))</f>
        <v>0</v>
      </c>
      <c r="J54" s="6">
        <f t="shared" si="11"/>
        <v>144</v>
      </c>
      <c r="K54" s="82">
        <f>IF(J54&lt;'Input Cost'!$E$35,'Input Cost'!$F$35,IF(J54&lt;'Input Cost'!$E$36,'Input Cost'!$F$36,IF(J54&lt;'Input Cost'!$E$37,'Input Cost'!$F$37,IF(J54&lt;'Input Cost'!$E$38,'Input Cost'!$F$38,'Input Cost'!$F$39))))</f>
        <v>0</v>
      </c>
      <c r="L54" s="6">
        <f t="shared" si="12"/>
        <v>172.79999999999998</v>
      </c>
      <c r="M54" s="82">
        <f>IF(L54&lt;'Input Cost'!$E$35,'Input Cost'!$F$35,IF(L54&lt;'Input Cost'!$E$36,'Input Cost'!$F$36,IF(L54&lt;'Input Cost'!$E$37,'Input Cost'!$F$37,IF(L54&lt;'Input Cost'!$E$38,'Input Cost'!$F$38,'Input Cost'!$F$39))))</f>
        <v>0</v>
      </c>
      <c r="N54" s="46">
        <f t="shared" si="13"/>
        <v>207.35999999999999</v>
      </c>
      <c r="O54" s="71">
        <f>IF(N54&lt;'Input Cost'!$E$35,'Input Cost'!$F$35,IF(N54&lt;'Input Cost'!$E$36,'Input Cost'!$F$36,IF(N54&lt;'Input Cost'!$E$37,'Input Cost'!$F$37,IF(N54&lt;'Input Cost'!$E$38,'Input Cost'!$F$38,'Input Cost'!$F$39))))</f>
        <v>0</v>
      </c>
    </row>
    <row r="55" spans="1:15" x14ac:dyDescent="0.2">
      <c r="A55" s="66"/>
      <c r="B55" s="73" t="s">
        <v>28</v>
      </c>
      <c r="C55" s="73"/>
      <c r="D55" s="6">
        <v>100</v>
      </c>
      <c r="E55" s="82">
        <f>IF(D55&lt;'Input Cost'!$E$35,'Input Cost'!$F$35,IF(D55&lt;'Input Cost'!$E$36,'Input Cost'!$F$36,IF(D55&lt;'Input Cost'!$E$37,'Input Cost'!$F$37,IF(D55&lt;'Input Cost'!$E$38,'Input Cost'!$F$38,'Input Cost'!$F$39))))</f>
        <v>0</v>
      </c>
      <c r="F55" s="6">
        <f t="shared" si="9"/>
        <v>100</v>
      </c>
      <c r="G55" s="82">
        <f>IF(F55&lt;'Input Cost'!$E$35,'Input Cost'!$F$35,IF(F55&lt;'Input Cost'!$E$36,'Input Cost'!$F$36,IF(F55&lt;'Input Cost'!$E$37,'Input Cost'!$F$37,IF(F55&lt;'Input Cost'!$E$38,'Input Cost'!$F$38,'Input Cost'!$F$39))))</f>
        <v>0</v>
      </c>
      <c r="H55" s="6">
        <f t="shared" si="10"/>
        <v>120</v>
      </c>
      <c r="I55" s="82">
        <f>IF(H55&lt;'Input Cost'!$E$35,'Input Cost'!$F$35,IF(H55&lt;'Input Cost'!$E$36,'Input Cost'!$F$36,IF(H55&lt;'Input Cost'!$E$37,'Input Cost'!$F$37,IF(H55&lt;'Input Cost'!$E$38,'Input Cost'!$F$38,'Input Cost'!$F$39))))</f>
        <v>0</v>
      </c>
      <c r="J55" s="6">
        <f t="shared" si="11"/>
        <v>144</v>
      </c>
      <c r="K55" s="82">
        <f>IF(J55&lt;'Input Cost'!$E$35,'Input Cost'!$F$35,IF(J55&lt;'Input Cost'!$E$36,'Input Cost'!$F$36,IF(J55&lt;'Input Cost'!$E$37,'Input Cost'!$F$37,IF(J55&lt;'Input Cost'!$E$38,'Input Cost'!$F$38,'Input Cost'!$F$39))))</f>
        <v>0</v>
      </c>
      <c r="L55" s="6">
        <f t="shared" si="12"/>
        <v>172.79999999999998</v>
      </c>
      <c r="M55" s="82">
        <f>IF(L55&lt;'Input Cost'!$E$35,'Input Cost'!$F$35,IF(L55&lt;'Input Cost'!$E$36,'Input Cost'!$F$36,IF(L55&lt;'Input Cost'!$E$37,'Input Cost'!$F$37,IF(L55&lt;'Input Cost'!$E$38,'Input Cost'!$F$38,'Input Cost'!$F$39))))</f>
        <v>0</v>
      </c>
      <c r="N55" s="46">
        <f t="shared" si="13"/>
        <v>207.35999999999999</v>
      </c>
      <c r="O55" s="71">
        <f>IF(N55&lt;'Input Cost'!$E$35,'Input Cost'!$F$35,IF(N55&lt;'Input Cost'!$E$36,'Input Cost'!$F$36,IF(N55&lt;'Input Cost'!$E$37,'Input Cost'!$F$37,IF(N55&lt;'Input Cost'!$E$38,'Input Cost'!$F$38,'Input Cost'!$F$39))))</f>
        <v>0</v>
      </c>
    </row>
    <row r="56" spans="1:15" x14ac:dyDescent="0.2">
      <c r="A56" s="66"/>
      <c r="B56" s="73" t="s">
        <v>30</v>
      </c>
      <c r="C56" s="73"/>
      <c r="D56" s="6">
        <v>100</v>
      </c>
      <c r="E56" s="82">
        <f>IF(D56&lt;'Input Cost'!$E$35,'Input Cost'!$F$35,IF(D56&lt;'Input Cost'!$E$36,'Input Cost'!$F$36,IF(D56&lt;'Input Cost'!$E$37,'Input Cost'!$F$37,IF(D56&lt;'Input Cost'!$E$38,'Input Cost'!$F$38,'Input Cost'!$F$39))))</f>
        <v>0</v>
      </c>
      <c r="F56" s="6">
        <f t="shared" si="9"/>
        <v>100</v>
      </c>
      <c r="G56" s="82">
        <f>IF(F56&lt;'Input Cost'!$E$35,'Input Cost'!$F$35,IF(F56&lt;'Input Cost'!$E$36,'Input Cost'!$F$36,IF(F56&lt;'Input Cost'!$E$37,'Input Cost'!$F$37,IF(F56&lt;'Input Cost'!$E$38,'Input Cost'!$F$38,'Input Cost'!$F$39))))</f>
        <v>0</v>
      </c>
      <c r="H56" s="6">
        <f t="shared" si="10"/>
        <v>120</v>
      </c>
      <c r="I56" s="82">
        <f>IF(H56&lt;'Input Cost'!$E$35,'Input Cost'!$F$35,IF(H56&lt;'Input Cost'!$E$36,'Input Cost'!$F$36,IF(H56&lt;'Input Cost'!$E$37,'Input Cost'!$F$37,IF(H56&lt;'Input Cost'!$E$38,'Input Cost'!$F$38,'Input Cost'!$F$39))))</f>
        <v>0</v>
      </c>
      <c r="J56" s="6">
        <f t="shared" si="11"/>
        <v>144</v>
      </c>
      <c r="K56" s="82">
        <f>IF(J56&lt;'Input Cost'!$E$35,'Input Cost'!$F$35,IF(J56&lt;'Input Cost'!$E$36,'Input Cost'!$F$36,IF(J56&lt;'Input Cost'!$E$37,'Input Cost'!$F$37,IF(J56&lt;'Input Cost'!$E$38,'Input Cost'!$F$38,'Input Cost'!$F$39))))</f>
        <v>0</v>
      </c>
      <c r="L56" s="6">
        <f t="shared" si="12"/>
        <v>172.79999999999998</v>
      </c>
      <c r="M56" s="82">
        <f>IF(L56&lt;'Input Cost'!$E$35,'Input Cost'!$F$35,IF(L56&lt;'Input Cost'!$E$36,'Input Cost'!$F$36,IF(L56&lt;'Input Cost'!$E$37,'Input Cost'!$F$37,IF(L56&lt;'Input Cost'!$E$38,'Input Cost'!$F$38,'Input Cost'!$F$39))))</f>
        <v>0</v>
      </c>
      <c r="N56" s="46">
        <f t="shared" si="13"/>
        <v>207.35999999999999</v>
      </c>
      <c r="O56" s="71">
        <f>IF(N56&lt;'Input Cost'!$E$35,'Input Cost'!$F$35,IF(N56&lt;'Input Cost'!$E$36,'Input Cost'!$F$36,IF(N56&lt;'Input Cost'!$E$37,'Input Cost'!$F$37,IF(N56&lt;'Input Cost'!$E$38,'Input Cost'!$F$38,'Input Cost'!$F$39))))</f>
        <v>0</v>
      </c>
    </row>
    <row r="57" spans="1:15" x14ac:dyDescent="0.2">
      <c r="A57" s="66"/>
      <c r="B57" s="73"/>
      <c r="C57" s="73"/>
      <c r="D57" s="6"/>
      <c r="E57" s="77"/>
      <c r="F57" s="6"/>
      <c r="G57" s="77"/>
      <c r="H57" s="6"/>
      <c r="I57" s="77"/>
      <c r="J57" s="89"/>
      <c r="K57" s="77"/>
      <c r="L57" s="90"/>
      <c r="M57" s="77"/>
      <c r="N57" s="46">
        <v>0</v>
      </c>
      <c r="O57" s="91"/>
    </row>
    <row r="58" spans="1:15" x14ac:dyDescent="0.2">
      <c r="A58" s="66"/>
      <c r="B58" s="67"/>
      <c r="C58" s="67"/>
      <c r="E58" s="68"/>
      <c r="G58" s="68"/>
      <c r="I58" s="68"/>
      <c r="J58" s="69"/>
      <c r="K58" s="68"/>
      <c r="L58" s="70"/>
      <c r="M58" s="68"/>
      <c r="O58" s="91"/>
    </row>
    <row r="59" spans="1:15" ht="17" thickBot="1" x14ac:dyDescent="0.25">
      <c r="A59" s="92"/>
      <c r="B59" s="93"/>
      <c r="C59" s="94"/>
      <c r="D59" s="95"/>
      <c r="E59" s="96"/>
      <c r="F59" s="97"/>
      <c r="G59" s="96"/>
      <c r="H59" s="97"/>
      <c r="I59" s="96"/>
      <c r="J59" s="98"/>
      <c r="K59" s="96"/>
      <c r="L59" s="99"/>
      <c r="M59" s="96"/>
      <c r="N59" s="100"/>
      <c r="O59" s="96"/>
    </row>
    <row r="61" spans="1:15" ht="17" thickBot="1" x14ac:dyDescent="0.25">
      <c r="D61" t="s">
        <v>91</v>
      </c>
      <c r="E61" s="7"/>
      <c r="G61" s="7"/>
      <c r="I61" s="7"/>
      <c r="K61" s="7"/>
      <c r="M61" s="7"/>
    </row>
    <row r="62" spans="1:15" ht="17" thickBot="1" x14ac:dyDescent="0.25">
      <c r="A62" s="101"/>
      <c r="B62" s="102" t="s">
        <v>92</v>
      </c>
      <c r="C62" s="103"/>
      <c r="D62" s="104" t="s">
        <v>51</v>
      </c>
      <c r="E62" s="105"/>
      <c r="F62" s="106" t="s">
        <v>34</v>
      </c>
      <c r="G62" s="105"/>
      <c r="H62" s="106" t="s">
        <v>35</v>
      </c>
      <c r="I62" s="105"/>
      <c r="J62" s="106" t="s">
        <v>36</v>
      </c>
      <c r="K62" s="105"/>
      <c r="L62" s="106" t="s">
        <v>37</v>
      </c>
      <c r="M62" s="105"/>
      <c r="N62" s="107">
        <f>'Input Cost'!F47</f>
        <v>0</v>
      </c>
      <c r="O62" s="108">
        <f>'Input Cost'!F44*N62</f>
        <v>0</v>
      </c>
    </row>
    <row r="63" spans="1:15" x14ac:dyDescent="0.2">
      <c r="A63" s="66"/>
      <c r="B63" s="73" t="s">
        <v>93</v>
      </c>
      <c r="C63" s="73"/>
      <c r="D63" s="84">
        <v>0</v>
      </c>
      <c r="E63" s="82">
        <v>0</v>
      </c>
      <c r="F63" s="84">
        <v>0.1</v>
      </c>
      <c r="G63" s="82">
        <v>916.66666666666663</v>
      </c>
      <c r="H63" s="84">
        <v>0.1</v>
      </c>
      <c r="I63" s="82">
        <v>916.66666666666663</v>
      </c>
      <c r="J63" s="84">
        <v>0.1</v>
      </c>
      <c r="K63" s="82">
        <v>916.66666666666663</v>
      </c>
      <c r="L63" s="84">
        <v>0.1</v>
      </c>
      <c r="M63" s="82">
        <v>916.66666666666663</v>
      </c>
      <c r="N63" s="83">
        <f>L63</f>
        <v>0.1</v>
      </c>
      <c r="O63" s="91">
        <f>M63</f>
        <v>916.66666666666663</v>
      </c>
    </row>
    <row r="64" spans="1:15" x14ac:dyDescent="0.2">
      <c r="A64" s="66"/>
      <c r="B64" s="73" t="s">
        <v>23</v>
      </c>
      <c r="C64" s="73"/>
      <c r="D64" s="84">
        <v>0</v>
      </c>
      <c r="E64" s="82">
        <v>0</v>
      </c>
      <c r="F64" s="84">
        <v>0.05</v>
      </c>
      <c r="G64" s="82">
        <v>916.66666666666663</v>
      </c>
      <c r="H64" s="84">
        <v>0.05</v>
      </c>
      <c r="I64" s="82">
        <v>916.66666666666663</v>
      </c>
      <c r="J64" s="84">
        <v>0.05</v>
      </c>
      <c r="K64" s="82">
        <v>916.66666666666663</v>
      </c>
      <c r="L64" s="84">
        <v>0.05</v>
      </c>
      <c r="M64" s="82">
        <v>916.66666666666663</v>
      </c>
      <c r="N64" s="83">
        <f t="shared" ref="N64:O71" si="14">L64</f>
        <v>0.05</v>
      </c>
      <c r="O64" s="91">
        <f t="shared" si="14"/>
        <v>916.66666666666663</v>
      </c>
    </row>
    <row r="65" spans="1:17" s="6" customFormat="1" x14ac:dyDescent="0.2">
      <c r="A65" s="110"/>
      <c r="B65" s="111" t="s">
        <v>29</v>
      </c>
      <c r="C65" s="111"/>
      <c r="D65" s="84">
        <v>0</v>
      </c>
      <c r="E65" s="82">
        <v>0</v>
      </c>
      <c r="F65" s="84">
        <v>0.05</v>
      </c>
      <c r="G65" s="82">
        <v>458.33333333333331</v>
      </c>
      <c r="H65" s="84">
        <v>0.05</v>
      </c>
      <c r="I65" s="82">
        <v>458.33333333333331</v>
      </c>
      <c r="J65" s="84">
        <f t="shared" ref="J65:J70" si="15">H65</f>
        <v>0.05</v>
      </c>
      <c r="K65" s="82">
        <v>458.33333333333331</v>
      </c>
      <c r="L65" s="84">
        <f t="shared" ref="L65:L70" si="16">J65</f>
        <v>0.05</v>
      </c>
      <c r="M65" s="82">
        <v>458.33333333333331</v>
      </c>
      <c r="N65" s="84">
        <f t="shared" si="14"/>
        <v>0.05</v>
      </c>
      <c r="O65" s="112">
        <f t="shared" si="14"/>
        <v>458.33333333333331</v>
      </c>
    </row>
    <row r="66" spans="1:17" x14ac:dyDescent="0.2">
      <c r="A66" s="66"/>
      <c r="B66" s="73" t="s">
        <v>89</v>
      </c>
      <c r="C66" s="73"/>
      <c r="D66" s="109">
        <v>0</v>
      </c>
      <c r="E66" s="82">
        <v>0</v>
      </c>
      <c r="F66" s="84">
        <v>0.05</v>
      </c>
      <c r="G66" s="82">
        <v>0</v>
      </c>
      <c r="H66" s="84">
        <v>0.05</v>
      </c>
      <c r="I66" s="82">
        <v>0</v>
      </c>
      <c r="J66" s="84">
        <v>0.05</v>
      </c>
      <c r="K66" s="82">
        <v>0</v>
      </c>
      <c r="L66" s="84">
        <v>0.05</v>
      </c>
      <c r="M66" s="82">
        <v>0</v>
      </c>
      <c r="N66" s="83">
        <f t="shared" si="14"/>
        <v>0.05</v>
      </c>
      <c r="O66" s="91">
        <f t="shared" si="14"/>
        <v>0</v>
      </c>
    </row>
    <row r="67" spans="1:17" x14ac:dyDescent="0.2">
      <c r="A67" s="66"/>
      <c r="B67" s="73" t="s">
        <v>24</v>
      </c>
      <c r="C67" s="73"/>
      <c r="D67" s="109">
        <v>0</v>
      </c>
      <c r="E67" s="82">
        <v>0</v>
      </c>
      <c r="F67" s="84">
        <v>0.05</v>
      </c>
      <c r="G67" s="82">
        <v>458.33333333333331</v>
      </c>
      <c r="H67" s="84">
        <v>0.05</v>
      </c>
      <c r="I67" s="82">
        <v>458.33333333333331</v>
      </c>
      <c r="J67" s="84">
        <f t="shared" si="15"/>
        <v>0.05</v>
      </c>
      <c r="K67" s="82">
        <v>458.33333333333331</v>
      </c>
      <c r="L67" s="84">
        <f t="shared" si="16"/>
        <v>0.05</v>
      </c>
      <c r="M67" s="82">
        <v>458.33333333333331</v>
      </c>
      <c r="N67" s="83">
        <f t="shared" si="14"/>
        <v>0.05</v>
      </c>
      <c r="O67" s="91">
        <f t="shared" si="14"/>
        <v>458.33333333333331</v>
      </c>
    </row>
    <row r="68" spans="1:17" x14ac:dyDescent="0.2">
      <c r="A68" s="66"/>
      <c r="B68" s="73" t="s">
        <v>25</v>
      </c>
      <c r="C68" s="73"/>
      <c r="D68" s="84">
        <v>0</v>
      </c>
      <c r="E68" s="82">
        <v>0</v>
      </c>
      <c r="F68" s="84">
        <v>0.05</v>
      </c>
      <c r="G68" s="82">
        <v>458.33333333333331</v>
      </c>
      <c r="H68" s="84">
        <v>0.05</v>
      </c>
      <c r="I68" s="82">
        <v>458.33333333333331</v>
      </c>
      <c r="J68" s="84">
        <f t="shared" si="15"/>
        <v>0.05</v>
      </c>
      <c r="K68" s="82">
        <v>458.33333333333331</v>
      </c>
      <c r="L68" s="84">
        <f t="shared" si="16"/>
        <v>0.05</v>
      </c>
      <c r="M68" s="82">
        <v>458.33333333333331</v>
      </c>
      <c r="N68" s="83">
        <f t="shared" si="14"/>
        <v>0.05</v>
      </c>
      <c r="O68" s="91">
        <f t="shared" si="14"/>
        <v>458.33333333333331</v>
      </c>
    </row>
    <row r="69" spans="1:17" x14ac:dyDescent="0.2">
      <c r="A69" s="66"/>
      <c r="B69" s="73" t="s">
        <v>26</v>
      </c>
      <c r="C69" s="73"/>
      <c r="D69" s="84">
        <v>0</v>
      </c>
      <c r="E69" s="82">
        <v>0</v>
      </c>
      <c r="F69" s="84">
        <v>0.05</v>
      </c>
      <c r="G69" s="82">
        <v>458.33333333333331</v>
      </c>
      <c r="H69" s="84">
        <v>0.05</v>
      </c>
      <c r="I69" s="82">
        <v>458.33333333333331</v>
      </c>
      <c r="J69" s="84">
        <f t="shared" si="15"/>
        <v>0.05</v>
      </c>
      <c r="K69" s="82">
        <v>458.33333333333331</v>
      </c>
      <c r="L69" s="84">
        <f t="shared" si="16"/>
        <v>0.05</v>
      </c>
      <c r="M69" s="82">
        <v>458.33333333333331</v>
      </c>
      <c r="N69" s="83">
        <f t="shared" si="14"/>
        <v>0.05</v>
      </c>
      <c r="O69" s="91">
        <f t="shared" si="14"/>
        <v>458.33333333333331</v>
      </c>
    </row>
    <row r="70" spans="1:17" x14ac:dyDescent="0.2">
      <c r="A70" s="66"/>
      <c r="B70" s="73" t="s">
        <v>28</v>
      </c>
      <c r="C70" s="73"/>
      <c r="D70" s="84">
        <v>0</v>
      </c>
      <c r="E70" s="82">
        <v>0</v>
      </c>
      <c r="F70" s="84">
        <v>0.05</v>
      </c>
      <c r="G70" s="82">
        <v>458.33333333333331</v>
      </c>
      <c r="H70" s="84">
        <v>0.05</v>
      </c>
      <c r="I70" s="82">
        <v>458.33333333333331</v>
      </c>
      <c r="J70" s="84">
        <f t="shared" si="15"/>
        <v>0.05</v>
      </c>
      <c r="K70" s="82">
        <v>458.33333333333331</v>
      </c>
      <c r="L70" s="84">
        <f t="shared" si="16"/>
        <v>0.05</v>
      </c>
      <c r="M70" s="82">
        <v>458.33333333333331</v>
      </c>
      <c r="N70" s="83">
        <f t="shared" si="14"/>
        <v>0.05</v>
      </c>
      <c r="O70" s="91">
        <f t="shared" si="14"/>
        <v>458.33333333333331</v>
      </c>
    </row>
    <row r="71" spans="1:17" x14ac:dyDescent="0.2">
      <c r="A71" s="66"/>
      <c r="B71" s="73" t="s">
        <v>30</v>
      </c>
      <c r="C71" s="73"/>
      <c r="D71" s="84">
        <v>0</v>
      </c>
      <c r="E71" s="82">
        <v>0</v>
      </c>
      <c r="F71" s="84">
        <v>0.08</v>
      </c>
      <c r="G71" s="82">
        <v>733.33333333333337</v>
      </c>
      <c r="H71" s="84">
        <v>0.2</v>
      </c>
      <c r="I71" s="82">
        <v>1833.3333333333333</v>
      </c>
      <c r="J71" s="113">
        <v>0.3</v>
      </c>
      <c r="K71" s="82">
        <v>2750</v>
      </c>
      <c r="L71" s="114">
        <v>0.5</v>
      </c>
      <c r="M71" s="82">
        <v>4583.333333333333</v>
      </c>
      <c r="N71" s="83">
        <f t="shared" si="14"/>
        <v>0.5</v>
      </c>
      <c r="O71" s="91">
        <f t="shared" si="14"/>
        <v>4583.333333333333</v>
      </c>
    </row>
    <row r="72" spans="1:17" ht="17" thickBot="1" x14ac:dyDescent="0.25">
      <c r="A72" s="92"/>
      <c r="B72" s="93" t="s">
        <v>88</v>
      </c>
      <c r="C72" s="94"/>
      <c r="D72" s="115"/>
      <c r="E72" s="96"/>
      <c r="F72" s="115"/>
      <c r="G72" s="96"/>
      <c r="H72" s="115"/>
      <c r="I72" s="96"/>
      <c r="J72" s="115"/>
      <c r="K72" s="96"/>
      <c r="L72" s="115"/>
      <c r="M72" s="96"/>
      <c r="N72" s="115"/>
      <c r="O72" s="96"/>
    </row>
    <row r="73" spans="1:17" ht="17" thickBot="1" x14ac:dyDescent="0.25">
      <c r="Q73" s="8"/>
    </row>
    <row r="74" spans="1:17" ht="17" thickBot="1" x14ac:dyDescent="0.25">
      <c r="A74" s="116"/>
      <c r="B74" s="117"/>
      <c r="C74" s="118"/>
      <c r="D74" s="119"/>
      <c r="E74" s="120"/>
      <c r="F74" s="121"/>
      <c r="G74" s="120"/>
      <c r="H74" s="121"/>
      <c r="I74" s="120"/>
      <c r="J74" s="121"/>
      <c r="K74" s="120"/>
      <c r="L74" s="121"/>
      <c r="M74" s="120"/>
      <c r="N74" s="122"/>
      <c r="O74" s="120"/>
    </row>
    <row r="75" spans="1:17" ht="17" thickBot="1" x14ac:dyDescent="0.25">
      <c r="Q75" s="8"/>
    </row>
    <row r="76" spans="1:17" ht="17" thickBot="1" x14ac:dyDescent="0.25">
      <c r="A76" s="116"/>
      <c r="B76" s="117"/>
      <c r="C76" s="118"/>
      <c r="D76" s="119"/>
      <c r="E76" s="120"/>
      <c r="F76" s="121"/>
      <c r="G76" s="120"/>
      <c r="H76" s="121"/>
      <c r="I76" s="120"/>
      <c r="J76" s="121"/>
      <c r="K76" s="120"/>
      <c r="L76" s="121"/>
      <c r="M76" s="120"/>
      <c r="N76" s="122"/>
      <c r="O76" s="120"/>
    </row>
    <row r="78" spans="1:17" x14ac:dyDescent="0.2">
      <c r="B78" t="s">
        <v>94</v>
      </c>
      <c r="C78">
        <v>3</v>
      </c>
      <c r="D78" t="s">
        <v>51</v>
      </c>
      <c r="F78" t="s">
        <v>8</v>
      </c>
      <c r="H78" t="s">
        <v>8</v>
      </c>
      <c r="J78" t="s">
        <v>13</v>
      </c>
      <c r="L78" t="s">
        <v>83</v>
      </c>
    </row>
    <row r="80" spans="1:17" x14ac:dyDescent="0.2">
      <c r="A80" t="s">
        <v>95</v>
      </c>
      <c r="B80" s="2"/>
    </row>
    <row r="81" spans="1:17" x14ac:dyDescent="0.2">
      <c r="B81" t="str">
        <f>B63</f>
        <v>MAS core + Infrastructure</v>
      </c>
      <c r="D81" s="123"/>
      <c r="E81" s="123"/>
      <c r="F81" s="123">
        <f t="shared" ref="F81:F89" si="17">1/F63*$C$78</f>
        <v>30</v>
      </c>
      <c r="G81" s="123"/>
      <c r="H81" s="123">
        <f t="shared" ref="H81:H89" si="18">1/H63*$C$78</f>
        <v>30</v>
      </c>
      <c r="I81" s="123"/>
      <c r="J81" s="123">
        <f t="shared" ref="J81:J89" si="19">1/J63*$C$78</f>
        <v>30</v>
      </c>
      <c r="K81" s="123"/>
      <c r="L81" s="123">
        <f t="shared" ref="L81:L89" si="20">1/L63*$C$78</f>
        <v>30</v>
      </c>
      <c r="M81" s="123"/>
      <c r="Q81" s="8"/>
    </row>
    <row r="82" spans="1:17" x14ac:dyDescent="0.2">
      <c r="B82" t="str">
        <f>B64</f>
        <v>Monitor</v>
      </c>
      <c r="D82" s="123"/>
      <c r="E82" s="123"/>
      <c r="F82" s="123">
        <f t="shared" si="17"/>
        <v>60</v>
      </c>
      <c r="G82" s="123"/>
      <c r="H82" s="123">
        <f t="shared" si="18"/>
        <v>60</v>
      </c>
      <c r="I82" s="123"/>
      <c r="J82" s="123">
        <f t="shared" si="19"/>
        <v>60</v>
      </c>
      <c r="K82" s="123"/>
      <c r="L82" s="123">
        <f t="shared" si="20"/>
        <v>60</v>
      </c>
      <c r="M82" s="123"/>
    </row>
    <row r="83" spans="1:17" x14ac:dyDescent="0.2">
      <c r="B83" t="str">
        <f>B65</f>
        <v>Safety</v>
      </c>
      <c r="D83" s="123"/>
      <c r="E83" s="123"/>
      <c r="F83" s="123">
        <f t="shared" si="17"/>
        <v>60</v>
      </c>
      <c r="G83" s="123"/>
      <c r="H83" s="123">
        <f t="shared" si="18"/>
        <v>60</v>
      </c>
      <c r="I83" s="123"/>
      <c r="J83" s="123">
        <f t="shared" si="19"/>
        <v>60</v>
      </c>
      <c r="K83" s="123"/>
      <c r="L83" s="123">
        <f t="shared" si="20"/>
        <v>60</v>
      </c>
      <c r="M83" s="123"/>
    </row>
    <row r="84" spans="1:17" x14ac:dyDescent="0.2">
      <c r="B84" t="s">
        <v>96</v>
      </c>
      <c r="D84" s="123"/>
      <c r="E84" s="123"/>
      <c r="F84" s="123">
        <f t="shared" si="17"/>
        <v>60</v>
      </c>
      <c r="G84" s="123"/>
      <c r="H84" s="123">
        <f t="shared" si="18"/>
        <v>60</v>
      </c>
      <c r="I84" s="123"/>
      <c r="J84" s="123">
        <f t="shared" si="19"/>
        <v>60</v>
      </c>
      <c r="K84" s="123"/>
      <c r="L84" s="123">
        <f t="shared" si="20"/>
        <v>60</v>
      </c>
      <c r="M84" s="123"/>
    </row>
    <row r="85" spans="1:17" x14ac:dyDescent="0.2">
      <c r="B85" t="str">
        <f>B67</f>
        <v>Health</v>
      </c>
      <c r="D85" s="123"/>
      <c r="E85" s="123"/>
      <c r="F85" s="123">
        <f t="shared" si="17"/>
        <v>60</v>
      </c>
      <c r="G85" s="123"/>
      <c r="H85" s="123">
        <f t="shared" si="18"/>
        <v>60</v>
      </c>
      <c r="I85" s="123"/>
      <c r="J85" s="123">
        <f t="shared" si="19"/>
        <v>60</v>
      </c>
      <c r="K85" s="123"/>
      <c r="L85" s="123">
        <f t="shared" si="20"/>
        <v>60</v>
      </c>
      <c r="M85" s="123"/>
    </row>
    <row r="86" spans="1:17" x14ac:dyDescent="0.2">
      <c r="B86" t="str">
        <f>B68</f>
        <v>Predict</v>
      </c>
      <c r="D86" s="123"/>
      <c r="E86" s="123"/>
      <c r="F86" s="123">
        <f t="shared" si="17"/>
        <v>60</v>
      </c>
      <c r="G86" s="123"/>
      <c r="H86" s="123">
        <f t="shared" si="18"/>
        <v>60</v>
      </c>
      <c r="I86" s="123"/>
      <c r="J86" s="123">
        <f t="shared" si="19"/>
        <v>60</v>
      </c>
      <c r="K86" s="123"/>
      <c r="L86" s="123">
        <f t="shared" si="20"/>
        <v>60</v>
      </c>
      <c r="M86" s="123"/>
      <c r="Q86" s="8"/>
    </row>
    <row r="87" spans="1:17" x14ac:dyDescent="0.2">
      <c r="B87" t="str">
        <f>B69</f>
        <v>Visual Inspection</v>
      </c>
      <c r="D87" s="123"/>
      <c r="E87" s="123"/>
      <c r="F87" s="123">
        <f t="shared" si="17"/>
        <v>60</v>
      </c>
      <c r="G87" s="123"/>
      <c r="H87" s="123">
        <f t="shared" si="18"/>
        <v>60</v>
      </c>
      <c r="I87" s="123"/>
      <c r="J87" s="123">
        <f t="shared" si="19"/>
        <v>60</v>
      </c>
      <c r="K87" s="123"/>
      <c r="L87" s="123">
        <f t="shared" si="20"/>
        <v>60</v>
      </c>
      <c r="M87" s="123"/>
      <c r="Q87" s="8"/>
    </row>
    <row r="88" spans="1:17" x14ac:dyDescent="0.2">
      <c r="B88" t="str">
        <f>B70</f>
        <v>Assist</v>
      </c>
      <c r="D88" s="123"/>
      <c r="E88" s="123"/>
      <c r="F88" s="123">
        <f t="shared" si="17"/>
        <v>60</v>
      </c>
      <c r="G88" s="123"/>
      <c r="H88" s="123">
        <f t="shared" si="18"/>
        <v>60</v>
      </c>
      <c r="I88" s="123"/>
      <c r="J88" s="123">
        <f t="shared" si="19"/>
        <v>60</v>
      </c>
      <c r="K88" s="123"/>
      <c r="L88" s="123">
        <f t="shared" si="20"/>
        <v>60</v>
      </c>
      <c r="M88" s="123"/>
    </row>
    <row r="89" spans="1:17" x14ac:dyDescent="0.2">
      <c r="B89" t="str">
        <f t="shared" ref="B89" si="21">B71</f>
        <v>Manage</v>
      </c>
      <c r="D89" s="123"/>
      <c r="E89" s="123"/>
      <c r="F89" s="123">
        <f t="shared" si="17"/>
        <v>37.5</v>
      </c>
      <c r="G89" s="123"/>
      <c r="H89" s="123">
        <f t="shared" si="18"/>
        <v>15</v>
      </c>
      <c r="I89" s="123"/>
      <c r="J89" s="123">
        <f t="shared" si="19"/>
        <v>10</v>
      </c>
      <c r="K89" s="123"/>
      <c r="L89" s="123">
        <f t="shared" si="20"/>
        <v>6</v>
      </c>
      <c r="M89" s="123"/>
    </row>
    <row r="90" spans="1:17" s="10" customFormat="1" x14ac:dyDescent="0.2">
      <c r="E90" s="124"/>
      <c r="G90" s="124"/>
      <c r="I90" s="124"/>
      <c r="K90" s="124"/>
      <c r="M90" s="124"/>
      <c r="O90" s="124"/>
    </row>
    <row r="91" spans="1:17" ht="17" thickBot="1" x14ac:dyDescent="0.25">
      <c r="E91" s="125"/>
      <c r="G91" s="125"/>
      <c r="I91" s="125"/>
    </row>
    <row r="92" spans="1:17" ht="19" x14ac:dyDescent="0.25">
      <c r="A92" s="126"/>
      <c r="B92" s="127" t="s">
        <v>97</v>
      </c>
      <c r="C92" s="128"/>
      <c r="D92" s="129" t="s">
        <v>51</v>
      </c>
      <c r="E92" s="130" t="s">
        <v>82</v>
      </c>
      <c r="F92" s="129" t="s">
        <v>52</v>
      </c>
      <c r="G92" s="130" t="s">
        <v>82</v>
      </c>
      <c r="H92" s="129" t="s">
        <v>8</v>
      </c>
      <c r="I92" s="130" t="s">
        <v>82</v>
      </c>
      <c r="J92" s="129" t="s">
        <v>13</v>
      </c>
      <c r="K92" s="131" t="s">
        <v>82</v>
      </c>
      <c r="L92" s="129" t="s">
        <v>83</v>
      </c>
      <c r="M92" s="131" t="s">
        <v>82</v>
      </c>
      <c r="N92" s="132" t="str">
        <f>AC1</f>
        <v>xlarge</v>
      </c>
      <c r="O92" s="133" t="s">
        <v>82</v>
      </c>
    </row>
    <row r="93" spans="1:17" x14ac:dyDescent="0.2">
      <c r="A93" s="134"/>
      <c r="B93" s="67"/>
      <c r="C93" s="135"/>
      <c r="E93" s="136"/>
      <c r="G93" s="137"/>
      <c r="I93" s="137"/>
      <c r="K93" s="138"/>
      <c r="M93" s="138"/>
      <c r="O93" s="139"/>
    </row>
    <row r="94" spans="1:17" x14ac:dyDescent="0.2">
      <c r="A94" s="134"/>
      <c r="B94" s="67"/>
      <c r="C94" s="135"/>
      <c r="E94" s="136"/>
      <c r="G94" s="137"/>
      <c r="I94" s="137"/>
      <c r="K94" s="138"/>
      <c r="M94" s="138"/>
      <c r="O94" s="139"/>
    </row>
    <row r="95" spans="1:17" x14ac:dyDescent="0.2">
      <c r="A95" s="134"/>
      <c r="B95" s="72" t="s">
        <v>98</v>
      </c>
      <c r="C95" s="135"/>
      <c r="D95" s="1" t="s">
        <v>99</v>
      </c>
      <c r="E95" s="136"/>
      <c r="F95" s="1" t="s">
        <v>100</v>
      </c>
      <c r="G95" s="137"/>
      <c r="H95" s="1" t="s">
        <v>100</v>
      </c>
      <c r="I95" s="137"/>
      <c r="J95" s="1" t="s">
        <v>100</v>
      </c>
      <c r="K95" s="138"/>
      <c r="L95" s="1" t="s">
        <v>100</v>
      </c>
      <c r="M95" s="138"/>
      <c r="N95" s="140" t="s">
        <v>100</v>
      </c>
      <c r="O95" s="139"/>
    </row>
    <row r="96" spans="1:17" x14ac:dyDescent="0.2">
      <c r="A96" s="134"/>
      <c r="B96" s="67"/>
      <c r="C96" s="135"/>
      <c r="D96" s="1" t="s">
        <v>101</v>
      </c>
      <c r="E96" s="136"/>
      <c r="F96" s="1" t="s">
        <v>101</v>
      </c>
      <c r="G96" s="137"/>
      <c r="H96" s="1" t="s">
        <v>101</v>
      </c>
      <c r="I96" s="137"/>
      <c r="J96" s="1" t="s">
        <v>101</v>
      </c>
      <c r="K96" s="138"/>
      <c r="L96" s="1" t="s">
        <v>101</v>
      </c>
      <c r="M96" s="138"/>
      <c r="N96" s="140" t="s">
        <v>101</v>
      </c>
      <c r="O96" s="139"/>
      <c r="Q96" t="s">
        <v>102</v>
      </c>
    </row>
    <row r="97" spans="1:19" x14ac:dyDescent="0.2">
      <c r="A97" s="134"/>
      <c r="B97" s="67"/>
      <c r="C97" s="135"/>
      <c r="D97" s="1" t="s">
        <v>103</v>
      </c>
      <c r="E97" s="136">
        <v>269</v>
      </c>
      <c r="F97" s="1" t="s">
        <v>104</v>
      </c>
      <c r="G97" s="137">
        <v>706</v>
      </c>
      <c r="H97" s="1" t="s">
        <v>104</v>
      </c>
      <c r="I97" s="137">
        <v>706</v>
      </c>
      <c r="J97" s="1" t="s">
        <v>105</v>
      </c>
      <c r="K97" s="138">
        <v>886</v>
      </c>
      <c r="L97" s="1" t="s">
        <v>105</v>
      </c>
      <c r="M97" s="138">
        <v>886</v>
      </c>
      <c r="N97" s="140" t="s">
        <v>105</v>
      </c>
      <c r="O97" s="139">
        <v>886</v>
      </c>
      <c r="Q97" t="s">
        <v>149</v>
      </c>
    </row>
    <row r="98" spans="1:19" x14ac:dyDescent="0.2">
      <c r="A98" s="134"/>
      <c r="B98" s="67"/>
      <c r="C98" s="135"/>
      <c r="E98" s="136"/>
      <c r="G98" s="137"/>
      <c r="I98" s="137"/>
      <c r="K98" s="138"/>
      <c r="M98" s="138"/>
      <c r="O98" s="139"/>
      <c r="Q98" t="s">
        <v>106</v>
      </c>
      <c r="R98">
        <v>600000</v>
      </c>
    </row>
    <row r="99" spans="1:19" x14ac:dyDescent="0.2">
      <c r="A99" s="134"/>
      <c r="B99" s="79" t="s">
        <v>107</v>
      </c>
      <c r="C99" s="135"/>
      <c r="E99" s="136"/>
      <c r="G99" s="137"/>
      <c r="I99" s="137"/>
      <c r="K99" s="138"/>
      <c r="M99" s="138"/>
      <c r="O99" s="139"/>
      <c r="Q99" t="s">
        <v>108</v>
      </c>
      <c r="R99">
        <f>100*R98</f>
        <v>60000000</v>
      </c>
    </row>
    <row r="100" spans="1:19" x14ac:dyDescent="0.2">
      <c r="A100" s="134"/>
      <c r="B100" s="73" t="s">
        <v>109</v>
      </c>
      <c r="C100" s="135" t="s">
        <v>110</v>
      </c>
      <c r="D100" s="141"/>
      <c r="E100" s="142">
        <f>(0.68)*24*30</f>
        <v>489.6</v>
      </c>
      <c r="F100" s="143" t="s">
        <v>111</v>
      </c>
      <c r="G100" s="144">
        <f>(2.11)*24*30</f>
        <v>1519.2</v>
      </c>
      <c r="H100" s="143" t="s">
        <v>111</v>
      </c>
      <c r="I100" s="144">
        <f>(2.11)*24*30</f>
        <v>1519.2</v>
      </c>
      <c r="J100" s="143" t="s">
        <v>111</v>
      </c>
      <c r="K100" s="145">
        <f>(2.11)*24*30</f>
        <v>1519.2</v>
      </c>
      <c r="L100" s="143" t="s">
        <v>111</v>
      </c>
      <c r="M100" s="145">
        <f>(2.11)*24*30</f>
        <v>1519.2</v>
      </c>
      <c r="N100" s="146" t="s">
        <v>111</v>
      </c>
      <c r="O100" s="139">
        <f>(2.11)*24*30</f>
        <v>1519.2</v>
      </c>
      <c r="Q100" t="s">
        <v>112</v>
      </c>
      <c r="R100">
        <f>R99/60/1024</f>
        <v>976.5625</v>
      </c>
    </row>
    <row r="101" spans="1:19" x14ac:dyDescent="0.2">
      <c r="A101" s="134"/>
      <c r="B101" s="73" t="s">
        <v>31</v>
      </c>
      <c r="C101" s="147">
        <v>6</v>
      </c>
      <c r="D101" s="3"/>
      <c r="E101" s="142">
        <f>(0.05*C101)*24*30</f>
        <v>216.00000000000003</v>
      </c>
      <c r="F101" s="148">
        <v>8</v>
      </c>
      <c r="G101" s="144">
        <f>(1.48*F101/16)*24*30</f>
        <v>532.79999999999995</v>
      </c>
      <c r="H101" s="148">
        <v>8</v>
      </c>
      <c r="I101" s="144">
        <f>(1.48*H101/16)*24*30</f>
        <v>532.79999999999995</v>
      </c>
      <c r="J101" s="148">
        <v>16</v>
      </c>
      <c r="K101" s="145">
        <f>(1.48*J101/16)*24*30</f>
        <v>1065.5999999999999</v>
      </c>
      <c r="L101" s="148">
        <v>16</v>
      </c>
      <c r="M101" s="145">
        <f>(1.48*L101/16)*24*30</f>
        <v>1065.5999999999999</v>
      </c>
      <c r="N101" s="149">
        <v>16</v>
      </c>
      <c r="O101" s="139">
        <f>(1.48*N101/16)*24*30</f>
        <v>1065.5999999999999</v>
      </c>
      <c r="Q101" t="s">
        <v>113</v>
      </c>
      <c r="R101">
        <v>1</v>
      </c>
      <c r="S101" t="s">
        <v>114</v>
      </c>
    </row>
    <row r="102" spans="1:19" x14ac:dyDescent="0.2">
      <c r="A102" s="134"/>
      <c r="B102" s="73" t="s">
        <v>115</v>
      </c>
      <c r="C102" s="147"/>
      <c r="D102" s="3"/>
      <c r="E102" s="142"/>
      <c r="F102" s="148">
        <v>186</v>
      </c>
      <c r="G102" s="144"/>
      <c r="H102" s="148">
        <v>186</v>
      </c>
      <c r="I102" s="144"/>
      <c r="J102" s="148">
        <v>186</v>
      </c>
      <c r="K102" s="145"/>
      <c r="L102" s="148">
        <v>186</v>
      </c>
      <c r="M102" s="145"/>
      <c r="N102" s="149">
        <v>186</v>
      </c>
      <c r="O102" s="139"/>
      <c r="Q102" t="s">
        <v>116</v>
      </c>
      <c r="R102">
        <f>ROUNDUP(R97/(1024)/R98,0)</f>
        <v>0</v>
      </c>
    </row>
    <row r="103" spans="1:19" x14ac:dyDescent="0.2">
      <c r="A103" s="134"/>
      <c r="B103" s="73" t="s">
        <v>117</v>
      </c>
      <c r="C103" s="147">
        <v>1024</v>
      </c>
      <c r="D103" s="3"/>
      <c r="E103" s="142">
        <f>(0.005*C103/10)*24*30</f>
        <v>368.64</v>
      </c>
      <c r="F103" s="148">
        <v>1024</v>
      </c>
      <c r="G103" s="144">
        <f>(0.48/1024*F103)*24*30</f>
        <v>345.59999999999997</v>
      </c>
      <c r="H103" s="148">
        <v>1024</v>
      </c>
      <c r="I103" s="144">
        <f>(0.48/1024*H103)*24*30</f>
        <v>345.59999999999997</v>
      </c>
      <c r="J103" s="148">
        <v>2048</v>
      </c>
      <c r="K103" s="145">
        <f>(0.48/1024*J103)*24*30</f>
        <v>691.19999999999993</v>
      </c>
      <c r="L103" s="148">
        <v>8192</v>
      </c>
      <c r="M103" s="145">
        <f>(0.48/1024*L103)*24*30</f>
        <v>2764.7999999999997</v>
      </c>
      <c r="N103" s="149">
        <v>1024</v>
      </c>
      <c r="O103" s="139">
        <f>(0.48/1024*N103)*24*30</f>
        <v>345.59999999999997</v>
      </c>
      <c r="Q103" t="s">
        <v>118</v>
      </c>
      <c r="R103">
        <f>((R97/(1024*1024))*60*60*24*30)</f>
        <v>0</v>
      </c>
    </row>
    <row r="104" spans="1:19" x14ac:dyDescent="0.2">
      <c r="A104" s="134"/>
      <c r="B104" s="73"/>
      <c r="C104" s="135"/>
      <c r="D104" s="3"/>
      <c r="E104" s="142"/>
      <c r="F104" s="3"/>
      <c r="G104" s="144"/>
      <c r="H104" s="3"/>
      <c r="I104" s="144"/>
      <c r="J104" s="3"/>
      <c r="K104" s="145"/>
      <c r="L104" s="3"/>
      <c r="M104" s="145"/>
      <c r="O104" s="139"/>
    </row>
    <row r="105" spans="1:19" x14ac:dyDescent="0.2">
      <c r="A105" s="134"/>
      <c r="B105" s="72" t="s">
        <v>119</v>
      </c>
      <c r="C105" s="135" t="s">
        <v>120</v>
      </c>
      <c r="D105">
        <v>1</v>
      </c>
      <c r="E105" s="150">
        <f>0.014*D105*24*30</f>
        <v>10.08</v>
      </c>
      <c r="F105" s="6">
        <v>30</v>
      </c>
      <c r="G105" s="151">
        <f>0.014*F105*24*30</f>
        <v>302.39999999999998</v>
      </c>
      <c r="H105" s="6">
        <v>30</v>
      </c>
      <c r="I105" s="151">
        <f>0.014*H105*24*30</f>
        <v>302.39999999999998</v>
      </c>
      <c r="J105" s="6">
        <v>40</v>
      </c>
      <c r="K105" s="152">
        <f>0.014*J105*24*30</f>
        <v>403.20000000000005</v>
      </c>
      <c r="L105" s="6">
        <v>60</v>
      </c>
      <c r="M105" s="152">
        <f>0.014*L105*24*30</f>
        <v>604.79999999999995</v>
      </c>
      <c r="N105" s="46">
        <v>50</v>
      </c>
      <c r="O105" s="153">
        <f>0.014*N105*24*30</f>
        <v>504</v>
      </c>
      <c r="Q105" t="s">
        <v>116</v>
      </c>
      <c r="R105">
        <f>ROUNDUP(R100/(1024)/R101,0)</f>
        <v>1</v>
      </c>
    </row>
    <row r="106" spans="1:19" x14ac:dyDescent="0.2">
      <c r="A106" s="134"/>
      <c r="B106" s="73"/>
      <c r="C106" s="135" t="s">
        <v>121</v>
      </c>
      <c r="D106">
        <v>1</v>
      </c>
      <c r="E106" s="136">
        <f>0.08*D106</f>
        <v>0.08</v>
      </c>
      <c r="F106" s="154">
        <v>40</v>
      </c>
      <c r="G106" s="137">
        <f>0.08*F106</f>
        <v>3.2</v>
      </c>
      <c r="H106" s="154">
        <v>40</v>
      </c>
      <c r="I106" s="137">
        <f>0.08*H106</f>
        <v>3.2</v>
      </c>
      <c r="J106" s="154">
        <v>400</v>
      </c>
      <c r="K106" s="138">
        <f>0.08*J106</f>
        <v>32</v>
      </c>
      <c r="L106" s="154">
        <v>2400</v>
      </c>
      <c r="M106" s="138">
        <f>0.08*L106</f>
        <v>192</v>
      </c>
      <c r="N106" s="155">
        <v>200</v>
      </c>
      <c r="O106" s="139">
        <f>0.08*N106</f>
        <v>16</v>
      </c>
      <c r="Q106" t="s">
        <v>118</v>
      </c>
      <c r="R106">
        <f>((R100/(1024*1024))*60*60*24*30)</f>
        <v>2413.9881134033203</v>
      </c>
    </row>
    <row r="107" spans="1:19" x14ac:dyDescent="0.2">
      <c r="A107" s="134"/>
      <c r="B107" s="73"/>
      <c r="C107" s="135"/>
      <c r="E107" s="136"/>
      <c r="G107" s="137"/>
      <c r="I107" s="137"/>
      <c r="K107" s="138"/>
      <c r="M107" s="138"/>
      <c r="O107" s="139"/>
    </row>
    <row r="108" spans="1:19" x14ac:dyDescent="0.2">
      <c r="A108" s="134"/>
      <c r="B108" s="72" t="s">
        <v>73</v>
      </c>
      <c r="C108" s="135" t="s">
        <v>122</v>
      </c>
      <c r="D108" s="3"/>
      <c r="E108" s="156">
        <f>99+0.5*6*24*30</f>
        <v>2259</v>
      </c>
      <c r="F108" s="157"/>
      <c r="G108" s="158">
        <f>E108</f>
        <v>2259</v>
      </c>
      <c r="H108" s="157"/>
      <c r="I108" s="158">
        <f>G108</f>
        <v>2259</v>
      </c>
      <c r="J108" s="157"/>
      <c r="K108" s="159">
        <f>99+0.5*11*24*30</f>
        <v>4059</v>
      </c>
      <c r="L108" s="157"/>
      <c r="M108" s="159">
        <f>99+0.5*11*24*30</f>
        <v>4059</v>
      </c>
      <c r="N108" s="160"/>
      <c r="O108" s="161">
        <f>I108</f>
        <v>2259</v>
      </c>
    </row>
    <row r="109" spans="1:19" x14ac:dyDescent="0.2">
      <c r="A109" s="134"/>
      <c r="B109" s="73"/>
      <c r="C109" s="135" t="s">
        <v>123</v>
      </c>
      <c r="D109" s="3">
        <v>1</v>
      </c>
      <c r="E109" s="142">
        <f>99*D109</f>
        <v>99</v>
      </c>
      <c r="F109" s="3">
        <v>1</v>
      </c>
      <c r="G109" s="144">
        <f>99*F109</f>
        <v>99</v>
      </c>
      <c r="H109" s="3">
        <v>1</v>
      </c>
      <c r="I109" s="144">
        <f>99*H109</f>
        <v>99</v>
      </c>
      <c r="J109" s="3">
        <v>1</v>
      </c>
      <c r="K109" s="145">
        <f>99*J109</f>
        <v>99</v>
      </c>
      <c r="L109" s="3">
        <v>1</v>
      </c>
      <c r="M109" s="145">
        <f>99*L109</f>
        <v>99</v>
      </c>
      <c r="N109" s="160">
        <v>1</v>
      </c>
      <c r="O109" s="162">
        <f>99*N109</f>
        <v>99</v>
      </c>
    </row>
    <row r="110" spans="1:19" x14ac:dyDescent="0.2">
      <c r="A110" s="134"/>
      <c r="B110" s="73"/>
      <c r="C110" s="135" t="s">
        <v>124</v>
      </c>
      <c r="D110" s="3"/>
      <c r="E110" s="142">
        <f>E108*0.65</f>
        <v>1468.3500000000001</v>
      </c>
      <c r="F110" s="3"/>
      <c r="G110" s="142">
        <f>G108*0.65</f>
        <v>1468.3500000000001</v>
      </c>
      <c r="H110" s="3"/>
      <c r="I110" s="142">
        <f>I108*0.65</f>
        <v>1468.3500000000001</v>
      </c>
      <c r="J110" s="3"/>
      <c r="K110" s="142">
        <f>K108*0.65</f>
        <v>2638.35</v>
      </c>
      <c r="L110" s="3"/>
      <c r="M110" s="142">
        <f>M108*0.65</f>
        <v>2638.35</v>
      </c>
      <c r="N110" s="160"/>
      <c r="O110" s="162"/>
    </row>
    <row r="111" spans="1:19" x14ac:dyDescent="0.2">
      <c r="A111" s="134"/>
      <c r="B111" s="73"/>
      <c r="C111" s="135" t="s">
        <v>125</v>
      </c>
      <c r="D111" s="3"/>
      <c r="E111" s="142"/>
      <c r="F111" s="3"/>
      <c r="G111" s="144"/>
      <c r="H111" s="3"/>
      <c r="I111" s="144"/>
      <c r="J111" s="3"/>
      <c r="K111" s="145"/>
      <c r="L111" s="3"/>
      <c r="M111" s="145"/>
      <c r="N111" s="160"/>
      <c r="O111" s="162"/>
    </row>
    <row r="112" spans="1:19" x14ac:dyDescent="0.2">
      <c r="A112" s="134"/>
      <c r="B112" s="73"/>
      <c r="C112" s="135" t="s">
        <v>126</v>
      </c>
      <c r="D112" s="3"/>
      <c r="E112" s="142">
        <v>6000</v>
      </c>
      <c r="F112" s="3"/>
      <c r="G112" s="144">
        <v>6000</v>
      </c>
      <c r="H112" s="3"/>
      <c r="I112" s="144">
        <v>6000</v>
      </c>
      <c r="J112" s="3"/>
      <c r="K112" s="145">
        <f>6000+4*24*30*0.4</f>
        <v>7152</v>
      </c>
      <c r="L112" s="3"/>
      <c r="M112" s="145">
        <f>K112</f>
        <v>7152</v>
      </c>
      <c r="N112" s="160"/>
      <c r="O112" s="162"/>
    </row>
    <row r="113" spans="1:15" x14ac:dyDescent="0.2">
      <c r="A113" s="134"/>
      <c r="B113" s="73"/>
      <c r="C113" s="135" t="s">
        <v>127</v>
      </c>
      <c r="E113" s="136"/>
      <c r="G113" s="137"/>
      <c r="I113" s="137"/>
      <c r="K113" s="138"/>
      <c r="M113" s="138"/>
      <c r="O113" s="139"/>
    </row>
    <row r="114" spans="1:15" x14ac:dyDescent="0.2">
      <c r="A114" s="134"/>
      <c r="B114" s="73"/>
      <c r="C114" s="135" t="s">
        <v>128</v>
      </c>
      <c r="E114" s="136"/>
      <c r="G114" s="137"/>
      <c r="I114" s="137"/>
      <c r="K114" s="138"/>
      <c r="M114" s="138"/>
      <c r="O114" s="139"/>
    </row>
    <row r="115" spans="1:15" x14ac:dyDescent="0.2">
      <c r="A115" s="134"/>
      <c r="B115" s="73"/>
      <c r="C115" s="135"/>
      <c r="D115" s="3"/>
      <c r="E115" s="142"/>
      <c r="F115" s="3"/>
      <c r="G115" s="144"/>
      <c r="H115" s="3"/>
      <c r="I115" s="144"/>
      <c r="J115" s="3"/>
      <c r="K115" s="145"/>
      <c r="L115" s="3"/>
      <c r="M115" s="145"/>
      <c r="N115" s="160"/>
      <c r="O115" s="162"/>
    </row>
    <row r="116" spans="1:15" x14ac:dyDescent="0.2">
      <c r="A116" s="134"/>
      <c r="B116" s="163" t="s">
        <v>129</v>
      </c>
      <c r="C116" s="135" t="s">
        <v>130</v>
      </c>
      <c r="D116" s="3"/>
      <c r="E116" s="156">
        <v>366.79500000000002</v>
      </c>
      <c r="F116" s="157"/>
      <c r="G116" s="156">
        <v>366.79500000000002</v>
      </c>
      <c r="H116" s="157"/>
      <c r="I116" s="156">
        <v>366.79500000000002</v>
      </c>
      <c r="J116" s="157"/>
      <c r="K116" s="156">
        <v>1467.18</v>
      </c>
      <c r="L116" s="157"/>
      <c r="M116" s="156">
        <v>672.45749999999998</v>
      </c>
      <c r="N116" s="160"/>
      <c r="O116" s="161"/>
    </row>
    <row r="117" spans="1:15" x14ac:dyDescent="0.2">
      <c r="A117" s="134"/>
      <c r="B117" s="73"/>
      <c r="C117" s="135" t="s">
        <v>131</v>
      </c>
      <c r="D117" s="3"/>
      <c r="E117" s="142"/>
      <c r="F117" s="3"/>
      <c r="G117" s="144"/>
      <c r="H117" s="3"/>
      <c r="I117" s="144"/>
      <c r="J117" s="3"/>
      <c r="K117" s="145"/>
      <c r="L117" s="3"/>
      <c r="M117" s="145"/>
      <c r="N117" s="160"/>
      <c r="O117" s="162"/>
    </row>
    <row r="118" spans="1:15" x14ac:dyDescent="0.2">
      <c r="A118" s="134"/>
      <c r="B118" s="73"/>
      <c r="C118" s="135"/>
      <c r="E118" s="136"/>
      <c r="G118" s="137"/>
      <c r="I118" s="137"/>
      <c r="K118" s="138"/>
      <c r="M118" s="138"/>
      <c r="O118" s="139"/>
    </row>
    <row r="119" spans="1:15" x14ac:dyDescent="0.2">
      <c r="A119" s="134"/>
      <c r="B119" s="73"/>
      <c r="C119" s="135"/>
      <c r="E119" s="136"/>
      <c r="G119" s="137"/>
      <c r="I119" s="137"/>
      <c r="K119" s="138"/>
      <c r="M119" s="138"/>
      <c r="O119" s="139"/>
    </row>
    <row r="120" spans="1:15" x14ac:dyDescent="0.2">
      <c r="A120" s="134"/>
      <c r="B120" s="72" t="s">
        <v>132</v>
      </c>
      <c r="C120" s="143" t="s">
        <v>133</v>
      </c>
      <c r="D120" s="3"/>
      <c r="E120" s="142">
        <f>0.5*8*24*30</f>
        <v>2880</v>
      </c>
      <c r="F120" s="3"/>
      <c r="G120" s="142">
        <f>0.5*8*2*24*30</f>
        <v>5760</v>
      </c>
      <c r="H120" s="3"/>
      <c r="I120" s="144">
        <f>G120</f>
        <v>5760</v>
      </c>
      <c r="J120" s="3"/>
      <c r="K120" s="145">
        <f>I120</f>
        <v>5760</v>
      </c>
      <c r="L120" s="3"/>
      <c r="M120" s="145">
        <f>0.5*8*3*24*30</f>
        <v>8640</v>
      </c>
      <c r="O120" s="139"/>
    </row>
    <row r="121" spans="1:15" x14ac:dyDescent="0.2">
      <c r="A121" s="134"/>
      <c r="B121" s="73"/>
      <c r="C121" s="135" t="s">
        <v>124</v>
      </c>
      <c r="D121" s="3"/>
      <c r="E121" s="142">
        <f>E120*0.65</f>
        <v>1872</v>
      </c>
      <c r="F121" s="3"/>
      <c r="G121" s="142">
        <f>G120*0.65</f>
        <v>3744</v>
      </c>
      <c r="H121" s="3"/>
      <c r="I121" s="142">
        <f>I120*0.65</f>
        <v>3744</v>
      </c>
      <c r="J121" s="3"/>
      <c r="K121" s="142">
        <f>K120*0.65</f>
        <v>3744</v>
      </c>
      <c r="L121" s="3"/>
      <c r="M121" s="142">
        <f>M120*0.65</f>
        <v>5616</v>
      </c>
      <c r="N121" s="160"/>
      <c r="O121" s="162"/>
    </row>
    <row r="122" spans="1:15" x14ac:dyDescent="0.2">
      <c r="A122" s="134"/>
      <c r="B122" s="73" t="s">
        <v>134</v>
      </c>
      <c r="C122" s="143" t="s">
        <v>135</v>
      </c>
      <c r="D122" s="3"/>
      <c r="E122" s="142"/>
      <c r="F122" s="3"/>
      <c r="G122" s="144"/>
      <c r="H122" s="3"/>
      <c r="I122" s="144"/>
      <c r="J122" s="3"/>
      <c r="K122" s="145"/>
      <c r="L122" s="3"/>
      <c r="M122" s="145"/>
      <c r="O122" s="139"/>
    </row>
    <row r="123" spans="1:15" x14ac:dyDescent="0.2">
      <c r="A123" s="134"/>
      <c r="B123" s="73"/>
      <c r="C123" s="143" t="s">
        <v>136</v>
      </c>
      <c r="D123" s="3"/>
      <c r="E123" s="142">
        <f>1000+0.4*8*24*30</f>
        <v>3304.0000000000005</v>
      </c>
      <c r="F123" s="3"/>
      <c r="G123" s="144">
        <f>E123*2</f>
        <v>6608.0000000000009</v>
      </c>
      <c r="H123" s="3"/>
      <c r="I123" s="144">
        <f>G123</f>
        <v>6608.0000000000009</v>
      </c>
      <c r="J123" s="3"/>
      <c r="K123" s="145">
        <f>I123</f>
        <v>6608.0000000000009</v>
      </c>
      <c r="L123" s="3"/>
      <c r="M123" s="145">
        <f>3*E123</f>
        <v>9912.0000000000018</v>
      </c>
      <c r="O123" s="139"/>
    </row>
    <row r="124" spans="1:15" x14ac:dyDescent="0.2">
      <c r="A124" s="134"/>
      <c r="B124" s="73"/>
      <c r="C124" s="143"/>
      <c r="D124" s="3"/>
      <c r="E124" s="142">
        <f>E123*0.65</f>
        <v>2147.6000000000004</v>
      </c>
      <c r="F124" s="3"/>
      <c r="G124" s="142">
        <f>G123*0.65</f>
        <v>4295.2000000000007</v>
      </c>
      <c r="H124" s="3"/>
      <c r="I124" s="142">
        <f>I123*0.65</f>
        <v>4295.2000000000007</v>
      </c>
      <c r="J124" s="3"/>
      <c r="K124" s="142">
        <f>K123*0.65</f>
        <v>4295.2000000000007</v>
      </c>
      <c r="L124" s="3"/>
      <c r="M124" s="142">
        <f>M123*0.65</f>
        <v>6442.8000000000011</v>
      </c>
      <c r="O124" s="139"/>
    </row>
    <row r="125" spans="1:15" x14ac:dyDescent="0.2">
      <c r="A125" s="134"/>
      <c r="B125" s="73"/>
      <c r="C125" s="143"/>
      <c r="D125" s="3"/>
      <c r="E125" s="142"/>
      <c r="F125" s="3"/>
      <c r="G125" s="144"/>
      <c r="H125" s="3"/>
      <c r="I125" s="144"/>
      <c r="J125" s="3"/>
      <c r="K125" s="145"/>
      <c r="L125" s="3"/>
      <c r="M125" s="145"/>
      <c r="O125" s="139"/>
    </row>
    <row r="126" spans="1:15" x14ac:dyDescent="0.2">
      <c r="A126" s="134"/>
      <c r="B126" s="163" t="s">
        <v>137</v>
      </c>
      <c r="C126" s="143"/>
      <c r="D126" s="3"/>
      <c r="E126" s="156">
        <v>489.06</v>
      </c>
      <c r="F126" s="157"/>
      <c r="G126" s="156">
        <v>978.12</v>
      </c>
      <c r="H126" s="157"/>
      <c r="I126" s="156">
        <v>978.12</v>
      </c>
      <c r="J126" s="157"/>
      <c r="K126" s="156">
        <v>978.12</v>
      </c>
      <c r="L126" s="157"/>
      <c r="M126" s="156">
        <v>1467.18</v>
      </c>
      <c r="O126" s="153"/>
    </row>
    <row r="127" spans="1:15" x14ac:dyDescent="0.2">
      <c r="A127" s="134"/>
      <c r="B127" s="73"/>
      <c r="C127" s="143"/>
      <c r="D127" s="3"/>
      <c r="E127" s="142"/>
      <c r="F127" s="3"/>
      <c r="G127" s="144"/>
      <c r="H127" s="3"/>
      <c r="I127" s="144"/>
      <c r="J127" s="3"/>
      <c r="K127" s="145"/>
      <c r="L127" s="3"/>
      <c r="M127" s="145"/>
      <c r="O127" s="139"/>
    </row>
    <row r="128" spans="1:15" x14ac:dyDescent="0.2">
      <c r="A128" s="134"/>
      <c r="B128" s="73"/>
      <c r="C128" s="143"/>
      <c r="D128" s="3"/>
      <c r="E128" s="142"/>
      <c r="F128" s="3"/>
      <c r="G128" s="144"/>
      <c r="H128" s="3"/>
      <c r="I128" s="144"/>
      <c r="J128" s="3"/>
      <c r="K128" s="145"/>
      <c r="L128" s="3"/>
      <c r="M128" s="145"/>
      <c r="O128" s="139"/>
    </row>
    <row r="129" spans="1:15" x14ac:dyDescent="0.2">
      <c r="A129" s="134"/>
      <c r="B129" s="72" t="s">
        <v>74</v>
      </c>
      <c r="C129" s="143" t="s">
        <v>138</v>
      </c>
      <c r="D129" s="3"/>
      <c r="E129" s="156"/>
      <c r="F129" s="157"/>
      <c r="G129" s="158"/>
      <c r="H129" s="157"/>
      <c r="I129" s="158"/>
      <c r="J129" s="157"/>
      <c r="K129" s="159"/>
      <c r="L129" s="157"/>
      <c r="M129" s="159"/>
      <c r="O129" s="153"/>
    </row>
    <row r="130" spans="1:15" x14ac:dyDescent="0.2">
      <c r="A130" s="134"/>
      <c r="B130" s="73"/>
      <c r="C130" s="143" t="s">
        <v>139</v>
      </c>
      <c r="D130" s="3"/>
      <c r="E130" s="142"/>
      <c r="F130" s="3"/>
      <c r="G130" s="144"/>
      <c r="H130" s="3"/>
      <c r="I130" s="144"/>
      <c r="J130" s="3"/>
      <c r="K130" s="145"/>
      <c r="L130" s="3"/>
      <c r="M130" s="145"/>
      <c r="O130" s="139"/>
    </row>
    <row r="131" spans="1:15" x14ac:dyDescent="0.2">
      <c r="A131" s="134"/>
      <c r="B131" s="73"/>
      <c r="C131" s="143"/>
      <c r="D131" s="3"/>
      <c r="E131" s="142"/>
      <c r="F131" s="3"/>
      <c r="G131" s="144"/>
      <c r="H131" s="3"/>
      <c r="I131" s="144"/>
      <c r="J131" s="3"/>
      <c r="K131" s="145"/>
      <c r="L131" s="3"/>
      <c r="M131" s="145"/>
      <c r="O131" s="139"/>
    </row>
    <row r="132" spans="1:15" ht="17" thickBot="1" x14ac:dyDescent="0.25">
      <c r="A132" s="164"/>
      <c r="B132" s="165"/>
      <c r="C132" s="166"/>
      <c r="D132" s="167"/>
      <c r="E132" s="168"/>
      <c r="F132" s="169"/>
      <c r="G132" s="170"/>
      <c r="H132" s="169"/>
      <c r="I132" s="170"/>
      <c r="J132" s="169"/>
      <c r="K132" s="171"/>
      <c r="L132" s="169"/>
      <c r="M132" s="171"/>
      <c r="N132" s="172"/>
      <c r="O132" s="173"/>
    </row>
    <row r="133" spans="1:15" ht="17" thickBot="1" x14ac:dyDescent="0.25">
      <c r="A133" s="174"/>
      <c r="B133" s="174"/>
      <c r="C133" s="175"/>
      <c r="D133" s="175"/>
      <c r="E133" s="176"/>
      <c r="F133" s="176"/>
      <c r="G133" s="176"/>
      <c r="H133" s="176"/>
      <c r="I133" s="176"/>
      <c r="J133" s="176"/>
      <c r="K133" s="176"/>
      <c r="L133" s="176"/>
      <c r="M133" s="176"/>
      <c r="N133" s="177"/>
      <c r="O133" s="177"/>
    </row>
    <row r="134" spans="1:15" ht="17" thickBot="1" x14ac:dyDescent="0.25">
      <c r="A134" s="101"/>
      <c r="B134" s="102"/>
      <c r="C134" s="103"/>
      <c r="D134" s="104"/>
      <c r="E134" s="178"/>
      <c r="F134" s="106"/>
      <c r="G134" s="178"/>
      <c r="H134" s="106"/>
      <c r="I134" s="178"/>
      <c r="J134" s="106"/>
      <c r="K134" s="178"/>
      <c r="L134" s="106"/>
      <c r="M134" s="178"/>
      <c r="N134" s="107"/>
      <c r="O134" s="108"/>
    </row>
    <row r="135" spans="1:15" x14ac:dyDescent="0.2">
      <c r="E135" s="125"/>
      <c r="G135" s="179" t="s">
        <v>140</v>
      </c>
      <c r="I135" s="179" t="s">
        <v>140</v>
      </c>
      <c r="K135" s="125"/>
      <c r="M135" s="125"/>
      <c r="O135" s="180"/>
    </row>
    <row r="136" spans="1:15" x14ac:dyDescent="0.2">
      <c r="E136" s="125"/>
      <c r="G136" s="125"/>
      <c r="I136" s="125"/>
      <c r="K136" s="125"/>
      <c r="M136" s="125"/>
      <c r="O136" s="180"/>
    </row>
  </sheetData>
  <sheetProtection algorithmName="SHA-512" hashValue="RmreHSROcqJcMuJ0Y7Ll5HtJRFoQDA68W26Gpfz38jLPQKcITCz9decPCTsj67rMjPsiSDPFX8tRxL+N1DdOkg==" saltValue="dhLD0aOtzn1MpQ7a9M7UVw==" spinCount="100000" sheet="1" objects="1" scenarios="1"/>
  <pageMargins left="0.7" right="0.7" top="0.75" bottom="0.75" header="0.3" footer="0.3"/>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B9A7-71CB-6144-ADBB-1E62C039144A}">
  <sheetPr codeName="Sheet14"/>
  <dimension ref="B2:P75"/>
  <sheetViews>
    <sheetView topLeftCell="A45" zoomScale="125" workbookViewId="0">
      <selection activeCell="E71" sqref="E71"/>
    </sheetView>
  </sheetViews>
  <sheetFormatPr baseColWidth="10" defaultRowHeight="16" x14ac:dyDescent="0.2"/>
  <cols>
    <col min="3" max="3" width="31.6640625" customWidth="1"/>
    <col min="5" max="5" width="23.33203125" customWidth="1"/>
    <col min="6" max="6" width="17.5" customWidth="1"/>
    <col min="7" max="7" width="35.33203125" bestFit="1" customWidth="1"/>
    <col min="8" max="8" width="40.6640625" bestFit="1" customWidth="1"/>
    <col min="10" max="10" width="26.1640625" bestFit="1" customWidth="1"/>
    <col min="11" max="11" width="22.1640625" bestFit="1" customWidth="1"/>
  </cols>
  <sheetData>
    <row r="2" spans="2:16" x14ac:dyDescent="0.2">
      <c r="G2" s="2" t="s">
        <v>230</v>
      </c>
    </row>
    <row r="3" spans="2:16" x14ac:dyDescent="0.2">
      <c r="B3" t="s">
        <v>1</v>
      </c>
      <c r="C3" t="s">
        <v>9</v>
      </c>
      <c r="D3" t="s">
        <v>12</v>
      </c>
      <c r="E3" t="s">
        <v>19</v>
      </c>
      <c r="F3" t="s">
        <v>142</v>
      </c>
      <c r="G3" t="s">
        <v>211</v>
      </c>
      <c r="H3" t="s">
        <v>218</v>
      </c>
      <c r="I3" t="s">
        <v>233</v>
      </c>
      <c r="J3" t="s">
        <v>235</v>
      </c>
      <c r="K3" t="s">
        <v>237</v>
      </c>
    </row>
    <row r="4" spans="2:16" x14ac:dyDescent="0.2">
      <c r="B4" t="s">
        <v>3</v>
      </c>
      <c r="C4" t="s">
        <v>10</v>
      </c>
      <c r="D4" t="s">
        <v>223</v>
      </c>
      <c r="E4" t="s">
        <v>3</v>
      </c>
      <c r="F4" t="s">
        <v>143</v>
      </c>
      <c r="G4" t="s">
        <v>223</v>
      </c>
      <c r="H4" t="s">
        <v>223</v>
      </c>
      <c r="I4" t="s">
        <v>316</v>
      </c>
      <c r="J4" t="s">
        <v>236</v>
      </c>
      <c r="K4" t="s">
        <v>238</v>
      </c>
    </row>
    <row r="5" spans="2:16" x14ac:dyDescent="0.2">
      <c r="B5" t="s">
        <v>2</v>
      </c>
      <c r="C5" t="s">
        <v>3</v>
      </c>
      <c r="D5" t="s">
        <v>312</v>
      </c>
      <c r="E5" t="s">
        <v>20</v>
      </c>
      <c r="F5" t="s">
        <v>8</v>
      </c>
      <c r="G5" t="s">
        <v>212</v>
      </c>
      <c r="H5" t="s">
        <v>231</v>
      </c>
      <c r="I5">
        <v>1</v>
      </c>
      <c r="J5" t="s">
        <v>212</v>
      </c>
      <c r="K5" t="s">
        <v>239</v>
      </c>
    </row>
    <row r="6" spans="2:16" x14ac:dyDescent="0.2">
      <c r="D6" t="s">
        <v>313</v>
      </c>
      <c r="E6" t="s">
        <v>21</v>
      </c>
      <c r="F6" t="s">
        <v>13</v>
      </c>
      <c r="G6" s="212" t="s">
        <v>213</v>
      </c>
      <c r="H6" t="s">
        <v>345</v>
      </c>
      <c r="I6">
        <v>2</v>
      </c>
      <c r="J6" t="s">
        <v>213</v>
      </c>
    </row>
    <row r="7" spans="2:16" x14ac:dyDescent="0.2">
      <c r="D7" t="s">
        <v>314</v>
      </c>
      <c r="F7" t="s">
        <v>83</v>
      </c>
      <c r="G7" t="s">
        <v>214</v>
      </c>
      <c r="H7" t="s">
        <v>220</v>
      </c>
      <c r="I7">
        <v>3</v>
      </c>
      <c r="J7" t="s">
        <v>214</v>
      </c>
    </row>
    <row r="8" spans="2:16" x14ac:dyDescent="0.2">
      <c r="D8" t="s">
        <v>315</v>
      </c>
      <c r="F8" t="s">
        <v>144</v>
      </c>
      <c r="G8" t="s">
        <v>215</v>
      </c>
      <c r="H8" t="s">
        <v>221</v>
      </c>
      <c r="I8">
        <v>4</v>
      </c>
      <c r="J8" t="s">
        <v>215</v>
      </c>
    </row>
    <row r="9" spans="2:16" x14ac:dyDescent="0.2">
      <c r="G9" t="s">
        <v>216</v>
      </c>
      <c r="H9" t="s">
        <v>219</v>
      </c>
      <c r="I9">
        <v>5</v>
      </c>
    </row>
    <row r="10" spans="2:16" x14ac:dyDescent="0.2">
      <c r="B10" t="s">
        <v>320</v>
      </c>
      <c r="E10" t="s">
        <v>596</v>
      </c>
    </row>
    <row r="11" spans="2:16" x14ac:dyDescent="0.2">
      <c r="B11">
        <v>0</v>
      </c>
      <c r="E11" t="s">
        <v>3</v>
      </c>
      <c r="G11" s="2" t="s">
        <v>230</v>
      </c>
      <c r="J11" t="s">
        <v>250</v>
      </c>
    </row>
    <row r="12" spans="2:16" x14ac:dyDescent="0.2">
      <c r="B12">
        <v>1</v>
      </c>
      <c r="E12" t="s">
        <v>597</v>
      </c>
      <c r="G12" t="s">
        <v>343</v>
      </c>
      <c r="H12" t="s">
        <v>350</v>
      </c>
      <c r="J12" t="s">
        <v>51</v>
      </c>
    </row>
    <row r="13" spans="2:16" x14ac:dyDescent="0.2">
      <c r="B13">
        <v>2</v>
      </c>
      <c r="E13" t="s">
        <v>598</v>
      </c>
      <c r="G13" t="s">
        <v>223</v>
      </c>
      <c r="H13" t="s">
        <v>223</v>
      </c>
      <c r="J13" t="s">
        <v>143</v>
      </c>
    </row>
    <row r="14" spans="2:16" x14ac:dyDescent="0.2">
      <c r="B14">
        <v>3</v>
      </c>
      <c r="G14" t="s">
        <v>338</v>
      </c>
      <c r="H14" t="s">
        <v>344</v>
      </c>
      <c r="J14" t="s">
        <v>8</v>
      </c>
    </row>
    <row r="15" spans="2:16" x14ac:dyDescent="0.2">
      <c r="B15">
        <v>4</v>
      </c>
      <c r="G15" s="212" t="s">
        <v>339</v>
      </c>
      <c r="H15" s="212" t="s">
        <v>346</v>
      </c>
      <c r="J15" t="s">
        <v>13</v>
      </c>
    </row>
    <row r="16" spans="2:16" x14ac:dyDescent="0.2">
      <c r="B16">
        <v>5</v>
      </c>
      <c r="G16" t="s">
        <v>340</v>
      </c>
      <c r="H16" t="s">
        <v>347</v>
      </c>
      <c r="J16" t="s">
        <v>83</v>
      </c>
      <c r="O16" s="1"/>
      <c r="P16" s="7"/>
    </row>
    <row r="17" spans="2:16" x14ac:dyDescent="0.2">
      <c r="B17">
        <v>6</v>
      </c>
      <c r="G17" t="s">
        <v>341</v>
      </c>
      <c r="H17" t="s">
        <v>348</v>
      </c>
      <c r="J17" t="s">
        <v>144</v>
      </c>
      <c r="O17" s="1"/>
      <c r="P17" s="7"/>
    </row>
    <row r="18" spans="2:16" x14ac:dyDescent="0.2">
      <c r="B18">
        <v>7</v>
      </c>
      <c r="G18" t="s">
        <v>342</v>
      </c>
      <c r="H18" t="s">
        <v>349</v>
      </c>
      <c r="J18" t="s">
        <v>3</v>
      </c>
      <c r="O18" s="1"/>
      <c r="P18" s="7"/>
    </row>
    <row r="19" spans="2:16" x14ac:dyDescent="0.2">
      <c r="B19">
        <v>8</v>
      </c>
      <c r="P19" s="7"/>
    </row>
    <row r="20" spans="2:16" x14ac:dyDescent="0.2">
      <c r="B20">
        <v>9</v>
      </c>
      <c r="G20" s="2" t="s">
        <v>230</v>
      </c>
      <c r="H20" t="s">
        <v>373</v>
      </c>
      <c r="P20" s="7"/>
    </row>
    <row r="21" spans="2:16" x14ac:dyDescent="0.2">
      <c r="B21">
        <v>10</v>
      </c>
      <c r="G21" t="s">
        <v>365</v>
      </c>
      <c r="H21" t="s">
        <v>223</v>
      </c>
      <c r="O21" s="141"/>
      <c r="P21" s="7"/>
    </row>
    <row r="22" spans="2:16" x14ac:dyDescent="0.2">
      <c r="G22" t="s">
        <v>223</v>
      </c>
      <c r="H22" t="s">
        <v>559</v>
      </c>
      <c r="O22" s="3"/>
      <c r="P22" s="7"/>
    </row>
    <row r="23" spans="2:16" x14ac:dyDescent="0.2">
      <c r="G23" t="s">
        <v>366</v>
      </c>
      <c r="H23" t="s">
        <v>370</v>
      </c>
      <c r="O23" s="3"/>
      <c r="P23" s="7"/>
    </row>
    <row r="24" spans="2:16" x14ac:dyDescent="0.2">
      <c r="G24" t="s">
        <v>367</v>
      </c>
      <c r="H24" t="s">
        <v>371</v>
      </c>
      <c r="O24" s="3"/>
      <c r="P24" s="7"/>
    </row>
    <row r="25" spans="2:16" x14ac:dyDescent="0.2">
      <c r="G25" t="s">
        <v>368</v>
      </c>
      <c r="H25" t="s">
        <v>372</v>
      </c>
      <c r="O25" s="3"/>
      <c r="P25" s="7"/>
    </row>
    <row r="26" spans="2:16" x14ac:dyDescent="0.2">
      <c r="G26" t="s">
        <v>461</v>
      </c>
      <c r="H26" t="s">
        <v>459</v>
      </c>
    </row>
    <row r="27" spans="2:16" x14ac:dyDescent="0.2">
      <c r="G27" t="s">
        <v>467</v>
      </c>
      <c r="H27" t="s">
        <v>460</v>
      </c>
    </row>
    <row r="29" spans="2:16" x14ac:dyDescent="0.2">
      <c r="G29" s="2" t="s">
        <v>230</v>
      </c>
      <c r="H29" t="s">
        <v>458</v>
      </c>
    </row>
    <row r="30" spans="2:16" x14ac:dyDescent="0.2">
      <c r="G30" t="s">
        <v>435</v>
      </c>
      <c r="H30" t="s">
        <v>223</v>
      </c>
    </row>
    <row r="31" spans="2:16" x14ac:dyDescent="0.2">
      <c r="G31" t="s">
        <v>223</v>
      </c>
      <c r="H31" t="s">
        <v>560</v>
      </c>
    </row>
    <row r="32" spans="2:16" x14ac:dyDescent="0.2">
      <c r="G32" t="s">
        <v>436</v>
      </c>
      <c r="H32" t="s">
        <v>462</v>
      </c>
    </row>
    <row r="33" spans="7:8" x14ac:dyDescent="0.2">
      <c r="G33" t="s">
        <v>437</v>
      </c>
      <c r="H33" t="s">
        <v>463</v>
      </c>
    </row>
    <row r="34" spans="7:8" x14ac:dyDescent="0.2">
      <c r="G34" t="s">
        <v>438</v>
      </c>
      <c r="H34" t="s">
        <v>464</v>
      </c>
    </row>
    <row r="35" spans="7:8" x14ac:dyDescent="0.2">
      <c r="G35" t="s">
        <v>439</v>
      </c>
      <c r="H35" t="s">
        <v>465</v>
      </c>
    </row>
    <row r="36" spans="7:8" x14ac:dyDescent="0.2">
      <c r="G36" t="s">
        <v>440</v>
      </c>
      <c r="H36" t="s">
        <v>466</v>
      </c>
    </row>
    <row r="38" spans="7:8" x14ac:dyDescent="0.2">
      <c r="G38" s="2" t="s">
        <v>230</v>
      </c>
      <c r="H38" t="s">
        <v>468</v>
      </c>
    </row>
    <row r="39" spans="7:8" x14ac:dyDescent="0.2">
      <c r="G39" t="s">
        <v>453</v>
      </c>
      <c r="H39" t="s">
        <v>223</v>
      </c>
    </row>
    <row r="40" spans="7:8" x14ac:dyDescent="0.2">
      <c r="G40" t="s">
        <v>223</v>
      </c>
      <c r="H40" t="s">
        <v>561</v>
      </c>
    </row>
    <row r="41" spans="7:8" x14ac:dyDescent="0.2">
      <c r="G41" t="s">
        <v>454</v>
      </c>
      <c r="H41" t="s">
        <v>469</v>
      </c>
    </row>
    <row r="42" spans="7:8" x14ac:dyDescent="0.2">
      <c r="G42" t="s">
        <v>455</v>
      </c>
      <c r="H42" t="s">
        <v>470</v>
      </c>
    </row>
    <row r="43" spans="7:8" x14ac:dyDescent="0.2">
      <c r="G43" t="s">
        <v>508</v>
      </c>
      <c r="H43" t="s">
        <v>507</v>
      </c>
    </row>
    <row r="44" spans="7:8" x14ac:dyDescent="0.2">
      <c r="G44" t="s">
        <v>456</v>
      </c>
      <c r="H44" t="s">
        <v>471</v>
      </c>
    </row>
    <row r="45" spans="7:8" x14ac:dyDescent="0.2">
      <c r="G45" t="s">
        <v>457</v>
      </c>
      <c r="H45" t="s">
        <v>472</v>
      </c>
    </row>
    <row r="47" spans="7:8" x14ac:dyDescent="0.2">
      <c r="G47" s="2" t="s">
        <v>230</v>
      </c>
      <c r="H47" t="s">
        <v>509</v>
      </c>
    </row>
    <row r="48" spans="7:8" x14ac:dyDescent="0.2">
      <c r="G48" t="s">
        <v>487</v>
      </c>
      <c r="H48" t="s">
        <v>223</v>
      </c>
    </row>
    <row r="49" spans="7:8" x14ac:dyDescent="0.2">
      <c r="G49" t="s">
        <v>223</v>
      </c>
      <c r="H49" t="s">
        <v>562</v>
      </c>
    </row>
    <row r="50" spans="7:8" x14ac:dyDescent="0.2">
      <c r="G50" t="s">
        <v>488</v>
      </c>
      <c r="H50" t="s">
        <v>502</v>
      </c>
    </row>
    <row r="51" spans="7:8" x14ac:dyDescent="0.2">
      <c r="G51" t="s">
        <v>489</v>
      </c>
      <c r="H51" t="s">
        <v>503</v>
      </c>
    </row>
    <row r="52" spans="7:8" x14ac:dyDescent="0.2">
      <c r="G52" t="s">
        <v>490</v>
      </c>
      <c r="H52" t="s">
        <v>505</v>
      </c>
    </row>
    <row r="53" spans="7:8" x14ac:dyDescent="0.2">
      <c r="G53" t="s">
        <v>492</v>
      </c>
      <c r="H53" t="s">
        <v>504</v>
      </c>
    </row>
    <row r="54" spans="7:8" x14ac:dyDescent="0.2">
      <c r="G54" t="s">
        <v>491</v>
      </c>
      <c r="H54" t="s">
        <v>506</v>
      </c>
    </row>
    <row r="58" spans="7:8" x14ac:dyDescent="0.2">
      <c r="G58" s="2" t="s">
        <v>230</v>
      </c>
      <c r="H58" s="2" t="s">
        <v>528</v>
      </c>
    </row>
    <row r="59" spans="7:8" x14ac:dyDescent="0.2">
      <c r="G59" t="s">
        <v>525</v>
      </c>
      <c r="H59" t="s">
        <v>223</v>
      </c>
    </row>
    <row r="60" spans="7:8" x14ac:dyDescent="0.2">
      <c r="G60" t="s">
        <v>223</v>
      </c>
      <c r="H60" t="s">
        <v>563</v>
      </c>
    </row>
    <row r="61" spans="7:8" x14ac:dyDescent="0.2">
      <c r="G61" t="s">
        <v>601</v>
      </c>
      <c r="H61" t="s">
        <v>573</v>
      </c>
    </row>
    <row r="62" spans="7:8" x14ac:dyDescent="0.2">
      <c r="G62" t="s">
        <v>564</v>
      </c>
      <c r="H62" t="s">
        <v>574</v>
      </c>
    </row>
    <row r="63" spans="7:8" x14ac:dyDescent="0.2">
      <c r="G63" t="s">
        <v>526</v>
      </c>
      <c r="H63" t="s">
        <v>529</v>
      </c>
    </row>
    <row r="64" spans="7:8" x14ac:dyDescent="0.2">
      <c r="G64" t="s">
        <v>527</v>
      </c>
      <c r="H64" t="s">
        <v>530</v>
      </c>
    </row>
    <row r="65" spans="7:8" x14ac:dyDescent="0.2">
      <c r="G65" t="s">
        <v>531</v>
      </c>
      <c r="H65" t="s">
        <v>532</v>
      </c>
    </row>
    <row r="68" spans="7:8" x14ac:dyDescent="0.2">
      <c r="G68" s="2" t="s">
        <v>230</v>
      </c>
    </row>
    <row r="69" spans="7:8" x14ac:dyDescent="0.2">
      <c r="G69" t="s">
        <v>600</v>
      </c>
    </row>
    <row r="70" spans="7:8" x14ac:dyDescent="0.2">
      <c r="G70" t="s">
        <v>223</v>
      </c>
    </row>
    <row r="71" spans="7:8" x14ac:dyDescent="0.2">
      <c r="G71" t="s">
        <v>602</v>
      </c>
    </row>
    <row r="72" spans="7:8" x14ac:dyDescent="0.2">
      <c r="G72" t="s">
        <v>603</v>
      </c>
    </row>
    <row r="73" spans="7:8" x14ac:dyDescent="0.2">
      <c r="G73" t="s">
        <v>604</v>
      </c>
    </row>
    <row r="74" spans="7:8" x14ac:dyDescent="0.2">
      <c r="G74" t="s">
        <v>605</v>
      </c>
    </row>
    <row r="75" spans="7:8" x14ac:dyDescent="0.2">
      <c r="G75" t="s">
        <v>606</v>
      </c>
    </row>
  </sheetData>
  <sheetProtection algorithmName="SHA-512" hashValue="lX8/3XMWOI+C3l8Dj8EbbAR4moYcQ2zmef2k3u2eB1IT4ParavZFBxiZNoHSqU2E8OjW1fbA5KjPB8QiEnupCg==" saltValue="STUq3Dw/vxsjgRHr+5/fT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212</vt:i4>
      </vt:variant>
    </vt:vector>
  </HeadingPairs>
  <TitlesOfParts>
    <vt:vector size="231" baseType="lpstr">
      <vt:lpstr>Instructions</vt:lpstr>
      <vt:lpstr>Apps-&gt;</vt:lpstr>
      <vt:lpstr>Manage</vt:lpstr>
      <vt:lpstr>Health</vt:lpstr>
      <vt:lpstr>Monitor</vt:lpstr>
      <vt:lpstr>Predict</vt:lpstr>
      <vt:lpstr>Safety</vt:lpstr>
      <vt:lpstr>Assist</vt:lpstr>
      <vt:lpstr>MVI</vt:lpstr>
      <vt:lpstr>MAS Core</vt:lpstr>
      <vt:lpstr>Summary-&gt;</vt:lpstr>
      <vt:lpstr>Output Dashboard</vt:lpstr>
      <vt:lpstr>Version</vt:lpstr>
      <vt:lpstr>Hide-&gt;</vt:lpstr>
      <vt:lpstr>Addon Prices</vt:lpstr>
      <vt:lpstr>Backlog</vt:lpstr>
      <vt:lpstr>Input Cost</vt:lpstr>
      <vt:lpstr>Costing Model</vt:lpstr>
      <vt:lpstr>txts</vt:lpstr>
      <vt:lpstr>assistextravpc</vt:lpstr>
      <vt:lpstr>assistfteall</vt:lpstr>
      <vt:lpstr>assistftetotal</vt:lpstr>
      <vt:lpstr>assistprodsizes</vt:lpstr>
      <vt:lpstr>Assistsizesyesno</vt:lpstr>
      <vt:lpstr>assistvpcdev</vt:lpstr>
      <vt:lpstr>assistvpclarge</vt:lpstr>
      <vt:lpstr>assistvpcmedium</vt:lpstr>
      <vt:lpstr>assistvpcprod</vt:lpstr>
      <vt:lpstr>assistvpcsmall</vt:lpstr>
      <vt:lpstr>assistvpcxmsall</vt:lpstr>
      <vt:lpstr>CapUCost</vt:lpstr>
      <vt:lpstr>CapUdiscounedpriceyearly</vt:lpstr>
      <vt:lpstr>Couchdbcpvlarge</vt:lpstr>
      <vt:lpstr>Couchdbgblarge</vt:lpstr>
      <vt:lpstr>Couchdbgbmedium</vt:lpstr>
      <vt:lpstr>Couchdbgbxsmall</vt:lpstr>
      <vt:lpstr>Couchdbvpcdev</vt:lpstr>
      <vt:lpstr>Couchdbvpcmedium</vt:lpstr>
      <vt:lpstr>Couchdbvpcsmall</vt:lpstr>
      <vt:lpstr>Couchdbvpcxsmall</vt:lpstr>
      <vt:lpstr>Couchgbgbdev</vt:lpstr>
      <vt:lpstr>Couchgbgbsmall</vt:lpstr>
      <vt:lpstr>Cp4dvpcdev</vt:lpstr>
      <vt:lpstr>Cp4dvpcmedium</vt:lpstr>
      <vt:lpstr>Cp4dvpcsmall</vt:lpstr>
      <vt:lpstr>Cp4dvpcxmsall</vt:lpstr>
      <vt:lpstr>Cpvdvpclarge</vt:lpstr>
      <vt:lpstr>dicoverygb</vt:lpstr>
      <vt:lpstr>dicoverygbdev</vt:lpstr>
      <vt:lpstr>discoverygblarge</vt:lpstr>
      <vt:lpstr>discoverygbmedium</vt:lpstr>
      <vt:lpstr>discoverygbsmall</vt:lpstr>
      <vt:lpstr>discoverygbxsmall</vt:lpstr>
      <vt:lpstr>discoveryvpcdev</vt:lpstr>
      <vt:lpstr>discoveryvpclarge</vt:lpstr>
      <vt:lpstr>discoveryvpcmedium</vt:lpstr>
      <vt:lpstr>discoveryvpcsmall</vt:lpstr>
      <vt:lpstr>discoveryvpcxsmall</vt:lpstr>
      <vt:lpstr>EffortLevel</vt:lpstr>
      <vt:lpstr>EnvironmentSizes</vt:lpstr>
      <vt:lpstr>GBCost</vt:lpstr>
      <vt:lpstr>GBdataextracost</vt:lpstr>
      <vt:lpstr>GBstoragediscountedpriceyearly</vt:lpstr>
      <vt:lpstr>GPUCost</vt:lpstr>
      <vt:lpstr>healthdb2dev</vt:lpstr>
      <vt:lpstr>healthdb2large</vt:lpstr>
      <vt:lpstr>healthdb2medium</vt:lpstr>
      <vt:lpstr>healthdb2small</vt:lpstr>
      <vt:lpstr>healthdb2vpcdev</vt:lpstr>
      <vt:lpstr>healthdb2vpclarge</vt:lpstr>
      <vt:lpstr>healthdb2vpcmedium</vt:lpstr>
      <vt:lpstr>healthdb2vpcsmall</vt:lpstr>
      <vt:lpstr>healthdb2vpcxsmall</vt:lpstr>
      <vt:lpstr>healthdb2xsmall</vt:lpstr>
      <vt:lpstr>healthfteall</vt:lpstr>
      <vt:lpstr>healthprodsizes</vt:lpstr>
      <vt:lpstr>healthsingletenantvpc</vt:lpstr>
      <vt:lpstr>healthsizesyesno</vt:lpstr>
      <vt:lpstr>healthstand</vt:lpstr>
      <vt:lpstr>healthsubtotalfte</vt:lpstr>
      <vt:lpstr>healthvpcdev</vt:lpstr>
      <vt:lpstr>healthvpclarge</vt:lpstr>
      <vt:lpstr>healthvpcmedium</vt:lpstr>
      <vt:lpstr>healthvpcsmall</vt:lpstr>
      <vt:lpstr>healthvpcxsmall</vt:lpstr>
      <vt:lpstr>IBM_Cloud_Discount</vt:lpstr>
      <vt:lpstr>IBM_CloudDiscount</vt:lpstr>
      <vt:lpstr>IBM_Discount</vt:lpstr>
      <vt:lpstr>IBM_SL_Discount</vt:lpstr>
      <vt:lpstr>Iotpvpcdev</vt:lpstr>
      <vt:lpstr>Iotpvpclarge</vt:lpstr>
      <vt:lpstr>Iotpvpcmedium</vt:lpstr>
      <vt:lpstr>Iotpvpcsmall</vt:lpstr>
      <vt:lpstr>Iotpvpcxsmall</vt:lpstr>
      <vt:lpstr>Isassistdeployed</vt:lpstr>
      <vt:lpstr>Ishealthdeployed</vt:lpstr>
      <vt:lpstr>Ismagaedeployed</vt:lpstr>
      <vt:lpstr>Ismanageddeployed</vt:lpstr>
      <vt:lpstr>Ismonitoreddeployed</vt:lpstr>
      <vt:lpstr>Ismvideployed</vt:lpstr>
      <vt:lpstr>Assist!Issafetydeployed</vt:lpstr>
      <vt:lpstr>MVI!Issafetydeployed</vt:lpstr>
      <vt:lpstr>Issafetydeployed</vt:lpstr>
      <vt:lpstr>laboryear</vt:lpstr>
      <vt:lpstr>managedb2datadev</vt:lpstr>
      <vt:lpstr>managedb2datalarge</vt:lpstr>
      <vt:lpstr>managedb2datamedium</vt:lpstr>
      <vt:lpstr>managedb2datasmall</vt:lpstr>
      <vt:lpstr>managedb2dataxsmall</vt:lpstr>
      <vt:lpstr>managedb2dev</vt:lpstr>
      <vt:lpstr>managedb2large</vt:lpstr>
      <vt:lpstr>managedb2medium</vt:lpstr>
      <vt:lpstr>managedb2small</vt:lpstr>
      <vt:lpstr>managedb2xsmall</vt:lpstr>
      <vt:lpstr>Assist!manageextravpc</vt:lpstr>
      <vt:lpstr>Health!manageextravpc</vt:lpstr>
      <vt:lpstr>Monitor!manageextravpc</vt:lpstr>
      <vt:lpstr>MVI!manageextravpc</vt:lpstr>
      <vt:lpstr>Predict!manageextravpc</vt:lpstr>
      <vt:lpstr>Safety!manageextravpc</vt:lpstr>
      <vt:lpstr>manageextravpc</vt:lpstr>
      <vt:lpstr>manageftelarge</vt:lpstr>
      <vt:lpstr>manageftemedium</vt:lpstr>
      <vt:lpstr>manageftesmall</vt:lpstr>
      <vt:lpstr>manageftexsmall</vt:lpstr>
      <vt:lpstr>managesizes</vt:lpstr>
      <vt:lpstr>managesizes1stnonprod</vt:lpstr>
      <vt:lpstr>managesizesyesno</vt:lpstr>
      <vt:lpstr>managevpcdev</vt:lpstr>
      <vt:lpstr>managevpclarge</vt:lpstr>
      <vt:lpstr>managevpcmedium</vt:lpstr>
      <vt:lpstr>managevpcsmall</vt:lpstr>
      <vt:lpstr>managevpcxsmall</vt:lpstr>
      <vt:lpstr>MASCoreSizes</vt:lpstr>
      <vt:lpstr>MASCoreSparevpc</vt:lpstr>
      <vt:lpstr>MASCorseextravpcs</vt:lpstr>
      <vt:lpstr>mivextravpc</vt:lpstr>
      <vt:lpstr>mlvpcdev</vt:lpstr>
      <vt:lpstr>mlvpclarge</vt:lpstr>
      <vt:lpstr>mlvpcmedium</vt:lpstr>
      <vt:lpstr>mlvpcsmall</vt:lpstr>
      <vt:lpstr>mlvpcxsmall</vt:lpstr>
      <vt:lpstr>monitordb2dev</vt:lpstr>
      <vt:lpstr>monitordb2large</vt:lpstr>
      <vt:lpstr>monitordb2medium</vt:lpstr>
      <vt:lpstr>monitordb2small</vt:lpstr>
      <vt:lpstr>monitordb2vpcdev</vt:lpstr>
      <vt:lpstr>monitordb2vpclarge</vt:lpstr>
      <vt:lpstr>monitordb2vpcmedium</vt:lpstr>
      <vt:lpstr>monitordb2vpcsmall</vt:lpstr>
      <vt:lpstr>monitordb2vpcxsmall</vt:lpstr>
      <vt:lpstr>monitordb3small</vt:lpstr>
      <vt:lpstr>monitorfteALL</vt:lpstr>
      <vt:lpstr>Predict!monitorftetotal</vt:lpstr>
      <vt:lpstr>monitorftetotal</vt:lpstr>
      <vt:lpstr>monitorpoc</vt:lpstr>
      <vt:lpstr>monitorproductionsizes</vt:lpstr>
      <vt:lpstr>Predict!monitorsingletenateprereqs</vt:lpstr>
      <vt:lpstr>monitorsingletenateprereqs</vt:lpstr>
      <vt:lpstr>monitorsizesyesno</vt:lpstr>
      <vt:lpstr>monitorvpcdev</vt:lpstr>
      <vt:lpstr>monitorvpclarge</vt:lpstr>
      <vt:lpstr>monitorvpcmedium</vt:lpstr>
      <vt:lpstr>monitorvpcsmall</vt:lpstr>
      <vt:lpstr>monitorvpcxsmall</vt:lpstr>
      <vt:lpstr>mvifteall</vt:lpstr>
      <vt:lpstr>MVIFTEtotal</vt:lpstr>
      <vt:lpstr>MVIFTEtotals</vt:lpstr>
      <vt:lpstr>mvigbdev</vt:lpstr>
      <vt:lpstr>mvigblarge</vt:lpstr>
      <vt:lpstr>mvigbmedium</vt:lpstr>
      <vt:lpstr>mvigbsmall</vt:lpstr>
      <vt:lpstr>mvigbxsmall</vt:lpstr>
      <vt:lpstr>mvigpucosts</vt:lpstr>
      <vt:lpstr>mviproductionsizes</vt:lpstr>
      <vt:lpstr>mvisizesyesno</vt:lpstr>
      <vt:lpstr>mvitetotal</vt:lpstr>
      <vt:lpstr>mvivpcdev</vt:lpstr>
      <vt:lpstr>mvivpclarge</vt:lpstr>
      <vt:lpstr>mvivpcmedium</vt:lpstr>
      <vt:lpstr>mvivpcsmall</vt:lpstr>
      <vt:lpstr>mvivpcxsmall</vt:lpstr>
      <vt:lpstr>onethrufive</vt:lpstr>
      <vt:lpstr>Perf_1000IOPS</vt:lpstr>
      <vt:lpstr>Perf_100IOPS</vt:lpstr>
      <vt:lpstr>Perf_4000IOPS</vt:lpstr>
      <vt:lpstr>Performance_storage</vt:lpstr>
      <vt:lpstr>PerfStorage_Cost</vt:lpstr>
      <vt:lpstr>Predictdbdev</vt:lpstr>
      <vt:lpstr>Predictdblarge</vt:lpstr>
      <vt:lpstr>Predictdbmedium</vt:lpstr>
      <vt:lpstr>Predictdbsmall</vt:lpstr>
      <vt:lpstr>Predictdbxsmall</vt:lpstr>
      <vt:lpstr>predicteextravpc</vt:lpstr>
      <vt:lpstr>PredictfteALL</vt:lpstr>
      <vt:lpstr>Predictftetotal</vt:lpstr>
      <vt:lpstr>Predictisdeployed</vt:lpstr>
      <vt:lpstr>Predictsizes</vt:lpstr>
      <vt:lpstr>predictsizesyesno</vt:lpstr>
      <vt:lpstr>Predictvpcdev</vt:lpstr>
      <vt:lpstr>Predictvpclarge</vt:lpstr>
      <vt:lpstr>Predictvpcmedium</vt:lpstr>
      <vt:lpstr>Predictvpcsmall</vt:lpstr>
      <vt:lpstr>Predictvpcxsmall</vt:lpstr>
      <vt:lpstr>safetydbgblarge</vt:lpstr>
      <vt:lpstr>safetydbgbmedium</vt:lpstr>
      <vt:lpstr>safetydbgbsmall</vt:lpstr>
      <vt:lpstr>safetyfteall</vt:lpstr>
      <vt:lpstr>Assist!safetyftetotal</vt:lpstr>
      <vt:lpstr>MVI!safetyftetotal</vt:lpstr>
      <vt:lpstr>safetyftetotal</vt:lpstr>
      <vt:lpstr>safetyprodsizes</vt:lpstr>
      <vt:lpstr>safetysizesyesno</vt:lpstr>
      <vt:lpstr>safetyvpclarge</vt:lpstr>
      <vt:lpstr>safetyvpcmedium</vt:lpstr>
      <vt:lpstr>safetyvpcsmall</vt:lpstr>
      <vt:lpstr>shareddedicated</vt:lpstr>
      <vt:lpstr>studiovpcdev</vt:lpstr>
      <vt:lpstr>studiovpclarge</vt:lpstr>
      <vt:lpstr>studiovpcmedium</vt:lpstr>
      <vt:lpstr>studiovpcsmall</vt:lpstr>
      <vt:lpstr>studiovpcxsmall</vt:lpstr>
      <vt:lpstr>totaldiscount</vt:lpstr>
      <vt:lpstr>tshirtsizes</vt:lpstr>
      <vt:lpstr>VM8_Cost</vt:lpstr>
      <vt:lpstr>VPCCost</vt:lpstr>
      <vt:lpstr>VPCdiscountedpriceyearly</vt:lpstr>
      <vt:lpstr>XFactor_HotStorage</vt:lpstr>
      <vt:lpstr>yesno</vt:lpstr>
      <vt:lpstr>zerothroughfive</vt:lpstr>
      <vt:lpstr>zerothroughten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SENS</dc:creator>
  <cp:lastModifiedBy>DREW SENS</cp:lastModifiedBy>
  <dcterms:created xsi:type="dcterms:W3CDTF">2021-04-13T13:33:32Z</dcterms:created>
  <dcterms:modified xsi:type="dcterms:W3CDTF">2021-06-16T20:05:24Z</dcterms:modified>
</cp:coreProperties>
</file>